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comments6.xml" ContentType="application/vnd.openxmlformats-officedocument.spreadsheetml.comments+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omments7.xml" ContentType="application/vnd.openxmlformats-officedocument.spreadsheetml.comments+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9.xml" ContentType="application/vnd.openxmlformats-officedocument.drawing+xml"/>
  <Override PartName="/xl/comments12.xml" ContentType="application/vnd.openxmlformats-officedocument.spreadsheetml.comments+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Modelling Group\_02_PROJECTS\WB\water-energy\task2\"/>
    </mc:Choice>
  </mc:AlternateContent>
  <bookViews>
    <workbookView xWindow="480" yWindow="105" windowWidth="27795" windowHeight="12585" firstSheet="7" activeTab="14"/>
  </bookViews>
  <sheets>
    <sheet name="Index" sheetId="3" r:id="rId1"/>
    <sheet name="version" sheetId="43" r:id="rId2"/>
    <sheet name="units" sheetId="6" r:id="rId3"/>
    <sheet name="AMD" sheetId="1" r:id="rId4"/>
    <sheet name="AMD.v2" sheetId="16" r:id="rId5"/>
    <sheet name="coal mining" sheetId="29" r:id="rId6"/>
    <sheet name="TDS  vs Capex" sheetId="2" r:id="rId7"/>
    <sheet name="WTP energy costs" sheetId="11" r:id="rId8"/>
    <sheet name="Shale gas" sheetId="7" r:id="rId9"/>
    <sheet name="Shale-AMD wtp" sheetId="9" r:id="rId10"/>
    <sheet name="Uranium-Gold" sheetId="18" r:id="rId11"/>
    <sheet name="fgd costs" sheetId="13" r:id="rId12"/>
    <sheet name="Coal dist" sheetId="14" r:id="rId13"/>
    <sheet name="steam" sheetId="15" r:id="rId14"/>
    <sheet name="refineries" sheetId="19" r:id="rId15"/>
    <sheet name="cooling water" sheetId="12" r:id="rId16"/>
    <sheet name="seasonal" sheetId="20" r:id="rId17"/>
    <sheet name="PWR station GIS data" sheetId="21" r:id="rId18"/>
    <sheet name="Existing Plants by Water Supply" sheetId="34" r:id="rId19"/>
    <sheet name="Existing Plants by Coal Supply" sheetId="23" r:id="rId20"/>
    <sheet name="Eskom coal pwr plants" sheetId="27" r:id="rId21"/>
    <sheet name="charts" sheetId="25" r:id="rId22"/>
    <sheet name="TechWATv4" sheetId="26" r:id="rId23"/>
    <sheet name="TechWATv5 (supwat5)" sheetId="45" r:id="rId24"/>
    <sheet name="FromCGE" sheetId="42" r:id="rId25"/>
    <sheet name="Non-Energy Water Demand" sheetId="22" r:id="rId26"/>
    <sheet name="non-power liquid fuels" sheetId="40" r:id="rId27"/>
    <sheet name="CPI_1960-2013" sheetId="39" r:id="rId28"/>
    <sheet name="JHB return flows" sheetId="41" r:id="rId29"/>
    <sheet name="misc calcs" sheetId="10" r:id="rId30"/>
    <sheet name="WSR-A" sheetId="35" r:id="rId31"/>
    <sheet name="WSR-B" sheetId="33" r:id="rId32"/>
    <sheet name="WSR-C" sheetId="37" r:id="rId33"/>
    <sheet name="WSR-D" sheetId="38" r:id="rId34"/>
    <sheet name="WSR-R" sheetId="32" r:id="rId35"/>
    <sheet name="WSR-Z" sheetId="28" r:id="rId36"/>
  </sheets>
  <externalReferences>
    <externalReference r:id="rId37"/>
    <externalReference r:id="rId38"/>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1832</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GR">[1]Index!$C$7</definedName>
    <definedName name="COM">[1]Index!$C$8</definedName>
    <definedName name="drate">'TechWATv5 (supwat5)'!$E$3</definedName>
    <definedName name="IND">[1]Index!$C$9</definedName>
    <definedName name="New_basic_data_start">'[2]New Capacity basic data'!$B$9</definedName>
    <definedName name="Pal_Workbook_GUID" hidden="1">"JGWG76XASHMY4J7EVNW4KA69"</definedName>
    <definedName name="RES">[1]Index!$C$10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RA">[1]Index!$C$11</definedName>
  </definedNames>
  <calcPr calcId="152511"/>
</workbook>
</file>

<file path=xl/calcChain.xml><?xml version="1.0" encoding="utf-8"?>
<calcChain xmlns="http://schemas.openxmlformats.org/spreadsheetml/2006/main">
  <c r="AA53" i="19" l="1"/>
  <c r="P11" i="27" l="1"/>
  <c r="P12" i="27"/>
  <c r="P13" i="27"/>
  <c r="P14" i="27"/>
  <c r="P2" i="27"/>
  <c r="O11" i="27"/>
  <c r="O12" i="27"/>
  <c r="O13" i="27"/>
  <c r="O14" i="27"/>
  <c r="M10" i="27"/>
  <c r="M11" i="27"/>
  <c r="M12" i="27"/>
  <c r="M13" i="27"/>
  <c r="M14" i="27"/>
  <c r="M3" i="27"/>
  <c r="M5" i="27"/>
  <c r="M6" i="27"/>
  <c r="M7" i="27"/>
  <c r="M8" i="27"/>
  <c r="M9" i="27"/>
  <c r="O4" i="27"/>
  <c r="O5" i="27"/>
  <c r="O6" i="27"/>
  <c r="O7" i="27"/>
  <c r="O8" i="27"/>
  <c r="O9" i="27"/>
  <c r="O10" i="27"/>
  <c r="O3" i="27"/>
  <c r="P3" i="27"/>
  <c r="P4" i="27"/>
  <c r="P5" i="27"/>
  <c r="P6" i="27"/>
  <c r="P7" i="27"/>
  <c r="P8" i="27"/>
  <c r="P9" i="27"/>
  <c r="P10" i="27"/>
  <c r="M1" i="27" l="1"/>
  <c r="M4" i="27" l="1"/>
  <c r="AF8" i="39" l="1"/>
  <c r="AF7" i="39"/>
  <c r="AN7" i="39"/>
  <c r="N1" i="27" l="1"/>
  <c r="O2" i="27"/>
  <c r="I3" i="27"/>
  <c r="G3" i="27" s="1"/>
  <c r="I4" i="27"/>
  <c r="G4" i="27" s="1"/>
  <c r="H3" i="27" l="1"/>
  <c r="J28" i="35"/>
  <c r="U28" i="35" s="1"/>
  <c r="H4" i="27"/>
  <c r="D60" i="22" l="1"/>
  <c r="AA47" i="22"/>
  <c r="I48" i="22"/>
  <c r="J48" i="22"/>
  <c r="K48" i="22"/>
  <c r="L48" i="22"/>
  <c r="D48" i="22"/>
  <c r="AU33" i="45"/>
  <c r="AL156" i="22" l="1"/>
  <c r="AM156" i="22" s="1"/>
  <c r="AN156" i="22" s="1"/>
  <c r="AO156" i="22" s="1"/>
  <c r="AP156" i="22" s="1"/>
  <c r="AQ156" i="22" s="1"/>
  <c r="AR156" i="22" s="1"/>
  <c r="AS156" i="22" s="1"/>
  <c r="AT156" i="22" s="1"/>
  <c r="AU156" i="22" s="1"/>
  <c r="AV156" i="22" s="1"/>
  <c r="AW156" i="22" s="1"/>
  <c r="AL153" i="22"/>
  <c r="AM153" i="22" s="1"/>
  <c r="AN153" i="22" s="1"/>
  <c r="AO153" i="22" s="1"/>
  <c r="AP153" i="22" s="1"/>
  <c r="AQ153" i="22" s="1"/>
  <c r="AR153" i="22" s="1"/>
  <c r="AS153" i="22" s="1"/>
  <c r="AT153" i="22" s="1"/>
  <c r="AU153" i="22" s="1"/>
  <c r="AV153" i="22" s="1"/>
  <c r="AW153" i="22" s="1"/>
  <c r="AL150" i="22"/>
  <c r="AM150" i="22" s="1"/>
  <c r="AN150" i="22" s="1"/>
  <c r="AO150" i="22" s="1"/>
  <c r="AP150" i="22" s="1"/>
  <c r="AQ150" i="22" s="1"/>
  <c r="AR150" i="22" s="1"/>
  <c r="AS150" i="22" s="1"/>
  <c r="AT150" i="22" s="1"/>
  <c r="AU150" i="22" s="1"/>
  <c r="AV150" i="22" s="1"/>
  <c r="AW150" i="22" s="1"/>
  <c r="AK147" i="22"/>
  <c r="W156" i="22"/>
  <c r="X156" i="22"/>
  <c r="Y156" i="22"/>
  <c r="Z156" i="22"/>
  <c r="AA156" i="22"/>
  <c r="AB156" i="22"/>
  <c r="AC156" i="22"/>
  <c r="AD156" i="22"/>
  <c r="AE156" i="22"/>
  <c r="AF156" i="22"/>
  <c r="AG156" i="22"/>
  <c r="AH156" i="22"/>
  <c r="AI156" i="22"/>
  <c r="AJ156" i="22"/>
  <c r="AK156" i="22"/>
  <c r="W147" i="22"/>
  <c r="X147" i="22"/>
  <c r="Y147" i="22"/>
  <c r="Z147" i="22"/>
  <c r="AA147" i="22"/>
  <c r="AB147" i="22"/>
  <c r="AC147" i="22"/>
  <c r="AD147" i="22"/>
  <c r="AE147" i="22"/>
  <c r="AF147" i="22"/>
  <c r="AG147" i="22"/>
  <c r="AH147" i="22"/>
  <c r="AI147" i="22"/>
  <c r="AJ147" i="22"/>
  <c r="W153" i="22"/>
  <c r="X153" i="22"/>
  <c r="Y153" i="22"/>
  <c r="Z153" i="22"/>
  <c r="AA153" i="22"/>
  <c r="AB153" i="22"/>
  <c r="AC153" i="22"/>
  <c r="AD153" i="22"/>
  <c r="AE153" i="22"/>
  <c r="AF153" i="22"/>
  <c r="AG153" i="22"/>
  <c r="AH153" i="22"/>
  <c r="AI153" i="22"/>
  <c r="AJ153" i="22"/>
  <c r="AK153" i="22"/>
  <c r="AK150" i="22"/>
  <c r="AE150" i="22"/>
  <c r="AF150" i="22"/>
  <c r="AG150" i="22"/>
  <c r="AH150" i="22"/>
  <c r="AI150" i="22"/>
  <c r="AJ150" i="22"/>
  <c r="W150" i="22"/>
  <c r="X150" i="22"/>
  <c r="Y150" i="22"/>
  <c r="Z150" i="22"/>
  <c r="AA150" i="22"/>
  <c r="AB150" i="22"/>
  <c r="AC150" i="22"/>
  <c r="AD150" i="22"/>
  <c r="L59" i="45" l="1"/>
  <c r="K15" i="45"/>
  <c r="N60" i="45"/>
  <c r="E32" i="45"/>
  <c r="H5" i="27" l="1"/>
  <c r="H6" i="27"/>
  <c r="H7" i="27"/>
  <c r="H8" i="27"/>
  <c r="H9" i="27"/>
  <c r="H10" i="27"/>
  <c r="H11" i="27"/>
  <c r="H12" i="27"/>
  <c r="H13" i="27"/>
  <c r="H14" i="27"/>
  <c r="H15" i="27"/>
  <c r="H16" i="27"/>
  <c r="H17" i="27"/>
  <c r="H18" i="27"/>
  <c r="B42" i="9" l="1"/>
  <c r="C101" i="19"/>
  <c r="C106" i="19" s="1"/>
  <c r="E116" i="19"/>
  <c r="B43" i="9"/>
  <c r="B46" i="9"/>
  <c r="C104" i="19"/>
  <c r="B47" i="9" l="1"/>
  <c r="W20" i="45"/>
  <c r="AG19" i="45"/>
  <c r="AF20" i="45"/>
  <c r="AA20" i="45"/>
  <c r="F14" i="45" l="1"/>
  <c r="AY94" i="45" l="1"/>
  <c r="AZ94" i="45" s="1"/>
  <c r="AF15" i="45"/>
  <c r="I76" i="45" l="1"/>
  <c r="A51" i="16" l="1"/>
  <c r="C80" i="2" l="1"/>
  <c r="AV72" i="28"/>
  <c r="AV69" i="28" l="1"/>
  <c r="BB72" i="28"/>
  <c r="AV76" i="28"/>
  <c r="AZ72" i="28"/>
  <c r="A63" i="16"/>
  <c r="A57" i="16"/>
  <c r="A58" i="16"/>
  <c r="AV77" i="28" l="1"/>
  <c r="A64" i="16"/>
  <c r="C79" i="2" l="1"/>
  <c r="C78" i="2"/>
  <c r="J32" i="2"/>
  <c r="F56" i="2"/>
  <c r="E56" i="2"/>
  <c r="D62" i="2"/>
  <c r="D63" i="2" s="1"/>
  <c r="AV79" i="28" l="1"/>
  <c r="AV71" i="28"/>
  <c r="H19" i="28"/>
  <c r="AV33" i="28" l="1"/>
  <c r="AD66" i="45" l="1"/>
  <c r="AD65" i="45"/>
  <c r="AC66" i="45"/>
  <c r="AC65" i="45"/>
  <c r="G66" i="45"/>
  <c r="E99" i="19" l="1"/>
  <c r="E107" i="19"/>
  <c r="E117" i="19"/>
  <c r="D117" i="19"/>
  <c r="B117" i="19"/>
  <c r="C117" i="19" s="1"/>
  <c r="C99" i="19"/>
  <c r="D116" i="19" l="1"/>
  <c r="B116" i="19"/>
  <c r="C116" i="19" s="1"/>
  <c r="E102" i="19" l="1"/>
  <c r="B33" i="13"/>
  <c r="B29" i="13"/>
  <c r="G101" i="19"/>
  <c r="AF58" i="26" l="1"/>
  <c r="AF67" i="26"/>
  <c r="AF66" i="26"/>
  <c r="AF65" i="26"/>
  <c r="AF64" i="26"/>
  <c r="G65" i="45" l="1"/>
  <c r="F22" i="13" l="1"/>
  <c r="F23" i="13"/>
  <c r="F24" i="13"/>
  <c r="B27" i="13"/>
  <c r="C20" i="27"/>
  <c r="C21" i="27" s="1"/>
  <c r="D27" i="13" s="1"/>
  <c r="F27" i="13" s="1"/>
  <c r="D22" i="13"/>
  <c r="F101" i="19" l="1"/>
  <c r="C33" i="19"/>
  <c r="C30" i="19"/>
  <c r="C102" i="19" l="1"/>
  <c r="C107" i="19" s="1"/>
  <c r="B101" i="19"/>
  <c r="B102" i="19"/>
  <c r="B107" i="19" s="1"/>
  <c r="F102" i="19"/>
  <c r="F106" i="19"/>
  <c r="F107" i="19" s="1"/>
  <c r="C34" i="19"/>
  <c r="C3" i="45"/>
  <c r="B106" i="19" l="1"/>
  <c r="D106" i="19" s="1"/>
  <c r="D101" i="19"/>
  <c r="D107" i="19"/>
  <c r="D102" i="19"/>
  <c r="F15" i="45"/>
  <c r="C41" i="45" l="1"/>
  <c r="E42" i="45"/>
  <c r="E43" i="45" s="1"/>
  <c r="M43" i="45" s="1"/>
  <c r="M42" i="45" l="1"/>
  <c r="D88" i="45"/>
  <c r="J48" i="45"/>
  <c r="J45" i="45" s="1"/>
  <c r="M18" i="26" l="1"/>
  <c r="R18" i="26"/>
  <c r="I73" i="45" l="1"/>
  <c r="AF66" i="45"/>
  <c r="X66" i="45"/>
  <c r="N66" i="45"/>
  <c r="L66" i="45"/>
  <c r="AF65" i="45"/>
  <c r="N65" i="45"/>
  <c r="L65" i="45"/>
  <c r="AF64" i="45"/>
  <c r="L64" i="45"/>
  <c r="H64" i="45"/>
  <c r="M64" i="45" s="1"/>
  <c r="AF63" i="45"/>
  <c r="N63" i="45"/>
  <c r="L63" i="45"/>
  <c r="AF62" i="45"/>
  <c r="AC62" i="45"/>
  <c r="N62" i="45"/>
  <c r="L62" i="45"/>
  <c r="AF61" i="45"/>
  <c r="AC61" i="45"/>
  <c r="N61" i="45"/>
  <c r="L61" i="45"/>
  <c r="AF60" i="45"/>
  <c r="AC60" i="45"/>
  <c r="L60" i="45"/>
  <c r="AF59" i="45"/>
  <c r="AC59" i="45"/>
  <c r="N59" i="45"/>
  <c r="AF58" i="45"/>
  <c r="AF14" i="45" s="1"/>
  <c r="AC58" i="45"/>
  <c r="N58" i="45"/>
  <c r="L58" i="45"/>
  <c r="AF40" i="45"/>
  <c r="AC40" i="45"/>
  <c r="M40" i="45"/>
  <c r="K40" i="45"/>
  <c r="J40" i="45"/>
  <c r="AU39" i="45"/>
  <c r="AF39" i="45"/>
  <c r="AD39" i="45"/>
  <c r="AE39" i="45" s="1"/>
  <c r="M39" i="45"/>
  <c r="K39" i="45"/>
  <c r="J39" i="45"/>
  <c r="E37" i="45"/>
  <c r="X36" i="45"/>
  <c r="P36" i="45"/>
  <c r="E36" i="45"/>
  <c r="J80" i="45" s="1"/>
  <c r="AF35" i="45"/>
  <c r="AC35" i="45"/>
  <c r="M35" i="45"/>
  <c r="K35" i="45"/>
  <c r="J35" i="45"/>
  <c r="M34" i="45"/>
  <c r="K34" i="45"/>
  <c r="J34" i="45"/>
  <c r="AF33" i="45"/>
  <c r="AD33" i="45"/>
  <c r="AE33" i="45" s="1"/>
  <c r="X33" i="45"/>
  <c r="M33" i="45"/>
  <c r="K33" i="45"/>
  <c r="J33" i="45"/>
  <c r="X32" i="45"/>
  <c r="AF31" i="45"/>
  <c r="AD31" i="45"/>
  <c r="AE31" i="45" s="1"/>
  <c r="X31" i="45"/>
  <c r="M31" i="45"/>
  <c r="K31" i="45"/>
  <c r="J31" i="45"/>
  <c r="AF30" i="45"/>
  <c r="AD30" i="45"/>
  <c r="AE30" i="45" s="1"/>
  <c r="X30" i="45"/>
  <c r="M30" i="45"/>
  <c r="H30" i="45"/>
  <c r="K30" i="45" s="1"/>
  <c r="AF29" i="45"/>
  <c r="AD29" i="45"/>
  <c r="AE29" i="45" s="1"/>
  <c r="X29" i="45"/>
  <c r="M29" i="45"/>
  <c r="K29" i="45"/>
  <c r="J29" i="45"/>
  <c r="AD28" i="45"/>
  <c r="X28" i="45"/>
  <c r="AG28" i="45" s="1"/>
  <c r="E28" i="45"/>
  <c r="AF27" i="45"/>
  <c r="AC27" i="45"/>
  <c r="M27" i="45"/>
  <c r="K27" i="45"/>
  <c r="J27" i="45"/>
  <c r="M26" i="45"/>
  <c r="K26" i="45"/>
  <c r="J26" i="45"/>
  <c r="AF25" i="45"/>
  <c r="AD25" i="45"/>
  <c r="AE25" i="45" s="1"/>
  <c r="X25" i="45"/>
  <c r="M25" i="45"/>
  <c r="K25" i="45"/>
  <c r="J25" i="45"/>
  <c r="AF24" i="45"/>
  <c r="AD24" i="45"/>
  <c r="AE24" i="45" s="1"/>
  <c r="X24" i="45"/>
  <c r="M24" i="45"/>
  <c r="K24" i="45"/>
  <c r="J24" i="45"/>
  <c r="AF23" i="45"/>
  <c r="AD23" i="45"/>
  <c r="AE23" i="45" s="1"/>
  <c r="X23" i="45"/>
  <c r="M23" i="45"/>
  <c r="K23" i="45"/>
  <c r="J23" i="45"/>
  <c r="AD22" i="45"/>
  <c r="X21" i="45"/>
  <c r="E21" i="45"/>
  <c r="AF19" i="45"/>
  <c r="AC19" i="45"/>
  <c r="M19" i="45"/>
  <c r="K19" i="45"/>
  <c r="J19" i="45"/>
  <c r="F19" i="45"/>
  <c r="AJ19" i="45" s="1"/>
  <c r="M18" i="45"/>
  <c r="K18" i="45"/>
  <c r="J18" i="45"/>
  <c r="AF17" i="45"/>
  <c r="AD17" i="45"/>
  <c r="AE17" i="45" s="1"/>
  <c r="M17" i="45"/>
  <c r="K17" i="45"/>
  <c r="J17" i="45"/>
  <c r="AF16" i="45"/>
  <c r="AD16" i="45"/>
  <c r="AE16" i="45" s="1"/>
  <c r="X16" i="45"/>
  <c r="X17" i="45" s="1"/>
  <c r="M16" i="45"/>
  <c r="K16" i="45"/>
  <c r="J16" i="45"/>
  <c r="AD15" i="45"/>
  <c r="AE15" i="45" s="1"/>
  <c r="X15" i="45"/>
  <c r="Q15" i="45"/>
  <c r="M15" i="45"/>
  <c r="J15" i="45"/>
  <c r="AJ15" i="45"/>
  <c r="AD14" i="45"/>
  <c r="AE14" i="45" s="1"/>
  <c r="X14" i="45"/>
  <c r="M14" i="45"/>
  <c r="K14" i="45"/>
  <c r="J14" i="45"/>
  <c r="X12" i="45"/>
  <c r="E12" i="45"/>
  <c r="T10" i="45"/>
  <c r="U4" i="45"/>
  <c r="O3" i="45"/>
  <c r="AI70" i="45" s="1"/>
  <c r="AI71" i="45" s="1"/>
  <c r="AI72" i="45" s="1"/>
  <c r="AI73" i="45" s="1"/>
  <c r="AI64" i="45" s="1"/>
  <c r="H3" i="45"/>
  <c r="H59" i="45" l="1"/>
  <c r="M59" i="45" s="1"/>
  <c r="AG59" i="45" s="1"/>
  <c r="I16" i="45"/>
  <c r="I15" i="45"/>
  <c r="I27" i="45"/>
  <c r="I14" i="45"/>
  <c r="H62" i="45"/>
  <c r="M62" i="45" s="1"/>
  <c r="AG62" i="45" s="1"/>
  <c r="I18" i="45"/>
  <c r="AV39" i="45"/>
  <c r="I75" i="45"/>
  <c r="J64" i="45"/>
  <c r="N64" i="45" s="1"/>
  <c r="O64" i="45" s="1"/>
  <c r="I35" i="45"/>
  <c r="I40" i="45"/>
  <c r="I17" i="45"/>
  <c r="AD37" i="45"/>
  <c r="AE37" i="45" s="1"/>
  <c r="I74" i="45"/>
  <c r="H42" i="45"/>
  <c r="I42" i="45" s="1"/>
  <c r="AH59" i="45"/>
  <c r="AH23" i="45" s="1"/>
  <c r="U5" i="45"/>
  <c r="D85" i="2"/>
  <c r="F71" i="2"/>
  <c r="A62" i="16" s="1"/>
  <c r="A65" i="16" s="1"/>
  <c r="A66" i="16" s="1"/>
  <c r="L39" i="45"/>
  <c r="AG39" i="45" s="1"/>
  <c r="O59" i="45"/>
  <c r="H61" i="45"/>
  <c r="M61" i="45" s="1"/>
  <c r="AG61" i="45" s="1"/>
  <c r="L24" i="45"/>
  <c r="AG24" i="45" s="1"/>
  <c r="L30" i="45"/>
  <c r="AG30" i="45" s="1"/>
  <c r="N33" i="45"/>
  <c r="O33" i="45" s="1"/>
  <c r="T33" i="45" s="1"/>
  <c r="N34" i="45"/>
  <c r="O34" i="45" s="1"/>
  <c r="T34" i="45" s="1"/>
  <c r="M37" i="45"/>
  <c r="L29" i="45"/>
  <c r="N29" i="45" s="1"/>
  <c r="O29" i="45" s="1"/>
  <c r="T29" i="45" s="1"/>
  <c r="H63" i="45"/>
  <c r="M63" i="45" s="1"/>
  <c r="AG63" i="45" s="1"/>
  <c r="L26" i="45"/>
  <c r="AG26" i="45" s="1"/>
  <c r="L33" i="45"/>
  <c r="AG33" i="45" s="1"/>
  <c r="L34" i="45"/>
  <c r="AG34" i="45" s="1"/>
  <c r="H60" i="45"/>
  <c r="M60" i="45" s="1"/>
  <c r="AG60" i="45" s="1"/>
  <c r="J73" i="45"/>
  <c r="E38" i="45"/>
  <c r="H37" i="45"/>
  <c r="L23" i="45"/>
  <c r="N23" i="45" s="1"/>
  <c r="O23" i="45" s="1"/>
  <c r="T23" i="45" s="1"/>
  <c r="L31" i="45"/>
  <c r="N31" i="45" s="1"/>
  <c r="O31" i="45" s="1"/>
  <c r="T31" i="45" s="1"/>
  <c r="L25" i="45"/>
  <c r="AG25" i="45" s="1"/>
  <c r="L19" i="45"/>
  <c r="I39" i="45"/>
  <c r="AH31" i="45"/>
  <c r="AH16" i="45"/>
  <c r="AH17" i="45"/>
  <c r="AH32" i="45"/>
  <c r="AH40" i="45"/>
  <c r="J74" i="45"/>
  <c r="AH27" i="45"/>
  <c r="AH33" i="45"/>
  <c r="AG36" i="45"/>
  <c r="AH39" i="45"/>
  <c r="AH63" i="45"/>
  <c r="AH65" i="45"/>
  <c r="AH19" i="45"/>
  <c r="AH24" i="45"/>
  <c r="AD36" i="45"/>
  <c r="AH62" i="45"/>
  <c r="AH60" i="45"/>
  <c r="AH2" i="45"/>
  <c r="AH15" i="45"/>
  <c r="AH25" i="45"/>
  <c r="AH30" i="45"/>
  <c r="AH61" i="45"/>
  <c r="AH66" i="45"/>
  <c r="AG64" i="45"/>
  <c r="AD38" i="45"/>
  <c r="AE38" i="45" s="1"/>
  <c r="M38" i="45"/>
  <c r="N27" i="45"/>
  <c r="O27" i="45" s="1"/>
  <c r="T27" i="45" s="1"/>
  <c r="X22" i="45"/>
  <c r="AG22" i="45" s="1"/>
  <c r="AG31" i="45"/>
  <c r="L27" i="45"/>
  <c r="AG27" i="45" s="1"/>
  <c r="L40" i="45"/>
  <c r="AG40" i="45" s="1"/>
  <c r="H65" i="45"/>
  <c r="M65" i="45" s="1"/>
  <c r="AG65" i="45" s="1"/>
  <c r="AD12" i="45"/>
  <c r="L15" i="45"/>
  <c r="AG15" i="45" s="1"/>
  <c r="I19" i="45"/>
  <c r="AD21" i="45"/>
  <c r="I29" i="45"/>
  <c r="I30" i="45"/>
  <c r="I31" i="45"/>
  <c r="L35" i="45"/>
  <c r="AG35" i="45" s="1"/>
  <c r="AH35" i="45"/>
  <c r="AH37" i="45"/>
  <c r="AH38" i="45"/>
  <c r="H66" i="45"/>
  <c r="M66" i="45" s="1"/>
  <c r="L14" i="45"/>
  <c r="AG12" i="45"/>
  <c r="L16" i="45"/>
  <c r="L17" i="45"/>
  <c r="L18" i="45"/>
  <c r="N18" i="45" s="1"/>
  <c r="O18" i="45" s="1"/>
  <c r="AG21" i="45"/>
  <c r="I23" i="45"/>
  <c r="I24" i="45"/>
  <c r="I25" i="45"/>
  <c r="I26" i="45"/>
  <c r="J30" i="45"/>
  <c r="H58" i="45"/>
  <c r="M58" i="45" s="1"/>
  <c r="AH58" i="45"/>
  <c r="AH14" i="45" s="1"/>
  <c r="J75" i="45"/>
  <c r="V4" i="45"/>
  <c r="I33" i="45"/>
  <c r="I34" i="45"/>
  <c r="B15" i="25"/>
  <c r="B14" i="25"/>
  <c r="O62" i="45" l="1"/>
  <c r="N19" i="45"/>
  <c r="O19" i="45" s="1"/>
  <c r="T19" i="45" s="1"/>
  <c r="N25" i="45"/>
  <c r="O25" i="45" s="1"/>
  <c r="L42" i="45"/>
  <c r="J42" i="45"/>
  <c r="K42" i="45"/>
  <c r="I37" i="45"/>
  <c r="H43" i="45"/>
  <c r="J37" i="45"/>
  <c r="AF37" i="45"/>
  <c r="O60" i="45"/>
  <c r="H38" i="45"/>
  <c r="L38" i="45" s="1"/>
  <c r="AG38" i="45" s="1"/>
  <c r="AG23" i="45"/>
  <c r="H32" i="45"/>
  <c r="I32" i="45" s="1"/>
  <c r="AG29" i="45"/>
  <c r="K37" i="45"/>
  <c r="O61" i="45"/>
  <c r="N26" i="45"/>
  <c r="O26" i="45" s="1"/>
  <c r="T26" i="45" s="1"/>
  <c r="N24" i="45"/>
  <c r="O24" i="45" s="1"/>
  <c r="L37" i="45"/>
  <c r="AG37" i="45" s="1"/>
  <c r="N39" i="45"/>
  <c r="O39" i="45" s="1"/>
  <c r="T45" i="45" s="1"/>
  <c r="N30" i="45"/>
  <c r="O30" i="45" s="1"/>
  <c r="T30" i="45" s="1"/>
  <c r="O63" i="45"/>
  <c r="AG16" i="45"/>
  <c r="N16" i="45"/>
  <c r="O16" i="45" s="1"/>
  <c r="T16" i="45" s="1"/>
  <c r="O66" i="45"/>
  <c r="AG66" i="45"/>
  <c r="O65" i="45"/>
  <c r="N40" i="45"/>
  <c r="O40" i="45" s="1"/>
  <c r="M32" i="45"/>
  <c r="AD32" i="45"/>
  <c r="AE32" i="45" s="1"/>
  <c r="O58" i="45"/>
  <c r="T18" i="45" s="1"/>
  <c r="AG58" i="45"/>
  <c r="I80" i="45"/>
  <c r="AG14" i="45"/>
  <c r="N15" i="45"/>
  <c r="O15" i="45" s="1"/>
  <c r="T15" i="45" s="1"/>
  <c r="N14" i="45"/>
  <c r="O14" i="45" s="1"/>
  <c r="AG17" i="45"/>
  <c r="N17" i="45"/>
  <c r="O17" i="45" s="1"/>
  <c r="T17" i="45" s="1"/>
  <c r="N35" i="45"/>
  <c r="O35" i="45" s="1"/>
  <c r="T35" i="45" s="1"/>
  <c r="F74" i="26"/>
  <c r="T48" i="45" l="1"/>
  <c r="T14" i="45"/>
  <c r="N42" i="45"/>
  <c r="O42" i="45" s="1"/>
  <c r="T25" i="45"/>
  <c r="J32" i="45"/>
  <c r="J47" i="45"/>
  <c r="K47" i="45" s="1"/>
  <c r="I38" i="45"/>
  <c r="J38" i="45"/>
  <c r="N38" i="45" s="1"/>
  <c r="O38" i="45" s="1"/>
  <c r="T47" i="45" s="1"/>
  <c r="L43" i="45"/>
  <c r="I43" i="45"/>
  <c r="J43" i="45"/>
  <c r="K43" i="45"/>
  <c r="K38" i="45"/>
  <c r="N37" i="45"/>
  <c r="O37" i="45" s="1"/>
  <c r="T37" i="45" s="1"/>
  <c r="AF32" i="45"/>
  <c r="AF38" i="45"/>
  <c r="L32" i="45"/>
  <c r="AG32" i="45" s="1"/>
  <c r="T39" i="45"/>
  <c r="K32" i="45"/>
  <c r="T24" i="45"/>
  <c r="T46" i="45"/>
  <c r="T40" i="45"/>
  <c r="T49" i="45"/>
  <c r="I74" i="26"/>
  <c r="AR36" i="26"/>
  <c r="F73" i="26"/>
  <c r="F75" i="26"/>
  <c r="N32" i="45" l="1"/>
  <c r="O32" i="45" s="1"/>
  <c r="T32" i="45" s="1"/>
  <c r="N43" i="45"/>
  <c r="O43" i="45" s="1"/>
  <c r="T38" i="45"/>
  <c r="T44" i="45"/>
  <c r="O14" i="26" l="1"/>
  <c r="AQ36" i="26"/>
  <c r="D12" i="26"/>
  <c r="N147" i="22" l="1"/>
  <c r="O147" i="22"/>
  <c r="P147" i="22"/>
  <c r="Q147" i="22"/>
  <c r="R147" i="22"/>
  <c r="S147" i="22"/>
  <c r="T147" i="22"/>
  <c r="U147" i="22"/>
  <c r="V147" i="22"/>
  <c r="AL147" i="22" s="1"/>
  <c r="AM147" i="22" s="1"/>
  <c r="AN147" i="22" s="1"/>
  <c r="AO147" i="22" s="1"/>
  <c r="AP147" i="22" s="1"/>
  <c r="AQ147" i="22" s="1"/>
  <c r="AR147" i="22" s="1"/>
  <c r="AS147" i="22" s="1"/>
  <c r="M147" i="22"/>
  <c r="V156" i="22"/>
  <c r="U156" i="22"/>
  <c r="T156" i="22"/>
  <c r="S156" i="22"/>
  <c r="R156" i="22"/>
  <c r="Q156" i="22"/>
  <c r="P156" i="22"/>
  <c r="O156" i="22"/>
  <c r="N156" i="22"/>
  <c r="M156" i="22"/>
  <c r="V150" i="22"/>
  <c r="U150" i="22"/>
  <c r="T150" i="22"/>
  <c r="S150" i="22"/>
  <c r="R150" i="22"/>
  <c r="Q150" i="22"/>
  <c r="P150" i="22"/>
  <c r="O150" i="22"/>
  <c r="N150" i="22"/>
  <c r="M150" i="22"/>
  <c r="N153" i="22"/>
  <c r="O153" i="22"/>
  <c r="P153" i="22"/>
  <c r="Q153" i="22"/>
  <c r="R153" i="22"/>
  <c r="S153" i="22"/>
  <c r="T153" i="22"/>
  <c r="U153" i="22"/>
  <c r="V153" i="22"/>
  <c r="M153" i="22"/>
  <c r="AT147" i="22" l="1"/>
  <c r="AU147" i="22" s="1"/>
  <c r="AV147" i="22" s="1"/>
  <c r="AW147" i="22" s="1"/>
  <c r="AC146" i="22"/>
  <c r="AD146" i="22"/>
  <c r="AE146" i="22" s="1"/>
  <c r="AF146" i="22" s="1"/>
  <c r="AG146" i="22" s="1"/>
  <c r="AH146" i="22" s="1"/>
  <c r="AI146" i="22" s="1"/>
  <c r="AJ146" i="22" s="1"/>
  <c r="AK146" i="22" s="1"/>
  <c r="AL146" i="22" s="1"/>
  <c r="AM146" i="22" s="1"/>
  <c r="AN146" i="22" s="1"/>
  <c r="AO146" i="22" s="1"/>
  <c r="AP146" i="22" s="1"/>
  <c r="AQ146" i="22" s="1"/>
  <c r="AR146" i="22" s="1"/>
  <c r="AS146" i="22" s="1"/>
  <c r="AT146" i="22" s="1"/>
  <c r="AU146" i="22" s="1"/>
  <c r="AV146" i="22" s="1"/>
  <c r="AW146" i="22" s="1"/>
  <c r="T3" i="22"/>
  <c r="U3" i="22" l="1"/>
  <c r="S34" i="22" s="1"/>
  <c r="V3" i="22"/>
  <c r="W3" i="22"/>
  <c r="W13" i="22"/>
  <c r="N13" i="22"/>
  <c r="L47" i="22"/>
  <c r="I47" i="22"/>
  <c r="D47" i="22"/>
  <c r="D16" i="22"/>
  <c r="T34" i="22" l="1"/>
  <c r="F69" i="26"/>
  <c r="E135" i="22" l="1"/>
  <c r="F135" i="22" s="1"/>
  <c r="G135" i="22" s="1"/>
  <c r="H135" i="22" s="1"/>
  <c r="I135" i="22" s="1"/>
  <c r="J135" i="22" s="1"/>
  <c r="K135" i="22" s="1"/>
  <c r="L135" i="22" s="1"/>
  <c r="M135" i="22" s="1"/>
  <c r="N135" i="22" s="1"/>
  <c r="O135" i="22" s="1"/>
  <c r="P135" i="22" s="1"/>
  <c r="Q135" i="22" s="1"/>
  <c r="R135" i="22" s="1"/>
  <c r="S135" i="22" s="1"/>
  <c r="T135" i="22" s="1"/>
  <c r="U135" i="22" s="1"/>
  <c r="V135" i="22" s="1"/>
  <c r="W135" i="22" s="1"/>
  <c r="X135" i="22" s="1"/>
  <c r="Y135" i="22" s="1"/>
  <c r="Z135" i="22" s="1"/>
  <c r="AA135" i="22" s="1"/>
  <c r="AB135" i="22" s="1"/>
  <c r="AC135" i="22" s="1"/>
  <c r="AD135" i="22" s="1"/>
  <c r="AE135" i="22" s="1"/>
  <c r="AF135" i="22" s="1"/>
  <c r="AG135" i="22" s="1"/>
  <c r="AH135" i="22" s="1"/>
  <c r="AI135" i="22" s="1"/>
  <c r="AJ135" i="22" s="1"/>
  <c r="AK135" i="22" s="1"/>
  <c r="AL135" i="22" s="1"/>
  <c r="O3" i="22"/>
  <c r="O7" i="22" l="1"/>
  <c r="N7" i="22" s="1"/>
  <c r="P7" i="22"/>
  <c r="E5" i="22" l="1"/>
  <c r="N3" i="22"/>
  <c r="D4" i="22"/>
  <c r="K31" i="35" l="1"/>
  <c r="M40" i="23" l="1"/>
  <c r="M34" i="23"/>
  <c r="M29" i="23"/>
  <c r="N40" i="23"/>
  <c r="N34" i="23"/>
  <c r="N29" i="23"/>
  <c r="J47" i="22" l="1"/>
  <c r="K47" i="22"/>
  <c r="D26" i="26"/>
  <c r="I69" i="26" s="1"/>
  <c r="D59" i="22"/>
  <c r="D9" i="22"/>
  <c r="D35" i="26" l="1"/>
  <c r="F70" i="22"/>
  <c r="F72" i="26" l="1"/>
  <c r="D30" i="26"/>
  <c r="D172" i="22"/>
  <c r="D173" i="22" s="1"/>
  <c r="E172" i="22"/>
  <c r="E173" i="22" s="1"/>
  <c r="F172" i="22"/>
  <c r="F173" i="22" s="1"/>
  <c r="C172" i="22"/>
  <c r="C173" i="22" s="1"/>
  <c r="B593" i="42"/>
  <c r="B592" i="42"/>
  <c r="B591" i="42"/>
  <c r="B590" i="42"/>
  <c r="B589" i="42"/>
  <c r="B588" i="42"/>
  <c r="B587" i="42"/>
  <c r="B586" i="42"/>
  <c r="B585" i="42"/>
  <c r="B584" i="42"/>
  <c r="B583" i="42"/>
  <c r="B582" i="42"/>
  <c r="B581" i="42"/>
  <c r="B580" i="42"/>
  <c r="B579" i="42"/>
  <c r="B578" i="42"/>
  <c r="B577" i="42"/>
  <c r="B576" i="42"/>
  <c r="B575" i="42"/>
  <c r="B574" i="42"/>
  <c r="B573" i="42"/>
  <c r="B572" i="42"/>
  <c r="B571" i="42"/>
  <c r="B570" i="42"/>
  <c r="B569" i="42"/>
  <c r="B568" i="42"/>
  <c r="B567" i="42"/>
  <c r="B566" i="42"/>
  <c r="B565" i="42"/>
  <c r="B564" i="42"/>
  <c r="B563" i="42"/>
  <c r="B562" i="42"/>
  <c r="B561" i="42"/>
  <c r="B560" i="42"/>
  <c r="M559" i="42"/>
  <c r="L559" i="42"/>
  <c r="J559" i="42"/>
  <c r="G559" i="42"/>
  <c r="F559" i="42"/>
  <c r="E559" i="42"/>
  <c r="D559" i="42"/>
  <c r="C559" i="42"/>
  <c r="AY551" i="42"/>
  <c r="S551" i="42"/>
  <c r="CD550" i="42"/>
  <c r="CD551" i="42" s="1"/>
  <c r="CC550" i="42"/>
  <c r="CC551" i="42" s="1"/>
  <c r="BX550" i="42"/>
  <c r="BX551" i="42" s="1"/>
  <c r="BP550" i="42"/>
  <c r="BP551" i="42" s="1"/>
  <c r="BO550" i="42"/>
  <c r="BO551" i="42" s="1"/>
  <c r="BN550" i="42"/>
  <c r="BN551" i="42" s="1"/>
  <c r="BH550" i="42"/>
  <c r="BH551" i="42" s="1"/>
  <c r="AZ550" i="42"/>
  <c r="AZ551" i="42" s="1"/>
  <c r="AY550" i="42"/>
  <c r="AX550" i="42"/>
  <c r="AX551" i="42" s="1"/>
  <c r="AW550" i="42"/>
  <c r="AW551" i="42" s="1"/>
  <c r="AR550" i="42"/>
  <c r="AR551" i="42" s="1"/>
  <c r="AJ550" i="42"/>
  <c r="AJ551" i="42" s="1"/>
  <c r="AI550" i="42"/>
  <c r="AI551" i="42" s="1"/>
  <c r="AH550" i="42"/>
  <c r="AH551" i="42" s="1"/>
  <c r="AB550" i="42"/>
  <c r="AB551" i="42" s="1"/>
  <c r="T550" i="42"/>
  <c r="T551" i="42" s="1"/>
  <c r="S550" i="42"/>
  <c r="R550" i="42"/>
  <c r="R551" i="42" s="1"/>
  <c r="Q550" i="42"/>
  <c r="Q551" i="42" s="1"/>
  <c r="O550" i="42"/>
  <c r="O551" i="42" s="1"/>
  <c r="L550" i="42"/>
  <c r="L551" i="42" s="1"/>
  <c r="D550" i="42"/>
  <c r="C550" i="42"/>
  <c r="X549" i="42"/>
  <c r="W549" i="42"/>
  <c r="V549" i="42"/>
  <c r="U549" i="42"/>
  <c r="T549" i="42"/>
  <c r="S549" i="42"/>
  <c r="R549" i="42"/>
  <c r="Q549" i="42"/>
  <c r="P549" i="42"/>
  <c r="O549" i="42"/>
  <c r="N549" i="42"/>
  <c r="M549" i="42"/>
  <c r="L549" i="42"/>
  <c r="K549" i="42"/>
  <c r="J549" i="42"/>
  <c r="I549" i="42"/>
  <c r="H549" i="42"/>
  <c r="G549" i="42"/>
  <c r="F549" i="42"/>
  <c r="E549" i="42"/>
  <c r="D549" i="42"/>
  <c r="C549" i="42"/>
  <c r="P547" i="42"/>
  <c r="O547" i="42"/>
  <c r="BM550" i="42" s="1"/>
  <c r="BM551" i="42" s="1"/>
  <c r="N547" i="42"/>
  <c r="M547" i="42"/>
  <c r="L547" i="42"/>
  <c r="K547" i="42"/>
  <c r="H547" i="42"/>
  <c r="G547" i="42"/>
  <c r="E547" i="42"/>
  <c r="D547" i="42"/>
  <c r="C547" i="42"/>
  <c r="Q546" i="42"/>
  <c r="Q545" i="42"/>
  <c r="J547" i="42" s="1"/>
  <c r="Q544" i="42"/>
  <c r="F547" i="42" s="1"/>
  <c r="AN550" i="42" s="1"/>
  <c r="AN551" i="42" s="1"/>
  <c r="B416" i="42"/>
  <c r="B379" i="42"/>
  <c r="B342" i="42"/>
  <c r="Y9" i="42" s="1"/>
  <c r="Y48" i="42" s="1"/>
  <c r="B305" i="42"/>
  <c r="B268" i="42"/>
  <c r="B231" i="42"/>
  <c r="B194" i="42"/>
  <c r="B157" i="42"/>
  <c r="B120" i="42"/>
  <c r="B83" i="42"/>
  <c r="AD9" i="42" s="1"/>
  <c r="Z48" i="42"/>
  <c r="B46" i="42"/>
  <c r="U9" i="42" s="1"/>
  <c r="M44" i="42"/>
  <c r="L44" i="42"/>
  <c r="K44" i="42"/>
  <c r="J44" i="42"/>
  <c r="M43" i="42"/>
  <c r="L43" i="42"/>
  <c r="K43" i="42"/>
  <c r="J43" i="42"/>
  <c r="M42" i="42"/>
  <c r="L42" i="42"/>
  <c r="K42" i="42"/>
  <c r="J42" i="42"/>
  <c r="M41" i="42"/>
  <c r="L41" i="42"/>
  <c r="K41" i="42"/>
  <c r="J41" i="42"/>
  <c r="M40" i="42"/>
  <c r="L40" i="42"/>
  <c r="K40" i="42"/>
  <c r="J40" i="42"/>
  <c r="M39" i="42"/>
  <c r="L39" i="42"/>
  <c r="K39" i="42"/>
  <c r="J39" i="42"/>
  <c r="M38" i="42"/>
  <c r="L38" i="42"/>
  <c r="K38" i="42"/>
  <c r="J38" i="42"/>
  <c r="M37" i="42"/>
  <c r="L37" i="42"/>
  <c r="K37" i="42"/>
  <c r="J37" i="42"/>
  <c r="M36" i="42"/>
  <c r="L36" i="42"/>
  <c r="K36" i="42"/>
  <c r="J36" i="42"/>
  <c r="M35" i="42"/>
  <c r="L35" i="42"/>
  <c r="K35" i="42"/>
  <c r="J35" i="42"/>
  <c r="M34" i="42"/>
  <c r="L34" i="42"/>
  <c r="K34" i="42"/>
  <c r="J34" i="42"/>
  <c r="M33" i="42"/>
  <c r="L33" i="42"/>
  <c r="K33" i="42"/>
  <c r="J33" i="42"/>
  <c r="M32" i="42"/>
  <c r="L32" i="42"/>
  <c r="K32" i="42"/>
  <c r="J32" i="42"/>
  <c r="M31" i="42"/>
  <c r="L31" i="42"/>
  <c r="K31" i="42"/>
  <c r="J31" i="42"/>
  <c r="M30" i="42"/>
  <c r="L30" i="42"/>
  <c r="K30" i="42"/>
  <c r="J30" i="42"/>
  <c r="M29" i="42"/>
  <c r="L29" i="42"/>
  <c r="K29" i="42"/>
  <c r="J29" i="42"/>
  <c r="M28" i="42"/>
  <c r="L28" i="42"/>
  <c r="K28" i="42"/>
  <c r="J28" i="42"/>
  <c r="M27" i="42"/>
  <c r="L27" i="42"/>
  <c r="K27" i="42"/>
  <c r="J27" i="42"/>
  <c r="M26" i="42"/>
  <c r="L26" i="42"/>
  <c r="K26" i="42"/>
  <c r="J26" i="42"/>
  <c r="M25" i="42"/>
  <c r="L25" i="42"/>
  <c r="K25" i="42"/>
  <c r="J25" i="42"/>
  <c r="M24" i="42"/>
  <c r="L24" i="42"/>
  <c r="K24" i="42"/>
  <c r="J24" i="42"/>
  <c r="M23" i="42"/>
  <c r="L23" i="42"/>
  <c r="K23" i="42"/>
  <c r="J23" i="42"/>
  <c r="M22" i="42"/>
  <c r="L22" i="42"/>
  <c r="K22" i="42"/>
  <c r="J22" i="42"/>
  <c r="M21" i="42"/>
  <c r="L21" i="42"/>
  <c r="K21" i="42"/>
  <c r="J21" i="42"/>
  <c r="M20" i="42"/>
  <c r="L20" i="42"/>
  <c r="K20" i="42"/>
  <c r="J20" i="42"/>
  <c r="M19" i="42"/>
  <c r="L19" i="42"/>
  <c r="K19" i="42"/>
  <c r="J19" i="42"/>
  <c r="M18" i="42"/>
  <c r="L18" i="42"/>
  <c r="K18" i="42"/>
  <c r="J18" i="42"/>
  <c r="M17" i="42"/>
  <c r="L17" i="42"/>
  <c r="K17" i="42"/>
  <c r="J17" i="42"/>
  <c r="M16" i="42"/>
  <c r="L16" i="42"/>
  <c r="K16" i="42"/>
  <c r="J16" i="42"/>
  <c r="M15" i="42"/>
  <c r="L15" i="42"/>
  <c r="K15" i="42"/>
  <c r="J15" i="42"/>
  <c r="M14" i="42"/>
  <c r="L14" i="42"/>
  <c r="K14" i="42"/>
  <c r="J14" i="42"/>
  <c r="T13" i="42"/>
  <c r="T50" i="42" s="1"/>
  <c r="M13" i="42"/>
  <c r="L13" i="42"/>
  <c r="K13" i="42"/>
  <c r="J13" i="42"/>
  <c r="B13" i="42"/>
  <c r="M12" i="42"/>
  <c r="L12" i="42"/>
  <c r="K12" i="42"/>
  <c r="J12" i="42"/>
  <c r="I12" i="42"/>
  <c r="B12" i="42"/>
  <c r="T12" i="42" s="1"/>
  <c r="T49" i="42" s="1"/>
  <c r="T11" i="42"/>
  <c r="M11" i="42"/>
  <c r="L11" i="42"/>
  <c r="AE9" i="42"/>
  <c r="AC9" i="42"/>
  <c r="AB9" i="42"/>
  <c r="AA9" i="42"/>
  <c r="AA48" i="42" s="1"/>
  <c r="Z9" i="42"/>
  <c r="X9" i="42"/>
  <c r="X48" i="42" s="1"/>
  <c r="W9" i="42"/>
  <c r="V9" i="42"/>
  <c r="M5" i="42"/>
  <c r="L5" i="42"/>
  <c r="K5" i="42"/>
  <c r="K11" i="42" s="1"/>
  <c r="J5" i="42"/>
  <c r="J11" i="42" s="1"/>
  <c r="U3" i="42"/>
  <c r="AD48" i="42" l="1"/>
  <c r="U48" i="42"/>
  <c r="BU550" i="42"/>
  <c r="BU551" i="42" s="1"/>
  <c r="AO550" i="42"/>
  <c r="AO551" i="42" s="1"/>
  <c r="I550" i="42"/>
  <c r="I551" i="42" s="1"/>
  <c r="BE550" i="42"/>
  <c r="BE551" i="42" s="1"/>
  <c r="Y550" i="42"/>
  <c r="Y551" i="42" s="1"/>
  <c r="I13" i="42"/>
  <c r="B14" i="42"/>
  <c r="AC48" i="42"/>
  <c r="BC550" i="42"/>
  <c r="BC551" i="42" s="1"/>
  <c r="AM550" i="42"/>
  <c r="AM551" i="42" s="1"/>
  <c r="BS550" i="42"/>
  <c r="BS551" i="42" s="1"/>
  <c r="W550" i="42"/>
  <c r="W551" i="42" s="1"/>
  <c r="G550" i="42"/>
  <c r="G551" i="42" s="1"/>
  <c r="V48" i="42"/>
  <c r="AE48" i="42"/>
  <c r="W48" i="42"/>
  <c r="AB48" i="42"/>
  <c r="K559" i="42"/>
  <c r="AG550" i="42"/>
  <c r="AG551" i="42" s="1"/>
  <c r="BK550" i="42"/>
  <c r="BK551" i="42" s="1"/>
  <c r="AE550" i="42"/>
  <c r="AE551" i="42" s="1"/>
  <c r="CA550" i="42"/>
  <c r="CA551" i="42" s="1"/>
  <c r="BQ550" i="42"/>
  <c r="BQ551" i="42" s="1"/>
  <c r="BA550" i="42"/>
  <c r="BA551" i="42" s="1"/>
  <c r="AK550" i="42"/>
  <c r="AK551" i="42" s="1"/>
  <c r="U550" i="42"/>
  <c r="U551" i="42" s="1"/>
  <c r="E550" i="42"/>
  <c r="BL550" i="42"/>
  <c r="BL551" i="42" s="1"/>
  <c r="AF550" i="42"/>
  <c r="AF551" i="42" s="1"/>
  <c r="CB550" i="42"/>
  <c r="CB551" i="42" s="1"/>
  <c r="AV550" i="42"/>
  <c r="AV551" i="42" s="1"/>
  <c r="P550" i="42"/>
  <c r="P551" i="42" s="1"/>
  <c r="BR550" i="42"/>
  <c r="BR551" i="42" s="1"/>
  <c r="BB550" i="42"/>
  <c r="BB551" i="42" s="1"/>
  <c r="AL550" i="42"/>
  <c r="AL551" i="42" s="1"/>
  <c r="V550" i="42"/>
  <c r="V551" i="42" s="1"/>
  <c r="F550" i="42"/>
  <c r="F551" i="42" s="1"/>
  <c r="C551" i="42"/>
  <c r="AU550" i="42"/>
  <c r="AU551" i="42" s="1"/>
  <c r="BV550" i="42"/>
  <c r="BV551" i="42" s="1"/>
  <c r="AP550" i="42"/>
  <c r="AP551" i="42" s="1"/>
  <c r="J550" i="42"/>
  <c r="J551" i="42" s="1"/>
  <c r="BF550" i="42"/>
  <c r="BF551" i="42" s="1"/>
  <c r="Z550" i="42"/>
  <c r="Z551" i="42" s="1"/>
  <c r="H550" i="42"/>
  <c r="H551" i="42" s="1"/>
  <c r="X550" i="42"/>
  <c r="X551" i="42" s="1"/>
  <c r="BD550" i="42"/>
  <c r="BD551" i="42" s="1"/>
  <c r="BT550" i="42"/>
  <c r="BT551" i="42" s="1"/>
  <c r="BY550" i="42"/>
  <c r="BY551" i="42" s="1"/>
  <c r="BI550" i="42"/>
  <c r="BI551" i="42" s="1"/>
  <c r="AS550" i="42"/>
  <c r="AS551" i="42" s="1"/>
  <c r="AC550" i="42"/>
  <c r="AC551" i="42" s="1"/>
  <c r="M550" i="42"/>
  <c r="M551" i="42" s="1"/>
  <c r="BZ550" i="42"/>
  <c r="BZ551" i="42" s="1"/>
  <c r="BJ550" i="42"/>
  <c r="BJ551" i="42" s="1"/>
  <c r="AT550" i="42"/>
  <c r="AT551" i="42" s="1"/>
  <c r="AD550" i="42"/>
  <c r="AD551" i="42" s="1"/>
  <c r="N550" i="42"/>
  <c r="N551" i="42" s="1"/>
  <c r="D551" i="42"/>
  <c r="I559" i="42"/>
  <c r="I547" i="42"/>
  <c r="C554" i="42" l="1"/>
  <c r="C556" i="42" s="1"/>
  <c r="B15" i="42"/>
  <c r="I14" i="42"/>
  <c r="T14" i="42"/>
  <c r="T51" i="42" s="1"/>
  <c r="BW550" i="42"/>
  <c r="BW551" i="42" s="1"/>
  <c r="AQ550" i="42"/>
  <c r="AQ551" i="42" s="1"/>
  <c r="BG550" i="42"/>
  <c r="BG551" i="42" s="1"/>
  <c r="K550" i="42"/>
  <c r="K551" i="42" s="1"/>
  <c r="AA550" i="42"/>
  <c r="AA551" i="42" s="1"/>
  <c r="F583" i="42"/>
  <c r="E554" i="42"/>
  <c r="E556" i="42" s="1"/>
  <c r="E551" i="42"/>
  <c r="E586" i="42" s="1"/>
  <c r="C573" i="42"/>
  <c r="F573" i="42"/>
  <c r="D575" i="42"/>
  <c r="F565" i="42" l="1"/>
  <c r="L565" i="42" s="1"/>
  <c r="F589" i="42"/>
  <c r="L589" i="42" s="1"/>
  <c r="G592" i="42"/>
  <c r="E563" i="42"/>
  <c r="K563" i="42" s="1"/>
  <c r="C563" i="42"/>
  <c r="E570" i="42"/>
  <c r="D554" i="42"/>
  <c r="D556" i="42" s="1"/>
  <c r="K586" i="42" s="1"/>
  <c r="F581" i="42"/>
  <c r="L581" i="42" s="1"/>
  <c r="D586" i="42"/>
  <c r="J586" i="42" s="1"/>
  <c r="C576" i="42"/>
  <c r="I576" i="42" s="1"/>
  <c r="E577" i="42"/>
  <c r="K577" i="42" s="1"/>
  <c r="D564" i="42"/>
  <c r="J564" i="42" s="1"/>
  <c r="G563" i="42"/>
  <c r="M563" i="42" s="1"/>
  <c r="D566" i="42"/>
  <c r="J566" i="42" s="1"/>
  <c r="C585" i="42"/>
  <c r="I585" i="42" s="1"/>
  <c r="F576" i="42"/>
  <c r="L576" i="42" s="1"/>
  <c r="C586" i="42"/>
  <c r="I586" i="42" s="1"/>
  <c r="G571" i="42"/>
  <c r="M571" i="42" s="1"/>
  <c r="F592" i="42"/>
  <c r="L592" i="42" s="1"/>
  <c r="F564" i="42"/>
  <c r="L564" i="42" s="1"/>
  <c r="G580" i="42"/>
  <c r="M580" i="42" s="1"/>
  <c r="F562" i="42"/>
  <c r="L562" i="42" s="1"/>
  <c r="C578" i="42"/>
  <c r="I578" i="42" s="1"/>
  <c r="J575" i="42"/>
  <c r="D580" i="42"/>
  <c r="J580" i="42" s="1"/>
  <c r="F587" i="42"/>
  <c r="L587" i="42" s="1"/>
  <c r="E587" i="42"/>
  <c r="K587" i="42" s="1"/>
  <c r="C590" i="42"/>
  <c r="I590" i="42" s="1"/>
  <c r="D576" i="42"/>
  <c r="J576" i="42" s="1"/>
  <c r="G583" i="42"/>
  <c r="M583" i="42" s="1"/>
  <c r="E593" i="42"/>
  <c r="K593" i="42" s="1"/>
  <c r="C580" i="42"/>
  <c r="I580" i="42" s="1"/>
  <c r="D590" i="42"/>
  <c r="J590" i="42" s="1"/>
  <c r="F568" i="42"/>
  <c r="L568" i="42" s="1"/>
  <c r="F563" i="42"/>
  <c r="L563" i="42" s="1"/>
  <c r="D583" i="42"/>
  <c r="J583" i="42" s="1"/>
  <c r="E580" i="42"/>
  <c r="K580" i="42" s="1"/>
  <c r="E575" i="42"/>
  <c r="K575" i="42" s="1"/>
  <c r="D587" i="42"/>
  <c r="J587" i="42" s="1"/>
  <c r="C568" i="42"/>
  <c r="I568" i="42" s="1"/>
  <c r="C561" i="42"/>
  <c r="I561" i="42" s="1"/>
  <c r="I15" i="42"/>
  <c r="T15" i="42"/>
  <c r="T52" i="42" s="1"/>
  <c r="B16" i="42"/>
  <c r="F571" i="42"/>
  <c r="L571" i="42" s="1"/>
  <c r="G581" i="42"/>
  <c r="M581" i="42" s="1"/>
  <c r="C564" i="42"/>
  <c r="I564" i="42" s="1"/>
  <c r="F580" i="42"/>
  <c r="L580" i="42" s="1"/>
  <c r="D593" i="42"/>
  <c r="J593" i="42" s="1"/>
  <c r="G582" i="42"/>
  <c r="M582" i="42" s="1"/>
  <c r="G593" i="42"/>
  <c r="M593" i="42" s="1"/>
  <c r="G573" i="42"/>
  <c r="M573" i="42" s="1"/>
  <c r="G588" i="42"/>
  <c r="M588" i="42" s="1"/>
  <c r="G562" i="42"/>
  <c r="M562" i="42" s="1"/>
  <c r="C579" i="42"/>
  <c r="I579" i="42" s="1"/>
  <c r="E590" i="42"/>
  <c r="K590" i="42" s="1"/>
  <c r="D584" i="42"/>
  <c r="J584" i="42" s="1"/>
  <c r="C593" i="42"/>
  <c r="I593" i="42" s="1"/>
  <c r="E560" i="42"/>
  <c r="K560" i="42" s="1"/>
  <c r="C584" i="42"/>
  <c r="I584" i="42" s="1"/>
  <c r="C567" i="42"/>
  <c r="I567" i="42" s="1"/>
  <c r="E589" i="42"/>
  <c r="K589" i="42" s="1"/>
  <c r="D560" i="42"/>
  <c r="J560" i="42" s="1"/>
  <c r="D589" i="42"/>
  <c r="J589" i="42" s="1"/>
  <c r="D573" i="42"/>
  <c r="J573" i="42" s="1"/>
  <c r="E573" i="42"/>
  <c r="K573" i="42" s="1"/>
  <c r="G568" i="42"/>
  <c r="M568" i="42" s="1"/>
  <c r="E571" i="42"/>
  <c r="K571" i="42" s="1"/>
  <c r="G585" i="42"/>
  <c r="M585" i="42" s="1"/>
  <c r="D588" i="42"/>
  <c r="J588" i="42" s="1"/>
  <c r="F561" i="42"/>
  <c r="L561" i="42" s="1"/>
  <c r="G565" i="42"/>
  <c r="M565" i="42" s="1"/>
  <c r="G566" i="42"/>
  <c r="M566" i="42" s="1"/>
  <c r="F574" i="42"/>
  <c r="L574" i="42" s="1"/>
  <c r="C577" i="42"/>
  <c r="I577" i="42" s="1"/>
  <c r="E592" i="42"/>
  <c r="K592" i="42" s="1"/>
  <c r="D563" i="42"/>
  <c r="J563" i="42" s="1"/>
  <c r="L583" i="42"/>
  <c r="E581" i="42"/>
  <c r="K581" i="42" s="1"/>
  <c r="G569" i="42"/>
  <c r="M569" i="42" s="1"/>
  <c r="G574" i="42"/>
  <c r="M574" i="42" s="1"/>
  <c r="D581" i="42"/>
  <c r="J581" i="42" s="1"/>
  <c r="C566" i="42"/>
  <c r="I566" i="42" s="1"/>
  <c r="G579" i="42"/>
  <c r="M579" i="42" s="1"/>
  <c r="C572" i="42"/>
  <c r="I572" i="42" s="1"/>
  <c r="C574" i="42"/>
  <c r="I574" i="42" s="1"/>
  <c r="E572" i="42"/>
  <c r="K572" i="42" s="1"/>
  <c r="D585" i="42"/>
  <c r="J585" i="42" s="1"/>
  <c r="D579" i="42"/>
  <c r="J579" i="42" s="1"/>
  <c r="E574" i="42"/>
  <c r="K574" i="42" s="1"/>
  <c r="C575" i="42"/>
  <c r="I575" i="42" s="1"/>
  <c r="F590" i="42"/>
  <c r="L590" i="42" s="1"/>
  <c r="C565" i="42"/>
  <c r="I565" i="42" s="1"/>
  <c r="G577" i="42"/>
  <c r="M577" i="42" s="1"/>
  <c r="C587" i="42"/>
  <c r="I587" i="42" s="1"/>
  <c r="C591" i="42"/>
  <c r="I591" i="42" s="1"/>
  <c r="E583" i="42"/>
  <c r="K583" i="42" s="1"/>
  <c r="F567" i="42"/>
  <c r="L567" i="42" s="1"/>
  <c r="C582" i="42"/>
  <c r="I582" i="42" s="1"/>
  <c r="E579" i="42"/>
  <c r="K579" i="42" s="1"/>
  <c r="D568" i="42"/>
  <c r="J568" i="42" s="1"/>
  <c r="D582" i="42"/>
  <c r="J582" i="42" s="1"/>
  <c r="E569" i="42"/>
  <c r="K569" i="42" s="1"/>
  <c r="F591" i="42"/>
  <c r="L591" i="42" s="1"/>
  <c r="E584" i="42"/>
  <c r="K584" i="42" s="1"/>
  <c r="E588" i="42"/>
  <c r="K588" i="42" s="1"/>
  <c r="D577" i="42"/>
  <c r="J577" i="42" s="1"/>
  <c r="C581" i="42"/>
  <c r="I581" i="42" s="1"/>
  <c r="D570" i="42"/>
  <c r="J570" i="42" s="1"/>
  <c r="C569" i="42"/>
  <c r="I569" i="42" s="1"/>
  <c r="D567" i="42"/>
  <c r="J567" i="42" s="1"/>
  <c r="G576" i="42"/>
  <c r="M576" i="42" s="1"/>
  <c r="F584" i="42"/>
  <c r="L584" i="42" s="1"/>
  <c r="F585" i="42"/>
  <c r="L585" i="42" s="1"/>
  <c r="C560" i="42"/>
  <c r="I560" i="42" s="1"/>
  <c r="E564" i="42"/>
  <c r="K564" i="42" s="1"/>
  <c r="L573" i="42"/>
  <c r="D561" i="42"/>
  <c r="J561" i="42" s="1"/>
  <c r="F575" i="42"/>
  <c r="L575" i="42" s="1"/>
  <c r="F578" i="42"/>
  <c r="L578" i="42" s="1"/>
  <c r="D574" i="42"/>
  <c r="J574" i="42" s="1"/>
  <c r="F593" i="42"/>
  <c r="L593" i="42" s="1"/>
  <c r="G578" i="42"/>
  <c r="M578" i="42" s="1"/>
  <c r="C562" i="42"/>
  <c r="I562" i="42" s="1"/>
  <c r="D592" i="42"/>
  <c r="J592" i="42" s="1"/>
  <c r="F570" i="42"/>
  <c r="L570" i="42" s="1"/>
  <c r="C571" i="42"/>
  <c r="I571" i="42" s="1"/>
  <c r="D565" i="42"/>
  <c r="J565" i="42" s="1"/>
  <c r="G570" i="42"/>
  <c r="M570" i="42" s="1"/>
  <c r="G586" i="42"/>
  <c r="M586" i="42" s="1"/>
  <c r="C588" i="42"/>
  <c r="I588" i="42" s="1"/>
  <c r="C570" i="42"/>
  <c r="I570" i="42" s="1"/>
  <c r="G561" i="42"/>
  <c r="M561" i="42" s="1"/>
  <c r="G564" i="42"/>
  <c r="M564" i="42" s="1"/>
  <c r="E568" i="42"/>
  <c r="K568" i="42" s="1"/>
  <c r="F569" i="42"/>
  <c r="L569" i="42" s="1"/>
  <c r="F582" i="42"/>
  <c r="L582" i="42" s="1"/>
  <c r="F588" i="42"/>
  <c r="L588" i="42" s="1"/>
  <c r="G572" i="42"/>
  <c r="M572" i="42" s="1"/>
  <c r="E576" i="42"/>
  <c r="K576" i="42" s="1"/>
  <c r="D591" i="42"/>
  <c r="J591" i="42" s="1"/>
  <c r="E562" i="42"/>
  <c r="K562" i="42" s="1"/>
  <c r="C583" i="42"/>
  <c r="I583" i="42" s="1"/>
  <c r="E585" i="42"/>
  <c r="K585" i="42" s="1"/>
  <c r="D572" i="42"/>
  <c r="J572" i="42" s="1"/>
  <c r="G567" i="42"/>
  <c r="M567" i="42" s="1"/>
  <c r="F560" i="42"/>
  <c r="L560" i="42" s="1"/>
  <c r="G589" i="42"/>
  <c r="M589" i="42" s="1"/>
  <c r="F566" i="42"/>
  <c r="L566" i="42" s="1"/>
  <c r="G584" i="42"/>
  <c r="M584" i="42" s="1"/>
  <c r="E565" i="42"/>
  <c r="K565" i="42" s="1"/>
  <c r="C589" i="42"/>
  <c r="I589" i="42" s="1"/>
  <c r="G575" i="42"/>
  <c r="M575" i="42" s="1"/>
  <c r="C592" i="42"/>
  <c r="I592" i="42" s="1"/>
  <c r="E566" i="42"/>
  <c r="K566" i="42" s="1"/>
  <c r="D562" i="42"/>
  <c r="J562" i="42" s="1"/>
  <c r="G591" i="42"/>
  <c r="M591" i="42" s="1"/>
  <c r="E567" i="42"/>
  <c r="K567" i="42" s="1"/>
  <c r="F586" i="42"/>
  <c r="L586" i="42" s="1"/>
  <c r="E582" i="42"/>
  <c r="K582" i="42" s="1"/>
  <c r="E591" i="42"/>
  <c r="K591" i="42" s="1"/>
  <c r="G560" i="42"/>
  <c r="M560" i="42" s="1"/>
  <c r="F579" i="42"/>
  <c r="L579" i="42" s="1"/>
  <c r="D578" i="42"/>
  <c r="J578" i="42" s="1"/>
  <c r="F572" i="42"/>
  <c r="L572" i="42" s="1"/>
  <c r="D569" i="42"/>
  <c r="J569" i="42" s="1"/>
  <c r="F577" i="42"/>
  <c r="L577" i="42" s="1"/>
  <c r="G587" i="42"/>
  <c r="M587" i="42" s="1"/>
  <c r="G590" i="42"/>
  <c r="M590" i="42" s="1"/>
  <c r="D571" i="42"/>
  <c r="J571" i="42" s="1"/>
  <c r="E561" i="42"/>
  <c r="K561" i="42" s="1"/>
  <c r="E578" i="42"/>
  <c r="K578" i="42" s="1"/>
  <c r="M592" i="42" l="1"/>
  <c r="I16" i="42"/>
  <c r="T16" i="42"/>
  <c r="T53" i="42" s="1"/>
  <c r="B17" i="42"/>
  <c r="I573" i="42"/>
  <c r="K570" i="42"/>
  <c r="I563" i="42"/>
  <c r="T17" i="42" l="1"/>
  <c r="T54" i="42" s="1"/>
  <c r="B18" i="42"/>
  <c r="I17" i="42"/>
  <c r="B19" i="42" l="1"/>
  <c r="T18" i="42"/>
  <c r="T55" i="42" s="1"/>
  <c r="I18" i="42"/>
  <c r="I19" i="42" l="1"/>
  <c r="B20" i="42"/>
  <c r="T19" i="42"/>
  <c r="T56" i="42" s="1"/>
  <c r="B21" i="42" l="1"/>
  <c r="I20" i="42"/>
  <c r="T20" i="42"/>
  <c r="T57" i="42" s="1"/>
  <c r="B22" i="42" l="1"/>
  <c r="I21" i="42"/>
  <c r="T21" i="42"/>
  <c r="T58" i="42" s="1"/>
  <c r="B23" i="42" l="1"/>
  <c r="I22" i="42"/>
  <c r="T22" i="42"/>
  <c r="T59" i="42" s="1"/>
  <c r="T23" i="42" l="1"/>
  <c r="T60" i="42" s="1"/>
  <c r="I23" i="42"/>
  <c r="B24" i="42"/>
  <c r="I24" i="42" l="1"/>
  <c r="T24" i="42"/>
  <c r="T61" i="42" s="1"/>
  <c r="B25" i="42"/>
  <c r="T25" i="42" l="1"/>
  <c r="T62" i="42" s="1"/>
  <c r="B26" i="42"/>
  <c r="I25" i="42"/>
  <c r="B27" i="42" l="1"/>
  <c r="I26" i="42"/>
  <c r="T26" i="42"/>
  <c r="T63" i="42" s="1"/>
  <c r="B28" i="42" l="1"/>
  <c r="I27" i="42"/>
  <c r="T27" i="42"/>
  <c r="T64" i="42" s="1"/>
  <c r="B29" i="42" l="1"/>
  <c r="T28" i="42"/>
  <c r="T65" i="42" s="1"/>
  <c r="I28" i="42"/>
  <c r="B30" i="42" l="1"/>
  <c r="T29" i="42"/>
  <c r="T66" i="42" s="1"/>
  <c r="I29" i="42"/>
  <c r="B31" i="42" l="1"/>
  <c r="T30" i="42"/>
  <c r="T67" i="42" s="1"/>
  <c r="I30" i="42"/>
  <c r="I31" i="42" l="1"/>
  <c r="T31" i="42"/>
  <c r="T68" i="42" s="1"/>
  <c r="B32" i="42"/>
  <c r="T32" i="42" l="1"/>
  <c r="T69" i="42" s="1"/>
  <c r="B33" i="42"/>
  <c r="I32" i="42"/>
  <c r="B34" i="42" l="1"/>
  <c r="I33" i="42"/>
  <c r="T33" i="42"/>
  <c r="T70" i="42" s="1"/>
  <c r="T34" i="42" l="1"/>
  <c r="T71" i="42" s="1"/>
  <c r="I34" i="42"/>
  <c r="B35" i="42"/>
  <c r="B36" i="42" l="1"/>
  <c r="I35" i="42"/>
  <c r="T35" i="42"/>
  <c r="T72" i="42" s="1"/>
  <c r="I36" i="42" l="1"/>
  <c r="B37" i="42"/>
  <c r="T36" i="42"/>
  <c r="T73" i="42" s="1"/>
  <c r="T37" i="42" l="1"/>
  <c r="T74" i="42" s="1"/>
  <c r="I37" i="42"/>
  <c r="B38" i="42"/>
  <c r="B39" i="42" l="1"/>
  <c r="T38" i="42"/>
  <c r="T75" i="42" s="1"/>
  <c r="I38" i="42"/>
  <c r="I39" i="42" l="1"/>
  <c r="T39" i="42"/>
  <c r="T76" i="42" s="1"/>
  <c r="B40" i="42"/>
  <c r="T40" i="42" l="1"/>
  <c r="T77" i="42" s="1"/>
  <c r="B41" i="42"/>
  <c r="I40" i="42"/>
  <c r="B42" i="42" l="1"/>
  <c r="I41" i="42"/>
  <c r="T41" i="42"/>
  <c r="T78" i="42" s="1"/>
  <c r="T42" i="42" l="1"/>
  <c r="T79" i="42" s="1"/>
  <c r="I42" i="42"/>
  <c r="B43" i="42"/>
  <c r="B44" i="42" l="1"/>
  <c r="T43" i="42"/>
  <c r="T80" i="42" s="1"/>
  <c r="I43" i="42"/>
  <c r="I44" i="42" l="1"/>
  <c r="T44" i="42"/>
  <c r="T81" i="42" s="1"/>
  <c r="AD8" i="42"/>
  <c r="X8" i="42"/>
  <c r="Y8" i="42"/>
  <c r="AB8" i="42"/>
  <c r="AA8" i="42"/>
  <c r="Z8" i="42"/>
  <c r="U8" i="42"/>
  <c r="AC8" i="42"/>
  <c r="W8" i="42"/>
  <c r="V8" i="42"/>
  <c r="AE8" i="42"/>
  <c r="Y41" i="42" l="1"/>
  <c r="Y33" i="42"/>
  <c r="Y38" i="42"/>
  <c r="Y43" i="42"/>
  <c r="Y35" i="42"/>
  <c r="Y40" i="42"/>
  <c r="Y34" i="42"/>
  <c r="Y32" i="42"/>
  <c r="Y26" i="42"/>
  <c r="Y18" i="42"/>
  <c r="Y21" i="42"/>
  <c r="Y14" i="42"/>
  <c r="Y11" i="42"/>
  <c r="Y25" i="42"/>
  <c r="Y37" i="42"/>
  <c r="Y31" i="42"/>
  <c r="Y20" i="42"/>
  <c r="Y7" i="42"/>
  <c r="Y29" i="42"/>
  <c r="Y42" i="42"/>
  <c r="Y27" i="42"/>
  <c r="Y13" i="42"/>
  <c r="Y19" i="42"/>
  <c r="Y28" i="42"/>
  <c r="Y36" i="42"/>
  <c r="Y24" i="42"/>
  <c r="Y30" i="42"/>
  <c r="Y22" i="42"/>
  <c r="Y39" i="42"/>
  <c r="Y17" i="42"/>
  <c r="Y44" i="42"/>
  <c r="Y12" i="42"/>
  <c r="Y23" i="42"/>
  <c r="Y16" i="42"/>
  <c r="Y15" i="42"/>
  <c r="V42" i="42"/>
  <c r="V34" i="42"/>
  <c r="V39" i="42"/>
  <c r="V44" i="42"/>
  <c r="V36" i="42"/>
  <c r="V40" i="42"/>
  <c r="V27" i="42"/>
  <c r="V19" i="42"/>
  <c r="V43" i="42"/>
  <c r="V38" i="42"/>
  <c r="V23" i="42"/>
  <c r="V17" i="42"/>
  <c r="V16" i="42"/>
  <c r="V12" i="42"/>
  <c r="V32" i="42"/>
  <c r="V30" i="42"/>
  <c r="V15" i="42"/>
  <c r="V20" i="42"/>
  <c r="V22" i="42"/>
  <c r="V21" i="42"/>
  <c r="V14" i="42"/>
  <c r="V11" i="42"/>
  <c r="V7" i="42"/>
  <c r="V26" i="42"/>
  <c r="V41" i="42"/>
  <c r="V37" i="42"/>
  <c r="V31" i="42"/>
  <c r="V28" i="42"/>
  <c r="V35" i="42"/>
  <c r="V18" i="42"/>
  <c r="V33" i="42"/>
  <c r="V24" i="42"/>
  <c r="V29" i="42"/>
  <c r="V25" i="42"/>
  <c r="V13" i="42"/>
  <c r="X44" i="42"/>
  <c r="X36" i="42"/>
  <c r="X28" i="42"/>
  <c r="X41" i="42"/>
  <c r="X38" i="42"/>
  <c r="X43" i="42"/>
  <c r="X42" i="42"/>
  <c r="X39" i="42"/>
  <c r="X35" i="42"/>
  <c r="X21" i="42"/>
  <c r="X22" i="42"/>
  <c r="X34" i="42"/>
  <c r="X14" i="42"/>
  <c r="X11" i="42"/>
  <c r="X18" i="42"/>
  <c r="X37" i="42"/>
  <c r="X31" i="42"/>
  <c r="X20" i="42"/>
  <c r="X7" i="42"/>
  <c r="X27" i="42"/>
  <c r="X13" i="42"/>
  <c r="X32" i="42"/>
  <c r="X26" i="42"/>
  <c r="X40" i="42"/>
  <c r="X19" i="42"/>
  <c r="X33" i="42"/>
  <c r="X25" i="42"/>
  <c r="X30" i="42"/>
  <c r="X12" i="42"/>
  <c r="X17" i="42"/>
  <c r="X16" i="42"/>
  <c r="X24" i="42"/>
  <c r="X29" i="42"/>
  <c r="X23" i="42"/>
  <c r="X15" i="42"/>
  <c r="AB40" i="42"/>
  <c r="AB32" i="42"/>
  <c r="AB37" i="42"/>
  <c r="AB42" i="42"/>
  <c r="AB34" i="42"/>
  <c r="AB29" i="42"/>
  <c r="AB25" i="42"/>
  <c r="AB17" i="42"/>
  <c r="AB28" i="42"/>
  <c r="AB27" i="42"/>
  <c r="AB26" i="42"/>
  <c r="AB19" i="42"/>
  <c r="AB44" i="42"/>
  <c r="AB41" i="42"/>
  <c r="AB18" i="42"/>
  <c r="AB15" i="42"/>
  <c r="AB30" i="42"/>
  <c r="AB36" i="42"/>
  <c r="AB24" i="42"/>
  <c r="AB12" i="42"/>
  <c r="AB23" i="42"/>
  <c r="AB16" i="42"/>
  <c r="AB35" i="42"/>
  <c r="AB22" i="42"/>
  <c r="AB33" i="42"/>
  <c r="AB39" i="42"/>
  <c r="AB38" i="42"/>
  <c r="AB11" i="42"/>
  <c r="AB31" i="42"/>
  <c r="AB13" i="42"/>
  <c r="AB14" i="42"/>
  <c r="AB21" i="42"/>
  <c r="AB7" i="42"/>
  <c r="AB43" i="42"/>
  <c r="AB20" i="42"/>
  <c r="AC37" i="42"/>
  <c r="AC29" i="42"/>
  <c r="AC42" i="42"/>
  <c r="AC39" i="42"/>
  <c r="AC43" i="42"/>
  <c r="AC44" i="42"/>
  <c r="AC41" i="42"/>
  <c r="AC38" i="42"/>
  <c r="AC34" i="42"/>
  <c r="AC32" i="42"/>
  <c r="AC31" i="42"/>
  <c r="AC36" i="42"/>
  <c r="AC28" i="42"/>
  <c r="AC22" i="42"/>
  <c r="AC14" i="42"/>
  <c r="AC18" i="42"/>
  <c r="AC25" i="42"/>
  <c r="AC24" i="42"/>
  <c r="AC12" i="42"/>
  <c r="AC21" i="42"/>
  <c r="AC11" i="42"/>
  <c r="AC33" i="42"/>
  <c r="AC23" i="42"/>
  <c r="AC17" i="42"/>
  <c r="AC16" i="42"/>
  <c r="AC15" i="42"/>
  <c r="AC30" i="42"/>
  <c r="AC40" i="42"/>
  <c r="AC35" i="42"/>
  <c r="AC20" i="42"/>
  <c r="AC19" i="42"/>
  <c r="AC26" i="42"/>
  <c r="AC13" i="42"/>
  <c r="AC27" i="42"/>
  <c r="AC7" i="42"/>
  <c r="U37" i="42"/>
  <c r="U29" i="42"/>
  <c r="U42" i="42"/>
  <c r="U39" i="42"/>
  <c r="U35" i="42"/>
  <c r="U36" i="42"/>
  <c r="U30" i="42"/>
  <c r="U43" i="42"/>
  <c r="U22" i="42"/>
  <c r="U14" i="42"/>
  <c r="U25" i="42"/>
  <c r="U24" i="42"/>
  <c r="U31" i="42"/>
  <c r="U38" i="42"/>
  <c r="U23" i="42"/>
  <c r="U17" i="42"/>
  <c r="U16" i="42"/>
  <c r="U12" i="42"/>
  <c r="U41" i="42"/>
  <c r="U15" i="42"/>
  <c r="U21" i="42"/>
  <c r="U11" i="42"/>
  <c r="U34" i="42"/>
  <c r="U27" i="42"/>
  <c r="U44" i="42"/>
  <c r="U19" i="42"/>
  <c r="U7" i="42"/>
  <c r="U26" i="42"/>
  <c r="U28" i="42"/>
  <c r="U18" i="42"/>
  <c r="U32" i="42"/>
  <c r="U20" i="42"/>
  <c r="U13" i="42"/>
  <c r="U40" i="42"/>
  <c r="U33" i="42"/>
  <c r="AE39" i="42"/>
  <c r="AE31" i="42"/>
  <c r="AE44" i="42"/>
  <c r="AE36" i="42"/>
  <c r="AE41" i="42"/>
  <c r="AE33" i="42"/>
  <c r="AE38" i="42"/>
  <c r="AE37" i="42"/>
  <c r="AE27" i="42"/>
  <c r="AE24" i="42"/>
  <c r="AE16" i="42"/>
  <c r="AE42" i="42"/>
  <c r="AE23" i="42"/>
  <c r="AE17" i="42"/>
  <c r="AE20" i="42"/>
  <c r="AE26" i="42"/>
  <c r="AE29" i="42"/>
  <c r="AE15" i="42"/>
  <c r="AE43" i="42"/>
  <c r="AE40" i="42"/>
  <c r="AE35" i="42"/>
  <c r="AE22" i="42"/>
  <c r="AE21" i="42"/>
  <c r="AE11" i="42"/>
  <c r="AE7" i="42"/>
  <c r="AE13" i="42"/>
  <c r="AE30" i="42"/>
  <c r="AE14" i="42"/>
  <c r="AE28" i="42"/>
  <c r="AE18" i="42"/>
  <c r="AE32" i="42"/>
  <c r="AE25" i="42"/>
  <c r="AE34" i="42"/>
  <c r="AE19" i="42"/>
  <c r="AE12" i="42"/>
  <c r="AD42" i="42"/>
  <c r="AD34" i="42"/>
  <c r="AD39" i="42"/>
  <c r="AD44" i="42"/>
  <c r="AD36" i="42"/>
  <c r="AD40" i="42"/>
  <c r="AD35" i="42"/>
  <c r="AD30" i="42"/>
  <c r="AD19" i="42"/>
  <c r="AD41" i="42"/>
  <c r="AD37" i="42"/>
  <c r="AD32" i="42"/>
  <c r="AD25" i="42"/>
  <c r="AD24" i="42"/>
  <c r="AD12" i="42"/>
  <c r="AD14" i="42"/>
  <c r="AD33" i="42"/>
  <c r="AD23" i="42"/>
  <c r="AD17" i="42"/>
  <c r="AD16" i="42"/>
  <c r="AD43" i="42"/>
  <c r="AD38" i="42"/>
  <c r="AD29" i="42"/>
  <c r="AD15" i="42"/>
  <c r="AD11" i="42"/>
  <c r="AD22" i="42"/>
  <c r="AD21" i="42"/>
  <c r="AD7" i="42"/>
  <c r="AD18" i="42"/>
  <c r="AD31" i="42"/>
  <c r="AD26" i="42"/>
  <c r="AD13" i="42"/>
  <c r="AD27" i="42"/>
  <c r="AD20" i="42"/>
  <c r="AD28" i="42"/>
  <c r="Z38" i="42"/>
  <c r="Z30" i="42"/>
  <c r="Z43" i="42"/>
  <c r="Z35" i="42"/>
  <c r="Z40" i="42"/>
  <c r="Z42" i="42"/>
  <c r="Z39" i="42"/>
  <c r="Z36" i="42"/>
  <c r="Z37" i="42"/>
  <c r="Z44" i="42"/>
  <c r="Z41" i="42"/>
  <c r="Z31" i="42"/>
  <c r="Z23" i="42"/>
  <c r="Z15" i="42"/>
  <c r="Z34" i="42"/>
  <c r="Z20" i="42"/>
  <c r="Z7" i="42"/>
  <c r="Z29" i="42"/>
  <c r="Z17" i="42"/>
  <c r="Z27" i="42"/>
  <c r="Z13" i="42"/>
  <c r="Z32" i="42"/>
  <c r="Z28" i="42"/>
  <c r="Z26" i="42"/>
  <c r="Z19" i="42"/>
  <c r="Z18" i="42"/>
  <c r="Z24" i="42"/>
  <c r="Z25" i="42"/>
  <c r="Z33" i="42"/>
  <c r="Z12" i="42"/>
  <c r="Z11" i="42"/>
  <c r="Z22" i="42"/>
  <c r="Z16" i="42"/>
  <c r="Z14" i="42"/>
  <c r="Z21" i="42"/>
  <c r="W39" i="42"/>
  <c r="W31" i="42"/>
  <c r="W44" i="42"/>
  <c r="W36" i="42"/>
  <c r="W41" i="42"/>
  <c r="W29" i="42"/>
  <c r="W38" i="42"/>
  <c r="W37" i="42"/>
  <c r="W33" i="42"/>
  <c r="W24" i="42"/>
  <c r="W16" i="42"/>
  <c r="W30" i="42"/>
  <c r="W15" i="42"/>
  <c r="W32" i="42"/>
  <c r="W26" i="42"/>
  <c r="W13" i="42"/>
  <c r="W22" i="42"/>
  <c r="W21" i="42"/>
  <c r="W28" i="42"/>
  <c r="W40" i="42"/>
  <c r="W34" i="42"/>
  <c r="W14" i="42"/>
  <c r="W11" i="42"/>
  <c r="W20" i="42"/>
  <c r="W27" i="42"/>
  <c r="W35" i="42"/>
  <c r="W42" i="42"/>
  <c r="W7" i="42"/>
  <c r="W18" i="42"/>
  <c r="W12" i="42"/>
  <c r="W25" i="42"/>
  <c r="W23" i="42"/>
  <c r="W19" i="42"/>
  <c r="W17" i="42"/>
  <c r="W43" i="42"/>
  <c r="AA43" i="42"/>
  <c r="AA35" i="42"/>
  <c r="AA27" i="42"/>
  <c r="AA40" i="42"/>
  <c r="AA37" i="42"/>
  <c r="AA33" i="42"/>
  <c r="AA30" i="42"/>
  <c r="AA20" i="42"/>
  <c r="AA31" i="42"/>
  <c r="AA13" i="42"/>
  <c r="AA42" i="42"/>
  <c r="AA32" i="42"/>
  <c r="AA28" i="42"/>
  <c r="AA26" i="42"/>
  <c r="AA19" i="42"/>
  <c r="AA16" i="42"/>
  <c r="AA41" i="42"/>
  <c r="AA25" i="42"/>
  <c r="AA18" i="42"/>
  <c r="AA29" i="42"/>
  <c r="AA24" i="42"/>
  <c r="AA17" i="42"/>
  <c r="AA12" i="42"/>
  <c r="AA44" i="42"/>
  <c r="AA36" i="42"/>
  <c r="AA23" i="42"/>
  <c r="AA7" i="42"/>
  <c r="AA38" i="42"/>
  <c r="AA11" i="42"/>
  <c r="AA39" i="42"/>
  <c r="AA15" i="42"/>
  <c r="AA14" i="42"/>
  <c r="AA34" i="42"/>
  <c r="AA22" i="42"/>
  <c r="AA21" i="42"/>
  <c r="V10" i="42" l="1"/>
  <c r="AE58" i="42"/>
  <c r="V70" i="42"/>
  <c r="X77" i="42"/>
  <c r="AC77" i="42"/>
  <c r="AB75" i="42"/>
  <c r="AE55" i="42"/>
  <c r="AB10" i="42"/>
  <c r="Y67" i="42"/>
  <c r="U57" i="42"/>
  <c r="X66" i="42"/>
  <c r="Y74" i="42"/>
  <c r="Y64" i="42"/>
  <c r="AA65" i="42"/>
  <c r="Y61" i="42"/>
  <c r="X60" i="42"/>
  <c r="V80" i="42"/>
  <c r="U78" i="42"/>
  <c r="AC81" i="42"/>
  <c r="AA80" i="42"/>
  <c r="W67" i="42"/>
  <c r="Z10" i="42"/>
  <c r="AE78" i="42"/>
  <c r="AC67" i="42"/>
  <c r="AC49" i="42"/>
  <c r="AB53" i="42"/>
  <c r="W10" i="42"/>
  <c r="AA71" i="42"/>
  <c r="AA68" i="42"/>
  <c r="W77" i="42"/>
  <c r="W73" i="42"/>
  <c r="Z65" i="42"/>
  <c r="Z71" i="42"/>
  <c r="AB50" i="42"/>
  <c r="X81" i="42"/>
  <c r="V81" i="42"/>
  <c r="Y81" i="42"/>
  <c r="AA59" i="42"/>
  <c r="W52" i="42"/>
  <c r="Z57" i="42"/>
  <c r="AE59" i="42"/>
  <c r="AE70" i="42"/>
  <c r="U50" i="42"/>
  <c r="AC73" i="42"/>
  <c r="AB55" i="42"/>
  <c r="AA56" i="42"/>
  <c r="AE53" i="42"/>
  <c r="U10" i="42"/>
  <c r="U73" i="42"/>
  <c r="X53" i="42"/>
  <c r="X63" i="42"/>
  <c r="X55" i="42"/>
  <c r="W80" i="42"/>
  <c r="AA50" i="42"/>
  <c r="AA72" i="42"/>
  <c r="W55" i="42"/>
  <c r="W71" i="42"/>
  <c r="W78" i="42"/>
  <c r="Z63" i="42"/>
  <c r="Z73" i="42"/>
  <c r="AE54" i="42"/>
  <c r="U81" i="42"/>
  <c r="U59" i="42"/>
  <c r="U74" i="42"/>
  <c r="AC58" i="42"/>
  <c r="AB51" i="42"/>
  <c r="AB72" i="42"/>
  <c r="AB62" i="42"/>
  <c r="X70" i="42"/>
  <c r="X57" i="42"/>
  <c r="X73" i="42"/>
  <c r="V72" i="42"/>
  <c r="V51" i="42"/>
  <c r="V53" i="42"/>
  <c r="Y49" i="42"/>
  <c r="Y65" i="42"/>
  <c r="Y69" i="42"/>
  <c r="Z59" i="42"/>
  <c r="Y68" i="42"/>
  <c r="AA78" i="42"/>
  <c r="AE65" i="42"/>
  <c r="AE72" i="42"/>
  <c r="U64" i="42"/>
  <c r="U80" i="42"/>
  <c r="AC79" i="42"/>
  <c r="AB78" i="42"/>
  <c r="AB66" i="42"/>
  <c r="X68" i="42"/>
  <c r="X72" i="42"/>
  <c r="V65" i="42"/>
  <c r="Y56" i="42"/>
  <c r="Y71" i="42"/>
  <c r="AE77" i="42"/>
  <c r="U67" i="42"/>
  <c r="AC52" i="42"/>
  <c r="AC66" i="42"/>
  <c r="AB60" i="42"/>
  <c r="V50" i="42"/>
  <c r="AA62" i="42"/>
  <c r="U53" i="42"/>
  <c r="AA49" i="42"/>
  <c r="AA67" i="42"/>
  <c r="W58" i="42"/>
  <c r="W61" i="42"/>
  <c r="AE49" i="42"/>
  <c r="AE67" i="42"/>
  <c r="AC71" i="42"/>
  <c r="X79" i="42"/>
  <c r="V62" i="42"/>
  <c r="V57" i="42"/>
  <c r="V71" i="42"/>
  <c r="AA70" i="42"/>
  <c r="W64" i="42"/>
  <c r="W70" i="42"/>
  <c r="Z62" i="42"/>
  <c r="Z68" i="42"/>
  <c r="AC55" i="42"/>
  <c r="AB74" i="42"/>
  <c r="X10" i="42"/>
  <c r="V78" i="42"/>
  <c r="Y59" i="42"/>
  <c r="Y79" i="42"/>
  <c r="AA75" i="42"/>
  <c r="AA66" i="42"/>
  <c r="W75" i="42"/>
  <c r="Z55" i="42"/>
  <c r="Z81" i="42"/>
  <c r="U62" i="42"/>
  <c r="AC57" i="42"/>
  <c r="AB70" i="42"/>
  <c r="AB65" i="42"/>
  <c r="Y53" i="42"/>
  <c r="U77" i="42"/>
  <c r="AE60" i="42"/>
  <c r="AA52" i="42"/>
  <c r="AA54" i="42"/>
  <c r="AB61" i="42"/>
  <c r="Y80" i="42"/>
  <c r="W50" i="42"/>
  <c r="Z54" i="42"/>
  <c r="Z80" i="42"/>
  <c r="U52" i="42"/>
  <c r="U61" i="42"/>
  <c r="X75" i="42"/>
  <c r="V61" i="42"/>
  <c r="V56" i="42"/>
  <c r="Y58" i="42"/>
  <c r="Z70" i="42"/>
  <c r="AC62" i="42"/>
  <c r="U68" i="42"/>
  <c r="AE74" i="42"/>
  <c r="U70" i="42"/>
  <c r="AC70" i="42"/>
  <c r="X78" i="42"/>
  <c r="V69" i="42"/>
  <c r="W54" i="42"/>
  <c r="Z50" i="42"/>
  <c r="AE80" i="42"/>
  <c r="AC53" i="42"/>
  <c r="Y72" i="42"/>
  <c r="AE52" i="42"/>
  <c r="U72" i="42"/>
  <c r="Y51" i="42"/>
  <c r="AA58" i="42"/>
  <c r="Z53" i="42"/>
  <c r="U54" i="42"/>
  <c r="AC68" i="42"/>
  <c r="X56" i="42"/>
  <c r="V58" i="42"/>
  <c r="V54" i="42"/>
  <c r="AA51" i="42"/>
  <c r="AA81" i="42"/>
  <c r="AA53" i="42"/>
  <c r="AA57" i="42"/>
  <c r="W79" i="42"/>
  <c r="W65" i="42"/>
  <c r="W53" i="42"/>
  <c r="W81" i="42"/>
  <c r="Z49" i="42"/>
  <c r="Z69" i="42"/>
  <c r="Z52" i="42"/>
  <c r="Z79" i="42"/>
  <c r="AD64" i="42"/>
  <c r="AG27" i="42"/>
  <c r="AG11" i="42"/>
  <c r="AD10" i="42"/>
  <c r="AD70" i="42"/>
  <c r="AG33" i="42"/>
  <c r="AD56" i="42"/>
  <c r="AG19" i="42"/>
  <c r="AD79" i="42"/>
  <c r="AG42" i="42"/>
  <c r="AE51" i="42"/>
  <c r="AE79" i="42"/>
  <c r="AE73" i="42"/>
  <c r="U69" i="42"/>
  <c r="U71" i="42"/>
  <c r="U60" i="42"/>
  <c r="AC64" i="42"/>
  <c r="AC61" i="42"/>
  <c r="AC69" i="42"/>
  <c r="AB68" i="42"/>
  <c r="AB81" i="42"/>
  <c r="AB71" i="42"/>
  <c r="X61" i="42"/>
  <c r="X74" i="42"/>
  <c r="X76" i="42"/>
  <c r="X45" i="42"/>
  <c r="V68" i="42"/>
  <c r="V59" i="42"/>
  <c r="V60" i="42"/>
  <c r="V76" i="42"/>
  <c r="V45" i="42"/>
  <c r="Y54" i="42"/>
  <c r="Y50" i="42"/>
  <c r="Y62" i="42"/>
  <c r="Y77" i="42"/>
  <c r="AD54" i="42"/>
  <c r="AG17" i="42"/>
  <c r="AC76" i="42"/>
  <c r="AC45" i="42"/>
  <c r="Z45" i="42"/>
  <c r="Z76" i="42"/>
  <c r="AD60" i="42"/>
  <c r="AG23" i="42"/>
  <c r="AD71" i="42"/>
  <c r="AG34" i="42"/>
  <c r="Z77" i="42"/>
  <c r="AG14" i="42"/>
  <c r="AD51" i="42"/>
  <c r="AC50" i="42"/>
  <c r="AB49" i="42"/>
  <c r="Y76" i="42"/>
  <c r="Y45" i="42"/>
  <c r="Y10" i="42"/>
  <c r="AA63" i="42"/>
  <c r="W76" i="42"/>
  <c r="W45" i="42"/>
  <c r="AD66" i="42"/>
  <c r="AG29" i="42"/>
  <c r="AE56" i="42"/>
  <c r="AE61" i="42"/>
  <c r="AB63" i="42"/>
  <c r="X69" i="42"/>
  <c r="AA10" i="42"/>
  <c r="AA61" i="42"/>
  <c r="AA74" i="42"/>
  <c r="W60" i="42"/>
  <c r="W57" i="42"/>
  <c r="W74" i="42"/>
  <c r="Z58" i="42"/>
  <c r="Z61" i="42"/>
  <c r="Z78" i="42"/>
  <c r="AD68" i="42"/>
  <c r="AG31" i="42"/>
  <c r="AG38" i="42"/>
  <c r="AD75" i="42"/>
  <c r="AD61" i="42"/>
  <c r="AG24" i="42"/>
  <c r="AD77" i="42"/>
  <c r="AG40" i="42"/>
  <c r="AE71" i="42"/>
  <c r="AE66" i="42"/>
  <c r="AE64" i="42"/>
  <c r="AE76" i="42"/>
  <c r="AE45" i="42"/>
  <c r="U63" i="42"/>
  <c r="U76" i="42"/>
  <c r="U45" i="42"/>
  <c r="AC56" i="42"/>
  <c r="AC60" i="42"/>
  <c r="AC51" i="42"/>
  <c r="AC78" i="42"/>
  <c r="AB80" i="42"/>
  <c r="AB45" i="42"/>
  <c r="AB76" i="42"/>
  <c r="AB73" i="42"/>
  <c r="AB64" i="42"/>
  <c r="AB69" i="42"/>
  <c r="X49" i="42"/>
  <c r="X50" i="42"/>
  <c r="X51" i="42"/>
  <c r="V63" i="42"/>
  <c r="V67" i="42"/>
  <c r="Y52" i="42"/>
  <c r="Y66" i="42"/>
  <c r="Y75" i="42"/>
  <c r="AA60" i="42"/>
  <c r="AD58" i="42"/>
  <c r="AG21" i="42"/>
  <c r="AA73" i="42"/>
  <c r="AD59" i="42"/>
  <c r="AG22" i="42"/>
  <c r="AD50" i="42"/>
  <c r="AG13" i="42"/>
  <c r="U55" i="42"/>
  <c r="U75" i="42"/>
  <c r="AC74" i="42"/>
  <c r="AB79" i="42"/>
  <c r="V74" i="42"/>
  <c r="AA45" i="42"/>
  <c r="AA76" i="42"/>
  <c r="W59" i="42"/>
  <c r="Z72" i="42"/>
  <c r="AD49" i="42"/>
  <c r="AG12" i="42"/>
  <c r="AE50" i="42"/>
  <c r="AE68" i="42"/>
  <c r="U58" i="42"/>
  <c r="AC63" i="42"/>
  <c r="AC75" i="42"/>
  <c r="X54" i="42"/>
  <c r="X80" i="42"/>
  <c r="V52" i="42"/>
  <c r="V79" i="42"/>
  <c r="AA69" i="42"/>
  <c r="AA77" i="42"/>
  <c r="W62" i="42"/>
  <c r="W63" i="42"/>
  <c r="Z51" i="42"/>
  <c r="Z66" i="42"/>
  <c r="Z67" i="42"/>
  <c r="AD55" i="42"/>
  <c r="AG18" i="42"/>
  <c r="AD80" i="42"/>
  <c r="AG43" i="42"/>
  <c r="AD62" i="42"/>
  <c r="AG25" i="42"/>
  <c r="AG36" i="42"/>
  <c r="AD73" i="42"/>
  <c r="AE62" i="42"/>
  <c r="AE10" i="42"/>
  <c r="AE63" i="42"/>
  <c r="U79" i="42"/>
  <c r="AC59" i="42"/>
  <c r="AB67" i="42"/>
  <c r="AB77" i="42"/>
  <c r="X67" i="42"/>
  <c r="X64" i="42"/>
  <c r="X71" i="42"/>
  <c r="V64" i="42"/>
  <c r="Y55" i="42"/>
  <c r="Y70" i="42"/>
  <c r="AG28" i="42"/>
  <c r="AD65" i="42"/>
  <c r="AD74" i="42"/>
  <c r="AG37" i="42"/>
  <c r="AG39" i="42"/>
  <c r="AD76" i="42"/>
  <c r="AD45" i="42"/>
  <c r="X58" i="42"/>
  <c r="V73" i="42"/>
  <c r="AD57" i="42"/>
  <c r="AG20" i="42"/>
  <c r="AG41" i="42"/>
  <c r="AD78" i="42"/>
  <c r="W72" i="42"/>
  <c r="W68" i="42"/>
  <c r="Z60" i="42"/>
  <c r="AG15" i="42"/>
  <c r="AD52" i="42"/>
  <c r="AD67" i="42"/>
  <c r="AG30" i="42"/>
  <c r="AE81" i="42"/>
  <c r="AB56" i="42"/>
  <c r="V75" i="42"/>
  <c r="W56" i="42"/>
  <c r="Z64" i="42"/>
  <c r="AD63" i="42"/>
  <c r="AG26" i="42"/>
  <c r="AD72" i="42"/>
  <c r="AG35" i="42"/>
  <c r="U65" i="42"/>
  <c r="AC54" i="42"/>
  <c r="AB57" i="42"/>
  <c r="V66" i="42"/>
  <c r="AA55" i="42"/>
  <c r="AA79" i="42"/>
  <c r="AA64" i="42"/>
  <c r="W49" i="42"/>
  <c r="W51" i="42"/>
  <c r="W69" i="42"/>
  <c r="W66" i="42"/>
  <c r="Z56" i="42"/>
  <c r="Z74" i="42"/>
  <c r="Z75" i="42"/>
  <c r="AD53" i="42"/>
  <c r="AG16" i="42"/>
  <c r="AD69" i="42"/>
  <c r="AG32" i="42"/>
  <c r="AG44" i="42"/>
  <c r="AD81" i="42"/>
  <c r="AE69" i="42"/>
  <c r="AE57" i="42"/>
  <c r="AE75" i="42"/>
  <c r="U56" i="42"/>
  <c r="U49" i="42"/>
  <c r="U51" i="42"/>
  <c r="U66" i="42"/>
  <c r="AC72" i="42"/>
  <c r="AC10" i="42"/>
  <c r="AC65" i="42"/>
  <c r="AC80" i="42"/>
  <c r="AB58" i="42"/>
  <c r="AB59" i="42"/>
  <c r="AB52" i="42"/>
  <c r="AB54" i="42"/>
  <c r="X52" i="42"/>
  <c r="X62" i="42"/>
  <c r="X59" i="42"/>
  <c r="X65" i="42"/>
  <c r="V55" i="42"/>
  <c r="V49" i="42"/>
  <c r="V77" i="42"/>
  <c r="Y60" i="42"/>
  <c r="Y73" i="42"/>
  <c r="Y57" i="42"/>
  <c r="Y63" i="42"/>
  <c r="Y78" i="42"/>
  <c r="C8" i="6" l="1"/>
  <c r="O11" i="22" l="1"/>
  <c r="D19" i="26"/>
  <c r="O9" i="22" l="1"/>
  <c r="S9" i="22" s="1"/>
  <c r="E51" i="22"/>
  <c r="F51" i="22" s="1"/>
  <c r="G51" i="22" s="1"/>
  <c r="H51" i="22" s="1"/>
  <c r="I51" i="22" s="1"/>
  <c r="J51" i="22" s="1"/>
  <c r="K51" i="22" s="1"/>
  <c r="L51" i="22" s="1"/>
  <c r="D53" i="22"/>
  <c r="D10" i="22" s="1"/>
  <c r="O10" i="22" s="1"/>
  <c r="R10" i="22" l="1"/>
  <c r="S10" i="22"/>
  <c r="T10" i="22"/>
  <c r="U10" i="22"/>
  <c r="V10" i="22"/>
  <c r="W10" i="22"/>
  <c r="Q10" i="22"/>
  <c r="P10" i="22"/>
  <c r="E53" i="22"/>
  <c r="F53" i="22" s="1"/>
  <c r="G53" i="22" s="1"/>
  <c r="H53" i="22" s="1"/>
  <c r="I53" i="22" s="1"/>
  <c r="J53" i="22" s="1"/>
  <c r="K53" i="22" s="1"/>
  <c r="L53" i="22" s="1"/>
  <c r="D58" i="22"/>
  <c r="P9" i="22"/>
  <c r="W9" i="22"/>
  <c r="V9" i="22"/>
  <c r="U9" i="22"/>
  <c r="T9" i="22"/>
  <c r="O8" i="22"/>
  <c r="R9" i="22"/>
  <c r="Q9" i="22"/>
  <c r="L57" i="22"/>
  <c r="I70" i="22"/>
  <c r="J70" i="22"/>
  <c r="K70" i="22"/>
  <c r="D34" i="26"/>
  <c r="D96" i="22"/>
  <c r="D102" i="22" s="1"/>
  <c r="E96" i="22"/>
  <c r="E102" i="22" s="1"/>
  <c r="F96" i="22"/>
  <c r="F102" i="22" s="1"/>
  <c r="C96" i="22"/>
  <c r="C102" i="22" s="1"/>
  <c r="L58" i="22" l="1"/>
  <c r="N8" i="22"/>
  <c r="F35" i="22"/>
  <c r="G35" i="22" l="1"/>
  <c r="E4" i="22" l="1"/>
  <c r="E3" i="22" s="1"/>
  <c r="P3" i="22" s="1"/>
  <c r="F5" i="22"/>
  <c r="F4" i="22"/>
  <c r="H5" i="22"/>
  <c r="G5" i="22"/>
  <c r="G4" i="22"/>
  <c r="H4" i="22"/>
  <c r="H35" i="22"/>
  <c r="I35" i="22"/>
  <c r="J35" i="22"/>
  <c r="K35" i="22"/>
  <c r="L35" i="22"/>
  <c r="D33" i="22"/>
  <c r="E33" i="22"/>
  <c r="E35" i="22" s="1"/>
  <c r="C33" i="22"/>
  <c r="C35" i="22" s="1"/>
  <c r="D5" i="22" l="1"/>
  <c r="D3" i="22" s="1"/>
  <c r="D35" i="22"/>
  <c r="H3" i="22"/>
  <c r="S3" i="22" s="1"/>
  <c r="R34" i="22" s="1"/>
  <c r="H165" i="22" l="1"/>
  <c r="H166" i="22"/>
  <c r="H164" i="22"/>
  <c r="X48" i="19"/>
  <c r="X47" i="19"/>
  <c r="W49" i="19" l="1"/>
  <c r="AA42" i="19"/>
  <c r="AA43" i="19"/>
  <c r="AA44" i="19" s="1"/>
  <c r="AA52" i="19" s="1"/>
  <c r="AO2" i="39"/>
  <c r="AI2" i="39"/>
  <c r="AJ2" i="39"/>
  <c r="AK2" i="39"/>
  <c r="AL2" i="39"/>
  <c r="AM2" i="39"/>
  <c r="AN2" i="39"/>
  <c r="AP2" i="39"/>
  <c r="AG2" i="39"/>
  <c r="AH2" i="39"/>
  <c r="W58" i="39"/>
  <c r="R58" i="39"/>
  <c r="S58" i="39"/>
  <c r="T58" i="39"/>
  <c r="U58" i="39"/>
  <c r="V58" i="39"/>
  <c r="X58" i="39"/>
  <c r="Y58" i="39"/>
  <c r="Z58" i="39"/>
  <c r="AA58" i="39"/>
  <c r="AB58" i="39"/>
  <c r="AC58" i="39"/>
  <c r="Q58" i="39"/>
  <c r="J38" i="35" l="1"/>
  <c r="J37" i="35"/>
  <c r="L57" i="26"/>
  <c r="V60" i="26"/>
  <c r="AK12" i="26" l="1"/>
  <c r="AJ12" i="26"/>
  <c r="AH12" i="26"/>
  <c r="AK18" i="26"/>
  <c r="AK17" i="26"/>
  <c r="AJ17" i="26"/>
  <c r="AI17" i="26"/>
  <c r="AH17" i="26"/>
  <c r="AK16" i="26"/>
  <c r="AK15" i="26"/>
  <c r="AK14" i="26"/>
  <c r="AL14" i="26"/>
  <c r="C4" i="6" l="1"/>
  <c r="C5" i="6" s="1"/>
  <c r="C46" i="19"/>
  <c r="C14" i="19"/>
  <c r="C15" i="19" s="1"/>
  <c r="B14" i="19"/>
  <c r="D37" i="19" l="1"/>
  <c r="J17" i="37" s="1"/>
  <c r="D38" i="19"/>
  <c r="J16" i="37" s="1"/>
  <c r="E46" i="19"/>
  <c r="J21" i="37" s="1"/>
  <c r="C6" i="6"/>
  <c r="B37" i="19"/>
  <c r="C37" i="19" s="1"/>
  <c r="B38" i="19" l="1"/>
  <c r="C38" i="19" s="1"/>
  <c r="J32" i="35" l="1"/>
  <c r="X28" i="7" l="1"/>
  <c r="X30" i="7" s="1"/>
  <c r="W28" i="7"/>
  <c r="T47" i="34"/>
  <c r="C21" i="25" l="1"/>
  <c r="C29" i="25" s="1"/>
  <c r="C14" i="25"/>
  <c r="D14" i="25" s="1"/>
  <c r="C9" i="25"/>
  <c r="D9" i="25" s="1"/>
  <c r="D3" i="25"/>
  <c r="C3" i="25"/>
  <c r="G4" i="25" s="1"/>
  <c r="G5" i="25" s="1"/>
  <c r="C4" i="25" l="1"/>
  <c r="G6" i="25" s="1"/>
  <c r="G7" i="25" s="1"/>
  <c r="D21" i="25"/>
  <c r="G16" i="25"/>
  <c r="G17" i="25" s="1"/>
  <c r="G26" i="25"/>
  <c r="G27" i="25" s="1"/>
  <c r="C15" i="25"/>
  <c r="C25" i="25"/>
  <c r="C10" i="25"/>
  <c r="C22" i="25"/>
  <c r="N40" i="22"/>
  <c r="C5" i="25" l="1"/>
  <c r="D5" i="25" s="1"/>
  <c r="D4" i="25"/>
  <c r="C23" i="25"/>
  <c r="C30" i="25"/>
  <c r="C26" i="25"/>
  <c r="D22" i="25"/>
  <c r="D10" i="25"/>
  <c r="C11" i="25"/>
  <c r="D15" i="25"/>
  <c r="C16" i="25"/>
  <c r="AE19" i="41"/>
  <c r="AF18" i="41"/>
  <c r="AE18" i="41"/>
  <c r="C6" i="25" l="1"/>
  <c r="C7" i="25" s="1"/>
  <c r="G8" i="25"/>
  <c r="G9" i="25" s="1"/>
  <c r="G28" i="25"/>
  <c r="G29" i="25" s="1"/>
  <c r="C17" i="25"/>
  <c r="D16" i="25"/>
  <c r="D11" i="25"/>
  <c r="C12" i="25"/>
  <c r="G20" i="25"/>
  <c r="G21" i="25" s="1"/>
  <c r="C31" i="25"/>
  <c r="C27" i="25"/>
  <c r="D23" i="25"/>
  <c r="G10" i="25" l="1"/>
  <c r="G11" i="25" s="1"/>
  <c r="D6" i="25"/>
  <c r="G12" i="25"/>
  <c r="D7" i="25"/>
  <c r="D12" i="25"/>
  <c r="G22" i="25"/>
  <c r="C18" i="25"/>
  <c r="G30" i="25"/>
  <c r="G31" i="25" s="1"/>
  <c r="D17" i="25"/>
  <c r="AO21" i="40" a="1"/>
  <c r="AO21" i="40" s="1"/>
  <c r="AN21" i="40" a="1"/>
  <c r="AN21" i="40" s="1"/>
  <c r="AM21" i="40" a="1"/>
  <c r="AM21" i="40" s="1"/>
  <c r="AH21" i="40" a="1"/>
  <c r="AH21" i="40" s="1"/>
  <c r="AC21" i="40" a="1"/>
  <c r="AC21" i="40" s="1"/>
  <c r="X21" i="40" a="1"/>
  <c r="X21" i="40" s="1"/>
  <c r="AO20" i="40" a="1"/>
  <c r="AO20" i="40" s="1"/>
  <c r="AN20" i="40" a="1"/>
  <c r="AN20" i="40" s="1"/>
  <c r="AM20" i="40" a="1"/>
  <c r="AM20" i="40" s="1"/>
  <c r="AH20" i="40" a="1"/>
  <c r="AH20" i="40" s="1"/>
  <c r="AC20" i="40" a="1"/>
  <c r="AC20" i="40" s="1"/>
  <c r="X20" i="40" a="1"/>
  <c r="X20" i="40" s="1"/>
  <c r="AO19" i="40" a="1"/>
  <c r="AO19" i="40" s="1"/>
  <c r="AN19" i="40" a="1"/>
  <c r="AN19" i="40" s="1"/>
  <c r="AM19" i="40" a="1"/>
  <c r="AM19" i="40" s="1"/>
  <c r="AH19" i="40" a="1"/>
  <c r="AH19" i="40" s="1"/>
  <c r="AC19" i="40" a="1"/>
  <c r="AC19" i="40" s="1"/>
  <c r="X19" i="40" a="1"/>
  <c r="X19" i="40" s="1"/>
  <c r="AO18" i="40" a="1"/>
  <c r="AO18" i="40" s="1"/>
  <c r="AN18" i="40" a="1"/>
  <c r="AN18" i="40" s="1"/>
  <c r="AM18" i="40" a="1"/>
  <c r="AM18" i="40" s="1"/>
  <c r="AH18" i="40" a="1"/>
  <c r="AH18" i="40" s="1"/>
  <c r="AC18" i="40" a="1"/>
  <c r="AC18" i="40" s="1"/>
  <c r="X18" i="40" a="1"/>
  <c r="X18" i="40" s="1"/>
  <c r="AO17" i="40" a="1"/>
  <c r="AO17" i="40" s="1"/>
  <c r="AN17" i="40" a="1"/>
  <c r="AN17" i="40" s="1"/>
  <c r="AM17" i="40" a="1"/>
  <c r="AM17" i="40" s="1"/>
  <c r="AH17" i="40" a="1"/>
  <c r="AH17" i="40" s="1"/>
  <c r="AC17" i="40" a="1"/>
  <c r="AC17" i="40" s="1"/>
  <c r="X17" i="40" a="1"/>
  <c r="X17" i="40" s="1"/>
  <c r="S21" i="40" a="1"/>
  <c r="S21" i="40" s="1"/>
  <c r="N21" i="40" a="1"/>
  <c r="N21" i="40" s="1"/>
  <c r="I21" i="40" a="1"/>
  <c r="I21" i="40" s="1"/>
  <c r="E21" i="40" a="1"/>
  <c r="E21" i="40" s="1"/>
  <c r="S20" i="40" a="1"/>
  <c r="S20" i="40" s="1"/>
  <c r="N20" i="40" a="1"/>
  <c r="N20" i="40" s="1"/>
  <c r="I20" i="40" a="1"/>
  <c r="I20" i="40" s="1"/>
  <c r="E20" i="40" a="1"/>
  <c r="E20" i="40" s="1"/>
  <c r="S19" i="40" a="1"/>
  <c r="S19" i="40" s="1"/>
  <c r="N19" i="40" a="1"/>
  <c r="N19" i="40" s="1"/>
  <c r="I19" i="40" a="1"/>
  <c r="I19" i="40" s="1"/>
  <c r="E19" i="40" a="1"/>
  <c r="E19" i="40" s="1"/>
  <c r="S18" i="40" a="1"/>
  <c r="S18" i="40" s="1"/>
  <c r="N18" i="40" a="1"/>
  <c r="N18" i="40" s="1"/>
  <c r="I18" i="40" a="1"/>
  <c r="I18" i="40" s="1"/>
  <c r="E18" i="40" a="1"/>
  <c r="E18" i="40" s="1"/>
  <c r="S17" i="40" a="1"/>
  <c r="S17" i="40" s="1"/>
  <c r="N17" i="40" a="1"/>
  <c r="N17" i="40" s="1"/>
  <c r="I17" i="40" a="1"/>
  <c r="I17" i="40" s="1"/>
  <c r="E17" i="40" a="1"/>
  <c r="E17" i="40" s="1"/>
  <c r="AA16" i="40"/>
  <c r="AB16" i="40"/>
  <c r="AC16" i="40"/>
  <c r="AD16" i="40" s="1"/>
  <c r="AE16" i="40" s="1"/>
  <c r="AF16" i="40" s="1"/>
  <c r="AG16" i="40" s="1"/>
  <c r="AH16" i="40" s="1"/>
  <c r="AI16" i="40" s="1"/>
  <c r="AJ16" i="40" s="1"/>
  <c r="AK16" i="40" s="1"/>
  <c r="AL16" i="40" s="1"/>
  <c r="AM16" i="40" s="1"/>
  <c r="G16" i="40"/>
  <c r="H16" i="40"/>
  <c r="I16" i="40"/>
  <c r="J16" i="40" s="1"/>
  <c r="K16" i="40" s="1"/>
  <c r="L16" i="40" s="1"/>
  <c r="M16" i="40" s="1"/>
  <c r="N16" i="40" s="1"/>
  <c r="O16" i="40" s="1"/>
  <c r="P16" i="40" s="1"/>
  <c r="Q16" i="40" s="1"/>
  <c r="R16" i="40" s="1"/>
  <c r="S16" i="40" s="1"/>
  <c r="T16" i="40" s="1"/>
  <c r="U16" i="40" s="1"/>
  <c r="V16" i="40" s="1"/>
  <c r="W16" i="40" s="1"/>
  <c r="X16" i="40" s="1"/>
  <c r="Y16" i="40" s="1"/>
  <c r="Z16" i="40" s="1"/>
  <c r="F16" i="40"/>
  <c r="C19" i="25" l="1"/>
  <c r="G32" i="25"/>
  <c r="G33" i="25" s="1"/>
  <c r="D18" i="25"/>
  <c r="G34" i="25" l="1"/>
  <c r="G35" i="25" s="1"/>
  <c r="D19" i="25"/>
  <c r="J25" i="35"/>
  <c r="J19" i="35" s="1"/>
  <c r="AH3" i="39"/>
  <c r="AI3" i="39"/>
  <c r="AJ3" i="39"/>
  <c r="AK3" i="39"/>
  <c r="AL3" i="39"/>
  <c r="AM3" i="39"/>
  <c r="AN3" i="39"/>
  <c r="AO3" i="39"/>
  <c r="AP3" i="39"/>
  <c r="AG3" i="39"/>
  <c r="W1" i="39" l="1"/>
  <c r="AJ1" i="39"/>
  <c r="AK1" i="39" s="1"/>
  <c r="AL1" i="39" s="1"/>
  <c r="AM1" i="39" s="1"/>
  <c r="AN1" i="39" s="1"/>
  <c r="AO1" i="39" s="1"/>
  <c r="AP1" i="39" s="1"/>
  <c r="AI1" i="39"/>
  <c r="AC57" i="39"/>
  <c r="AB57" i="39"/>
  <c r="AA57" i="39"/>
  <c r="Z57" i="39"/>
  <c r="Y57" i="39"/>
  <c r="X57" i="39"/>
  <c r="W57" i="39"/>
  <c r="V57" i="39"/>
  <c r="U57" i="39"/>
  <c r="T57" i="39"/>
  <c r="S57" i="39"/>
  <c r="R57" i="39"/>
  <c r="Q57" i="39"/>
  <c r="AC56" i="39"/>
  <c r="AB56" i="39"/>
  <c r="AA56" i="39"/>
  <c r="Z56" i="39"/>
  <c r="Y56" i="39"/>
  <c r="X56" i="39"/>
  <c r="W56" i="39"/>
  <c r="V56" i="39"/>
  <c r="U56" i="39"/>
  <c r="T56" i="39"/>
  <c r="S56" i="39"/>
  <c r="R56" i="39"/>
  <c r="Q56" i="39"/>
  <c r="AC55" i="39"/>
  <c r="AB55" i="39"/>
  <c r="AA55" i="39"/>
  <c r="Z55" i="39"/>
  <c r="Y55" i="39"/>
  <c r="X55" i="39"/>
  <c r="W55" i="39"/>
  <c r="V55" i="39"/>
  <c r="U55" i="39"/>
  <c r="T55" i="39"/>
  <c r="S55" i="39"/>
  <c r="R55" i="39"/>
  <c r="Q55" i="39"/>
  <c r="AC54" i="39"/>
  <c r="AB54" i="39"/>
  <c r="AA54" i="39"/>
  <c r="Z54" i="39"/>
  <c r="Y54" i="39"/>
  <c r="X54" i="39"/>
  <c r="W54" i="39"/>
  <c r="V54" i="39"/>
  <c r="U54" i="39"/>
  <c r="T54" i="39"/>
  <c r="S54" i="39"/>
  <c r="R54" i="39"/>
  <c r="Q54" i="39"/>
  <c r="AC53" i="39"/>
  <c r="AB53" i="39"/>
  <c r="AA53" i="39"/>
  <c r="Z53" i="39"/>
  <c r="Y53" i="39"/>
  <c r="X53" i="39"/>
  <c r="W53" i="39"/>
  <c r="V53" i="39"/>
  <c r="U53" i="39"/>
  <c r="T53" i="39"/>
  <c r="S53" i="39"/>
  <c r="R53" i="39"/>
  <c r="Q53" i="39"/>
  <c r="AC52" i="39"/>
  <c r="AB52" i="39"/>
  <c r="AA52" i="39"/>
  <c r="Z52" i="39"/>
  <c r="Y52" i="39"/>
  <c r="X52" i="39"/>
  <c r="W52" i="39"/>
  <c r="V52" i="39"/>
  <c r="U52" i="39"/>
  <c r="T52" i="39"/>
  <c r="S52" i="39"/>
  <c r="R52" i="39"/>
  <c r="Q52" i="39"/>
  <c r="AC51" i="39"/>
  <c r="AB51" i="39"/>
  <c r="AA51" i="39"/>
  <c r="Z51" i="39"/>
  <c r="Y51" i="39"/>
  <c r="X51" i="39"/>
  <c r="W51" i="39"/>
  <c r="V51" i="39"/>
  <c r="U51" i="39"/>
  <c r="T51" i="39"/>
  <c r="S51" i="39"/>
  <c r="R51" i="39"/>
  <c r="Q51" i="39"/>
  <c r="AC50" i="39"/>
  <c r="AB50" i="39"/>
  <c r="AA50" i="39"/>
  <c r="Z50" i="39"/>
  <c r="Y50" i="39"/>
  <c r="X50" i="39"/>
  <c r="W50" i="39"/>
  <c r="V50" i="39"/>
  <c r="U50" i="39"/>
  <c r="T50" i="39"/>
  <c r="S50" i="39"/>
  <c r="R50" i="39"/>
  <c r="Q50" i="39"/>
  <c r="AC49" i="39"/>
  <c r="AB49" i="39"/>
  <c r="AA49" i="39"/>
  <c r="Z49" i="39"/>
  <c r="Y49" i="39"/>
  <c r="X49" i="39"/>
  <c r="W49" i="39"/>
  <c r="V49" i="39"/>
  <c r="U49" i="39"/>
  <c r="T49" i="39"/>
  <c r="S49" i="39"/>
  <c r="R49" i="39"/>
  <c r="Q49" i="39"/>
  <c r="AC48" i="39"/>
  <c r="AB48" i="39"/>
  <c r="AA48" i="39"/>
  <c r="Z48" i="39"/>
  <c r="Y48" i="39"/>
  <c r="X48" i="39"/>
  <c r="W48" i="39"/>
  <c r="V48" i="39"/>
  <c r="U48" i="39"/>
  <c r="T48" i="39"/>
  <c r="S48" i="39"/>
  <c r="R48" i="39"/>
  <c r="Q48" i="39"/>
  <c r="AC47" i="39"/>
  <c r="AB47" i="39"/>
  <c r="AA47" i="39"/>
  <c r="Z47" i="39"/>
  <c r="Y47" i="39"/>
  <c r="X47" i="39"/>
  <c r="W47" i="39"/>
  <c r="V47" i="39"/>
  <c r="U47" i="39"/>
  <c r="T47" i="39"/>
  <c r="S47" i="39"/>
  <c r="R47" i="39"/>
  <c r="Q47" i="39"/>
  <c r="AC46" i="39"/>
  <c r="AB46" i="39"/>
  <c r="AA46" i="39"/>
  <c r="Z46" i="39"/>
  <c r="Y46" i="39"/>
  <c r="X46" i="39"/>
  <c r="W46" i="39"/>
  <c r="V46" i="39"/>
  <c r="U46" i="39"/>
  <c r="T46" i="39"/>
  <c r="S46" i="39"/>
  <c r="R46" i="39"/>
  <c r="Q46" i="39"/>
  <c r="AC45" i="39"/>
  <c r="AB45" i="39"/>
  <c r="AA45" i="39"/>
  <c r="Z45" i="39"/>
  <c r="Y45" i="39"/>
  <c r="X45" i="39"/>
  <c r="W45" i="39"/>
  <c r="V45" i="39"/>
  <c r="U45" i="39"/>
  <c r="T45" i="39"/>
  <c r="S45" i="39"/>
  <c r="R45" i="39"/>
  <c r="Q45" i="39"/>
  <c r="AC44" i="39"/>
  <c r="AB44" i="39"/>
  <c r="AA44" i="39"/>
  <c r="Z44" i="39"/>
  <c r="Y44" i="39"/>
  <c r="X44" i="39"/>
  <c r="W44" i="39"/>
  <c r="V44" i="39"/>
  <c r="U44" i="39"/>
  <c r="T44" i="39"/>
  <c r="S44" i="39"/>
  <c r="R44" i="39"/>
  <c r="Q44" i="39"/>
  <c r="AC43" i="39"/>
  <c r="AB43" i="39"/>
  <c r="AA43" i="39"/>
  <c r="Z43" i="39"/>
  <c r="Y43" i="39"/>
  <c r="X43" i="39"/>
  <c r="W43" i="39"/>
  <c r="V43" i="39"/>
  <c r="U43" i="39"/>
  <c r="T43" i="39"/>
  <c r="S43" i="39"/>
  <c r="R43" i="39"/>
  <c r="Q43" i="39"/>
  <c r="AC42" i="39"/>
  <c r="AB42" i="39"/>
  <c r="AA42" i="39"/>
  <c r="Z42" i="39"/>
  <c r="Y42" i="39"/>
  <c r="X42" i="39"/>
  <c r="W42" i="39"/>
  <c r="V42" i="39"/>
  <c r="U42" i="39"/>
  <c r="T42" i="39"/>
  <c r="S42" i="39"/>
  <c r="R42" i="39"/>
  <c r="Q42" i="39"/>
  <c r="AC41" i="39"/>
  <c r="AB41" i="39"/>
  <c r="AA41" i="39"/>
  <c r="Z41" i="39"/>
  <c r="Y41" i="39"/>
  <c r="X41" i="39"/>
  <c r="W41" i="39"/>
  <c r="V41" i="39"/>
  <c r="U41" i="39"/>
  <c r="T41" i="39"/>
  <c r="S41" i="39"/>
  <c r="R41" i="39"/>
  <c r="Q41" i="39"/>
  <c r="AC40" i="39"/>
  <c r="AB40" i="39"/>
  <c r="AA40" i="39"/>
  <c r="Z40" i="39"/>
  <c r="Y40" i="39"/>
  <c r="X40" i="39"/>
  <c r="W40" i="39"/>
  <c r="V40" i="39"/>
  <c r="U40" i="39"/>
  <c r="T40" i="39"/>
  <c r="S40" i="39"/>
  <c r="R40" i="39"/>
  <c r="Q40" i="39"/>
  <c r="AC39" i="39"/>
  <c r="AB39" i="39"/>
  <c r="AA39" i="39"/>
  <c r="Z39" i="39"/>
  <c r="Y39" i="39"/>
  <c r="X39" i="39"/>
  <c r="W39" i="39"/>
  <c r="V39" i="39"/>
  <c r="U39" i="39"/>
  <c r="T39" i="39"/>
  <c r="S39" i="39"/>
  <c r="R39" i="39"/>
  <c r="Q39" i="39"/>
  <c r="AC38" i="39"/>
  <c r="AB38" i="39"/>
  <c r="AA38" i="39"/>
  <c r="Z38" i="39"/>
  <c r="Y38" i="39"/>
  <c r="X38" i="39"/>
  <c r="W38" i="39"/>
  <c r="V38" i="39"/>
  <c r="U38" i="39"/>
  <c r="T38" i="39"/>
  <c r="S38" i="39"/>
  <c r="R38" i="39"/>
  <c r="Q38" i="39"/>
  <c r="AC37" i="39"/>
  <c r="AB37" i="39"/>
  <c r="AA37" i="39"/>
  <c r="Z37" i="39"/>
  <c r="Y37" i="39"/>
  <c r="X37" i="39"/>
  <c r="W37" i="39"/>
  <c r="V37" i="39"/>
  <c r="U37" i="39"/>
  <c r="T37" i="39"/>
  <c r="S37" i="39"/>
  <c r="R37" i="39"/>
  <c r="Q37" i="39"/>
  <c r="AC36" i="39"/>
  <c r="AB36" i="39"/>
  <c r="AA36" i="39"/>
  <c r="Z36" i="39"/>
  <c r="Y36" i="39"/>
  <c r="X36" i="39"/>
  <c r="W36" i="39"/>
  <c r="V36" i="39"/>
  <c r="U36" i="39"/>
  <c r="T36" i="39"/>
  <c r="S36" i="39"/>
  <c r="R36" i="39"/>
  <c r="Q36" i="39"/>
  <c r="AC35" i="39"/>
  <c r="AB35" i="39"/>
  <c r="AA35" i="39"/>
  <c r="Z35" i="39"/>
  <c r="Y35" i="39"/>
  <c r="X35" i="39"/>
  <c r="W35" i="39"/>
  <c r="V35" i="39"/>
  <c r="U35" i="39"/>
  <c r="T35" i="39"/>
  <c r="S35" i="39"/>
  <c r="R35" i="39"/>
  <c r="Q35" i="39"/>
  <c r="AC34" i="39"/>
  <c r="AB34" i="39"/>
  <c r="AA34" i="39"/>
  <c r="Z34" i="39"/>
  <c r="Y34" i="39"/>
  <c r="X34" i="39"/>
  <c r="W34" i="39"/>
  <c r="V34" i="39"/>
  <c r="U34" i="39"/>
  <c r="T34" i="39"/>
  <c r="S34" i="39"/>
  <c r="R34" i="39"/>
  <c r="Q34" i="39"/>
  <c r="AC33" i="39"/>
  <c r="AB33" i="39"/>
  <c r="AA33" i="39"/>
  <c r="Z33" i="39"/>
  <c r="Y33" i="39"/>
  <c r="X33" i="39"/>
  <c r="W33" i="39"/>
  <c r="V33" i="39"/>
  <c r="U33" i="39"/>
  <c r="T33" i="39"/>
  <c r="S33" i="39"/>
  <c r="R33" i="39"/>
  <c r="Q33" i="39"/>
  <c r="AC32" i="39"/>
  <c r="AB32" i="39"/>
  <c r="AA32" i="39"/>
  <c r="Z32" i="39"/>
  <c r="Y32" i="39"/>
  <c r="X32" i="39"/>
  <c r="W32" i="39"/>
  <c r="V32" i="39"/>
  <c r="U32" i="39"/>
  <c r="T32" i="39"/>
  <c r="S32" i="39"/>
  <c r="R32" i="39"/>
  <c r="Q32" i="39"/>
  <c r="AC31" i="39"/>
  <c r="AB31" i="39"/>
  <c r="AA31" i="39"/>
  <c r="Z31" i="39"/>
  <c r="Y31" i="39"/>
  <c r="X31" i="39"/>
  <c r="W31" i="39"/>
  <c r="V31" i="39"/>
  <c r="U31" i="39"/>
  <c r="T31" i="39"/>
  <c r="S31" i="39"/>
  <c r="R31" i="39"/>
  <c r="Q31" i="39"/>
  <c r="AC30" i="39"/>
  <c r="AB30" i="39"/>
  <c r="AA30" i="39"/>
  <c r="Z30" i="39"/>
  <c r="Y30" i="39"/>
  <c r="X30" i="39"/>
  <c r="W30" i="39"/>
  <c r="V30" i="39"/>
  <c r="U30" i="39"/>
  <c r="T30" i="39"/>
  <c r="S30" i="39"/>
  <c r="R30" i="39"/>
  <c r="Q30" i="39"/>
  <c r="AC29" i="39"/>
  <c r="AB29" i="39"/>
  <c r="AA29" i="39"/>
  <c r="Z29" i="39"/>
  <c r="Y29" i="39"/>
  <c r="X29" i="39"/>
  <c r="W29" i="39"/>
  <c r="V29" i="39"/>
  <c r="U29" i="39"/>
  <c r="T29" i="39"/>
  <c r="S29" i="39"/>
  <c r="R29" i="39"/>
  <c r="Q29" i="39"/>
  <c r="AC28" i="39"/>
  <c r="AB28" i="39"/>
  <c r="AA28" i="39"/>
  <c r="Z28" i="39"/>
  <c r="Y28" i="39"/>
  <c r="X28" i="39"/>
  <c r="W28" i="39"/>
  <c r="V28" i="39"/>
  <c r="U28" i="39"/>
  <c r="T28" i="39"/>
  <c r="S28" i="39"/>
  <c r="R28" i="39"/>
  <c r="Q28" i="39"/>
  <c r="AC27" i="39"/>
  <c r="AB27" i="39"/>
  <c r="AA27" i="39"/>
  <c r="Z27" i="39"/>
  <c r="Y27" i="39"/>
  <c r="X27" i="39"/>
  <c r="W27" i="39"/>
  <c r="V27" i="39"/>
  <c r="U27" i="39"/>
  <c r="T27" i="39"/>
  <c r="S27" i="39"/>
  <c r="R27" i="39"/>
  <c r="Q27" i="39"/>
  <c r="AC26" i="39"/>
  <c r="AB26" i="39"/>
  <c r="AA26" i="39"/>
  <c r="Z26" i="39"/>
  <c r="Y26" i="39"/>
  <c r="X26" i="39"/>
  <c r="W26" i="39"/>
  <c r="V26" i="39"/>
  <c r="U26" i="39"/>
  <c r="T26" i="39"/>
  <c r="S26" i="39"/>
  <c r="R26" i="39"/>
  <c r="Q26" i="39"/>
  <c r="AC25" i="39"/>
  <c r="AB25" i="39"/>
  <c r="AA25" i="39"/>
  <c r="Z25" i="39"/>
  <c r="Y25" i="39"/>
  <c r="X25" i="39"/>
  <c r="W25" i="39"/>
  <c r="V25" i="39"/>
  <c r="U25" i="39"/>
  <c r="T25" i="39"/>
  <c r="S25" i="39"/>
  <c r="R25" i="39"/>
  <c r="Q25" i="39"/>
  <c r="AC24" i="39"/>
  <c r="AB24" i="39"/>
  <c r="AA24" i="39"/>
  <c r="Z24" i="39"/>
  <c r="Y24" i="39"/>
  <c r="X24" i="39"/>
  <c r="W24" i="39"/>
  <c r="V24" i="39"/>
  <c r="U24" i="39"/>
  <c r="T24" i="39"/>
  <c r="S24" i="39"/>
  <c r="R24" i="39"/>
  <c r="Q24" i="39"/>
  <c r="AC23" i="39"/>
  <c r="AB23" i="39"/>
  <c r="AA23" i="39"/>
  <c r="Z23" i="39"/>
  <c r="Y23" i="39"/>
  <c r="X23" i="39"/>
  <c r="W23" i="39"/>
  <c r="V23" i="39"/>
  <c r="U23" i="39"/>
  <c r="T23" i="39"/>
  <c r="S23" i="39"/>
  <c r="R23" i="39"/>
  <c r="Q23" i="39"/>
  <c r="AC22" i="39"/>
  <c r="AB22" i="39"/>
  <c r="AA22" i="39"/>
  <c r="Z22" i="39"/>
  <c r="Y22" i="39"/>
  <c r="X22" i="39"/>
  <c r="W22" i="39"/>
  <c r="V22" i="39"/>
  <c r="U22" i="39"/>
  <c r="T22" i="39"/>
  <c r="S22" i="39"/>
  <c r="R22" i="39"/>
  <c r="Q22" i="39"/>
  <c r="AC21" i="39"/>
  <c r="AB21" i="39"/>
  <c r="AA21" i="39"/>
  <c r="Z21" i="39"/>
  <c r="Y21" i="39"/>
  <c r="X21" i="39"/>
  <c r="W21" i="39"/>
  <c r="V21" i="39"/>
  <c r="U21" i="39"/>
  <c r="T21" i="39"/>
  <c r="S21" i="39"/>
  <c r="R21" i="39"/>
  <c r="Q21" i="39"/>
  <c r="AC20" i="39"/>
  <c r="AB20" i="39"/>
  <c r="AA20" i="39"/>
  <c r="Z20" i="39"/>
  <c r="Y20" i="39"/>
  <c r="X20" i="39"/>
  <c r="W20" i="39"/>
  <c r="V20" i="39"/>
  <c r="U20" i="39"/>
  <c r="T20" i="39"/>
  <c r="S20" i="39"/>
  <c r="R20" i="39"/>
  <c r="Q20" i="39"/>
  <c r="AC19" i="39"/>
  <c r="AB19" i="39"/>
  <c r="AA19" i="39"/>
  <c r="Z19" i="39"/>
  <c r="Y19" i="39"/>
  <c r="X19" i="39"/>
  <c r="W19" i="39"/>
  <c r="V19" i="39"/>
  <c r="U19" i="39"/>
  <c r="T19" i="39"/>
  <c r="S19" i="39"/>
  <c r="R19" i="39"/>
  <c r="Q19" i="39"/>
  <c r="AC18" i="39"/>
  <c r="AB18" i="39"/>
  <c r="AA18" i="39"/>
  <c r="Z18" i="39"/>
  <c r="Y18" i="39"/>
  <c r="X18" i="39"/>
  <c r="W18" i="39"/>
  <c r="V18" i="39"/>
  <c r="U18" i="39"/>
  <c r="T18" i="39"/>
  <c r="S18" i="39"/>
  <c r="R18" i="39"/>
  <c r="Q18" i="39"/>
  <c r="AC17" i="39"/>
  <c r="AB17" i="39"/>
  <c r="AA17" i="39"/>
  <c r="Z17" i="39"/>
  <c r="Y17" i="39"/>
  <c r="X17" i="39"/>
  <c r="W17" i="39"/>
  <c r="V17" i="39"/>
  <c r="U17" i="39"/>
  <c r="T17" i="39"/>
  <c r="S17" i="39"/>
  <c r="R17" i="39"/>
  <c r="Q17" i="39"/>
  <c r="AC16" i="39"/>
  <c r="AB16" i="39"/>
  <c r="AA16" i="39"/>
  <c r="Z16" i="39"/>
  <c r="Y16" i="39"/>
  <c r="X16" i="39"/>
  <c r="W16" i="39"/>
  <c r="V16" i="39"/>
  <c r="U16" i="39"/>
  <c r="T16" i="39"/>
  <c r="S16" i="39"/>
  <c r="R16" i="39"/>
  <c r="Q16" i="39"/>
  <c r="AC15" i="39"/>
  <c r="AB15" i="39"/>
  <c r="AA15" i="39"/>
  <c r="Z15" i="39"/>
  <c r="Y15" i="39"/>
  <c r="X15" i="39"/>
  <c r="W15" i="39"/>
  <c r="V15" i="39"/>
  <c r="U15" i="39"/>
  <c r="T15" i="39"/>
  <c r="S15" i="39"/>
  <c r="R15" i="39"/>
  <c r="Q15" i="39"/>
  <c r="AC14" i="39"/>
  <c r="AB14" i="39"/>
  <c r="AA14" i="39"/>
  <c r="Z14" i="39"/>
  <c r="Y14" i="39"/>
  <c r="X14" i="39"/>
  <c r="W14" i="39"/>
  <c r="V14" i="39"/>
  <c r="U14" i="39"/>
  <c r="T14" i="39"/>
  <c r="S14" i="39"/>
  <c r="R14" i="39"/>
  <c r="Q14" i="39"/>
  <c r="AC13" i="39"/>
  <c r="AB13" i="39"/>
  <c r="AA13" i="39"/>
  <c r="Z13" i="39"/>
  <c r="Y13" i="39"/>
  <c r="X13" i="39"/>
  <c r="W13" i="39"/>
  <c r="V13" i="39"/>
  <c r="U13" i="39"/>
  <c r="T13" i="39"/>
  <c r="S13" i="39"/>
  <c r="R13" i="39"/>
  <c r="Q13" i="39"/>
  <c r="AC12" i="39"/>
  <c r="AB12" i="39"/>
  <c r="AA12" i="39"/>
  <c r="Z12" i="39"/>
  <c r="Y12" i="39"/>
  <c r="X12" i="39"/>
  <c r="W12" i="39"/>
  <c r="V12" i="39"/>
  <c r="U12" i="39"/>
  <c r="T12" i="39"/>
  <c r="S12" i="39"/>
  <c r="R12" i="39"/>
  <c r="Q12" i="39"/>
  <c r="AC11" i="39"/>
  <c r="AB11" i="39"/>
  <c r="AA11" i="39"/>
  <c r="Z11" i="39"/>
  <c r="Y11" i="39"/>
  <c r="X11" i="39"/>
  <c r="W11" i="39"/>
  <c r="V11" i="39"/>
  <c r="U11" i="39"/>
  <c r="T11" i="39"/>
  <c r="S11" i="39"/>
  <c r="R11" i="39"/>
  <c r="Q11" i="39"/>
  <c r="AC10" i="39"/>
  <c r="AB10" i="39"/>
  <c r="AA10" i="39"/>
  <c r="Z10" i="39"/>
  <c r="Y10" i="39"/>
  <c r="X10" i="39"/>
  <c r="W10" i="39"/>
  <c r="V10" i="39"/>
  <c r="U10" i="39"/>
  <c r="T10" i="39"/>
  <c r="S10" i="39"/>
  <c r="R10" i="39"/>
  <c r="Q10" i="39"/>
  <c r="AC9" i="39"/>
  <c r="AB9" i="39"/>
  <c r="AA9" i="39"/>
  <c r="Z9" i="39"/>
  <c r="Y9" i="39"/>
  <c r="X9" i="39"/>
  <c r="W9" i="39"/>
  <c r="V9" i="39"/>
  <c r="U9" i="39"/>
  <c r="T9" i="39"/>
  <c r="S9" i="39"/>
  <c r="R9" i="39"/>
  <c r="Q9" i="39"/>
  <c r="AC8" i="39"/>
  <c r="AB8" i="39"/>
  <c r="AA8" i="39"/>
  <c r="Z8" i="39"/>
  <c r="Y8" i="39"/>
  <c r="X8" i="39"/>
  <c r="W8" i="39"/>
  <c r="V8" i="39"/>
  <c r="U8" i="39"/>
  <c r="T8" i="39"/>
  <c r="S8" i="39"/>
  <c r="R8" i="39"/>
  <c r="Q8" i="39"/>
  <c r="AC7" i="39"/>
  <c r="AB7" i="39"/>
  <c r="AA7" i="39"/>
  <c r="Z7" i="39"/>
  <c r="Y7" i="39"/>
  <c r="X7" i="39"/>
  <c r="W7" i="39"/>
  <c r="V7" i="39"/>
  <c r="U7" i="39"/>
  <c r="T7" i="39"/>
  <c r="S7" i="39"/>
  <c r="R7" i="39"/>
  <c r="Q7" i="39"/>
  <c r="AC6" i="39"/>
  <c r="AB6" i="39"/>
  <c r="AA6" i="39"/>
  <c r="Z6" i="39"/>
  <c r="Y6" i="39"/>
  <c r="X6" i="39"/>
  <c r="W6" i="39"/>
  <c r="V6" i="39"/>
  <c r="U6" i="39"/>
  <c r="T6" i="39"/>
  <c r="S6" i="39"/>
  <c r="R6" i="39"/>
  <c r="Q6" i="39"/>
  <c r="AC5" i="39"/>
  <c r="AB5" i="39"/>
  <c r="AA5" i="39"/>
  <c r="Z5" i="39"/>
  <c r="Y5" i="39"/>
  <c r="X5" i="39"/>
  <c r="W5" i="39"/>
  <c r="V5" i="39"/>
  <c r="U5" i="39"/>
  <c r="T5" i="39"/>
  <c r="S5" i="39"/>
  <c r="R5" i="39"/>
  <c r="Q5" i="39"/>
  <c r="AC4" i="39"/>
  <c r="AB4" i="39"/>
  <c r="AA4" i="39"/>
  <c r="Z4" i="39"/>
  <c r="Y4" i="39"/>
  <c r="X4" i="39"/>
  <c r="W4" i="39"/>
  <c r="V4" i="39"/>
  <c r="U4" i="39"/>
  <c r="T4" i="39"/>
  <c r="S4" i="39"/>
  <c r="R4" i="39"/>
  <c r="Q4" i="39"/>
  <c r="L12" i="28" l="1"/>
  <c r="M39" i="28" l="1"/>
  <c r="J9" i="37" l="1"/>
  <c r="O13" i="22" l="1"/>
  <c r="P13" i="22"/>
  <c r="Q13" i="22"/>
  <c r="R13" i="22"/>
  <c r="S13" i="22"/>
  <c r="T13" i="22"/>
  <c r="U13" i="22"/>
  <c r="V13" i="22"/>
  <c r="W18" i="22"/>
  <c r="V18" i="22"/>
  <c r="U18" i="22"/>
  <c r="T18" i="22"/>
  <c r="S18" i="22"/>
  <c r="R18" i="22"/>
  <c r="Q18" i="22"/>
  <c r="P18" i="22"/>
  <c r="O18" i="22"/>
  <c r="N18" i="22"/>
  <c r="F19" i="22"/>
  <c r="G19" i="22"/>
  <c r="F20" i="22"/>
  <c r="G20" i="22"/>
  <c r="F21" i="22"/>
  <c r="G21" i="22"/>
  <c r="E21" i="22"/>
  <c r="E20" i="22"/>
  <c r="E19" i="22"/>
  <c r="H14" i="22"/>
  <c r="F14" i="22"/>
  <c r="G14" i="22"/>
  <c r="F15" i="22"/>
  <c r="G15" i="22"/>
  <c r="H15" i="22"/>
  <c r="F16" i="22"/>
  <c r="G16" i="22"/>
  <c r="H16" i="22"/>
  <c r="E16" i="22"/>
  <c r="E15" i="22"/>
  <c r="E14" i="22"/>
  <c r="E11" i="22"/>
  <c r="E10" i="22"/>
  <c r="F10" i="22" s="1"/>
  <c r="G10" i="22" s="1"/>
  <c r="H10" i="22" s="1"/>
  <c r="E9" i="22"/>
  <c r="F9" i="22" s="1"/>
  <c r="G9" i="22" s="1"/>
  <c r="H9" i="22" s="1"/>
  <c r="D14" i="22"/>
  <c r="D15" i="22"/>
  <c r="H18" i="22"/>
  <c r="D18" i="22"/>
  <c r="H13" i="22" l="1"/>
  <c r="F11" i="22"/>
  <c r="F8" i="22" s="1"/>
  <c r="P11" i="22"/>
  <c r="F18" i="22"/>
  <c r="D13" i="22"/>
  <c r="G18" i="22"/>
  <c r="E18" i="22"/>
  <c r="D8" i="22"/>
  <c r="E8" i="22"/>
  <c r="J9" i="33"/>
  <c r="J9" i="35"/>
  <c r="G11" i="22" l="1"/>
  <c r="R11" i="22" s="1"/>
  <c r="R8" i="22" s="1"/>
  <c r="Q11" i="22"/>
  <c r="Q8" i="22" s="1"/>
  <c r="P8" i="22" s="1"/>
  <c r="F13" i="22"/>
  <c r="E13" i="22"/>
  <c r="H11" i="22"/>
  <c r="L59" i="22"/>
  <c r="T59" i="34"/>
  <c r="U59" i="34" s="1"/>
  <c r="N56" i="34"/>
  <c r="Q52" i="34"/>
  <c r="I52" i="34"/>
  <c r="Q51" i="34"/>
  <c r="Q50" i="34"/>
  <c r="P50" i="34" s="1"/>
  <c r="Q49" i="34"/>
  <c r="T55" i="34" s="1"/>
  <c r="N48" i="34"/>
  <c r="M48" i="34"/>
  <c r="Q44" i="34"/>
  <c r="Q43" i="34"/>
  <c r="Q42" i="34"/>
  <c r="Q41" i="34"/>
  <c r="Q40" i="34"/>
  <c r="Q36" i="34"/>
  <c r="I39" i="34" s="1"/>
  <c r="Q35" i="34"/>
  <c r="P35" i="34"/>
  <c r="Q34" i="34"/>
  <c r="P34" i="34"/>
  <c r="Q30" i="34"/>
  <c r="N29" i="34"/>
  <c r="T28" i="34"/>
  <c r="U28" i="34" s="1"/>
  <c r="Q26" i="34"/>
  <c r="N25" i="34"/>
  <c r="M25" i="34"/>
  <c r="N21" i="34"/>
  <c r="M21" i="34"/>
  <c r="C10" i="34"/>
  <c r="S11" i="22" l="1"/>
  <c r="H8" i="22"/>
  <c r="G8" i="22"/>
  <c r="G13" i="22"/>
  <c r="F3" i="22"/>
  <c r="Q3" i="22" s="1"/>
  <c r="G3" i="22"/>
  <c r="R3" i="22" s="1"/>
  <c r="I38" i="34"/>
  <c r="I37" i="34"/>
  <c r="T54" i="34"/>
  <c r="U55" i="34"/>
  <c r="T53" i="34"/>
  <c r="U47" i="34"/>
  <c r="I47" i="34"/>
  <c r="I33" i="34"/>
  <c r="T11" i="22" l="1"/>
  <c r="S8" i="22"/>
  <c r="I46" i="34"/>
  <c r="I45" i="34"/>
  <c r="I50" i="34"/>
  <c r="I55" i="34" s="1"/>
  <c r="I32" i="34"/>
  <c r="I31" i="34"/>
  <c r="U11" i="22" l="1"/>
  <c r="T8" i="22"/>
  <c r="I53" i="34"/>
  <c r="I54" i="34"/>
  <c r="V11" i="22" l="1"/>
  <c r="U8" i="22"/>
  <c r="I4" i="32"/>
  <c r="W11" i="22" l="1"/>
  <c r="W8" i="22" s="1"/>
  <c r="V8" i="22"/>
  <c r="B21" i="19"/>
  <c r="B20" i="19" s="1"/>
  <c r="K44" i="28" s="1"/>
  <c r="H44" i="28"/>
  <c r="M41" i="35" l="1" a="1"/>
  <c r="L41" i="35" a="1"/>
  <c r="K41" i="35" a="1"/>
  <c r="J24" i="33"/>
  <c r="J23" i="33"/>
  <c r="J13" i="33"/>
  <c r="J14" i="33"/>
  <c r="J15" i="33" s="1"/>
  <c r="E17" i="33" s="1"/>
  <c r="K45" i="28"/>
  <c r="H45" i="28"/>
  <c r="AV61" i="28"/>
  <c r="AW60" i="28"/>
  <c r="AV60" i="28"/>
  <c r="AV34" i="28"/>
  <c r="BC23" i="28" l="1"/>
  <c r="K13" i="28"/>
  <c r="K15" i="28"/>
  <c r="K17" i="28"/>
  <c r="K19" i="28"/>
  <c r="K28" i="28" l="1"/>
  <c r="K29" i="28"/>
  <c r="K30" i="28"/>
  <c r="K27" i="28"/>
  <c r="K33" i="28"/>
  <c r="K21" i="28"/>
  <c r="K32" i="28"/>
  <c r="K31" i="28"/>
  <c r="K26" i="28"/>
  <c r="K25" i="28"/>
  <c r="K24" i="28"/>
  <c r="K20" i="28"/>
  <c r="K23" i="28"/>
  <c r="K34" i="28"/>
  <c r="K22" i="28"/>
  <c r="N5" i="6" l="1"/>
  <c r="O5" i="6"/>
  <c r="P5" i="6"/>
  <c r="N6" i="6"/>
  <c r="O6" i="6"/>
  <c r="P6" i="6"/>
  <c r="G15" i="28" l="1"/>
  <c r="G10" i="28"/>
  <c r="G13" i="28" s="1"/>
  <c r="G12" i="28" l="1"/>
  <c r="L13" i="28"/>
  <c r="L15" i="28" s="1"/>
  <c r="M13" i="28"/>
  <c r="M15" i="28" s="1"/>
  <c r="L10" i="28"/>
  <c r="X85" i="12"/>
  <c r="M10" i="28"/>
  <c r="Q31" i="23" l="1"/>
  <c r="Q30" i="23"/>
  <c r="Q35" i="23"/>
  <c r="P35" i="23" s="1"/>
  <c r="Q36" i="23"/>
  <c r="P36" i="23" s="1"/>
  <c r="I34" i="23" l="1"/>
  <c r="N21" i="23"/>
  <c r="M25" i="23"/>
  <c r="M21" i="23"/>
  <c r="N50" i="23"/>
  <c r="M50" i="23"/>
  <c r="Q41" i="23"/>
  <c r="Q43" i="23"/>
  <c r="I31" i="23"/>
  <c r="I32" i="23" l="1"/>
  <c r="I33" i="23"/>
  <c r="S4" i="26" l="1"/>
  <c r="T4" i="26" l="1"/>
  <c r="R49" i="34" s="1"/>
  <c r="S5" i="26"/>
  <c r="J21" i="33"/>
  <c r="H15" i="28"/>
  <c r="J15" i="28" s="1"/>
  <c r="S34" i="34"/>
  <c r="R42" i="34"/>
  <c r="S30" i="34"/>
  <c r="S49" i="34"/>
  <c r="S43" i="34"/>
  <c r="R30" i="34"/>
  <c r="H36" i="28"/>
  <c r="I36" i="28" s="1"/>
  <c r="I61" i="28" s="1"/>
  <c r="H28" i="28"/>
  <c r="H21" i="28"/>
  <c r="H30" i="28"/>
  <c r="AE52" i="26"/>
  <c r="AE13" i="26"/>
  <c r="AE23" i="26"/>
  <c r="AE36" i="26"/>
  <c r="AE53" i="26"/>
  <c r="AE14" i="26"/>
  <c r="AJ14" i="26" s="1"/>
  <c r="AE25" i="26"/>
  <c r="AE37" i="26"/>
  <c r="AE28" i="26"/>
  <c r="AE56" i="26"/>
  <c r="AE16" i="26"/>
  <c r="AJ16" i="26" s="1"/>
  <c r="AE30" i="26"/>
  <c r="AE55" i="26"/>
  <c r="AE29" i="26"/>
  <c r="AE57" i="26"/>
  <c r="AE18" i="26"/>
  <c r="AJ18" i="26" s="1"/>
  <c r="AE31" i="26"/>
  <c r="AE54" i="26"/>
  <c r="AE15" i="26"/>
  <c r="AJ15" i="26" s="1"/>
  <c r="AE59" i="26"/>
  <c r="AE21" i="26"/>
  <c r="AE33" i="26"/>
  <c r="H10" i="28"/>
  <c r="I6" i="27"/>
  <c r="I15" i="27"/>
  <c r="I5" i="27"/>
  <c r="I7" i="27"/>
  <c r="I11" i="27"/>
  <c r="AE60" i="26"/>
  <c r="AE22" i="26"/>
  <c r="AE35" i="26"/>
  <c r="N56" i="23"/>
  <c r="N25" i="23"/>
  <c r="H34" i="28" l="1"/>
  <c r="I34" i="28" s="1"/>
  <c r="I54" i="28" s="1"/>
  <c r="I30" i="28"/>
  <c r="I53" i="28" s="1"/>
  <c r="H25" i="28"/>
  <c r="I25" i="28" s="1"/>
  <c r="I21" i="28"/>
  <c r="K36" i="28"/>
  <c r="R41" i="34"/>
  <c r="R51" i="34"/>
  <c r="I14" i="27"/>
  <c r="G14" i="27" s="1"/>
  <c r="R41" i="23" s="1"/>
  <c r="I18" i="27"/>
  <c r="S52" i="23" s="1"/>
  <c r="H22" i="28"/>
  <c r="K37" i="28"/>
  <c r="R52" i="34"/>
  <c r="R26" i="34"/>
  <c r="R40" i="34"/>
  <c r="J14" i="37"/>
  <c r="I17" i="27"/>
  <c r="S45" i="23" s="1"/>
  <c r="H37" i="28"/>
  <c r="I37" i="28" s="1"/>
  <c r="I62" i="28" s="1"/>
  <c r="S41" i="34"/>
  <c r="R36" i="34"/>
  <c r="S44" i="34"/>
  <c r="S51" i="34"/>
  <c r="S55" i="34" s="1"/>
  <c r="J51" i="33"/>
  <c r="I10" i="27"/>
  <c r="S37" i="23" s="1"/>
  <c r="I16" i="27"/>
  <c r="G16" i="27" s="1"/>
  <c r="R51" i="23" s="1"/>
  <c r="R44" i="34"/>
  <c r="S50" i="34"/>
  <c r="S26" i="34"/>
  <c r="S40" i="34"/>
  <c r="J47" i="33"/>
  <c r="H20" i="28"/>
  <c r="S35" i="34"/>
  <c r="S39" i="34" s="1"/>
  <c r="J24" i="37"/>
  <c r="I13" i="27"/>
  <c r="S35" i="23" s="1"/>
  <c r="I12" i="27"/>
  <c r="H27" i="28"/>
  <c r="R50" i="34"/>
  <c r="S42" i="34"/>
  <c r="R34" i="34"/>
  <c r="R43" i="34"/>
  <c r="R47" i="34" s="1"/>
  <c r="I9" i="27"/>
  <c r="S46" i="23" s="1"/>
  <c r="I8" i="27"/>
  <c r="H29" i="28"/>
  <c r="S52" i="34"/>
  <c r="R35" i="34"/>
  <c r="S36" i="34"/>
  <c r="H32" i="28"/>
  <c r="I32" i="28" s="1"/>
  <c r="I28" i="28"/>
  <c r="S30" i="23"/>
  <c r="G5" i="27"/>
  <c r="R30" i="23" s="1"/>
  <c r="S44" i="23"/>
  <c r="G8" i="27"/>
  <c r="R44" i="23" s="1"/>
  <c r="G15" i="27"/>
  <c r="R31" i="23" s="1"/>
  <c r="S31" i="23"/>
  <c r="G6" i="27"/>
  <c r="R43" i="23" s="1"/>
  <c r="S43" i="23"/>
  <c r="J40" i="33"/>
  <c r="J46" i="33" s="1"/>
  <c r="G12" i="27"/>
  <c r="S36" i="23"/>
  <c r="G11" i="27"/>
  <c r="R36" i="23" s="1"/>
  <c r="J21" i="35"/>
  <c r="J34" i="35" s="1"/>
  <c r="J22" i="35"/>
  <c r="G7" i="27"/>
  <c r="R42" i="23" s="1"/>
  <c r="S42" i="23"/>
  <c r="S51" i="23"/>
  <c r="AJ13" i="26"/>
  <c r="S33" i="34"/>
  <c r="R33" i="34"/>
  <c r="H13" i="28"/>
  <c r="J13" i="28" s="1"/>
  <c r="J10" i="28"/>
  <c r="AB28" i="26"/>
  <c r="R39" i="34" l="1"/>
  <c r="R37" i="34" s="1"/>
  <c r="R55" i="34"/>
  <c r="J48" i="33"/>
  <c r="G18" i="27"/>
  <c r="R52" i="23" s="1"/>
  <c r="G17" i="27"/>
  <c r="R45" i="23" s="1"/>
  <c r="R49" i="23" s="1"/>
  <c r="G10" i="27"/>
  <c r="R37" i="23" s="1"/>
  <c r="S26" i="23"/>
  <c r="S47" i="34"/>
  <c r="S46" i="34" s="1"/>
  <c r="J35" i="35"/>
  <c r="S41" i="23"/>
  <c r="G9" i="27"/>
  <c r="R46" i="23" s="1"/>
  <c r="H26" i="28"/>
  <c r="I26" i="28" s="1"/>
  <c r="I60" i="28" s="1"/>
  <c r="I22" i="28"/>
  <c r="I59" i="28" s="1"/>
  <c r="H24" i="28"/>
  <c r="I24" i="28" s="1"/>
  <c r="I58" i="28" s="1"/>
  <c r="I20" i="28"/>
  <c r="I57" i="28" s="1"/>
  <c r="H33" i="28"/>
  <c r="I33" i="28" s="1"/>
  <c r="I52" i="28" s="1"/>
  <c r="I29" i="28"/>
  <c r="I51" i="28" s="1"/>
  <c r="H31" i="28"/>
  <c r="I31" i="28" s="1"/>
  <c r="I50" i="28" s="1"/>
  <c r="I27" i="28"/>
  <c r="I49" i="28" s="1"/>
  <c r="G13" i="27"/>
  <c r="R35" i="23" s="1"/>
  <c r="H23" i="28"/>
  <c r="I23" i="28" s="1"/>
  <c r="I56" i="28" s="1"/>
  <c r="I19" i="28"/>
  <c r="I55" i="28" s="1"/>
  <c r="J27" i="35"/>
  <c r="R55" i="23"/>
  <c r="S49" i="23"/>
  <c r="S55" i="23"/>
  <c r="R34" i="23"/>
  <c r="J28" i="33" s="1"/>
  <c r="R26" i="23"/>
  <c r="S34" i="23"/>
  <c r="J27" i="33" s="1"/>
  <c r="J41" i="33"/>
  <c r="H9" i="28"/>
  <c r="J9" i="28" s="1"/>
  <c r="H12" i="28"/>
  <c r="J12" i="28" s="1"/>
  <c r="J42" i="33"/>
  <c r="R38" i="34"/>
  <c r="R46" i="34"/>
  <c r="R45" i="34"/>
  <c r="R32" i="34"/>
  <c r="R31" i="34"/>
  <c r="S37" i="34"/>
  <c r="S38" i="34"/>
  <c r="S31" i="34"/>
  <c r="S32" i="34"/>
  <c r="R53" i="34"/>
  <c r="R54" i="34"/>
  <c r="AB26" i="26"/>
  <c r="R40" i="23" l="1"/>
  <c r="S54" i="34"/>
  <c r="S53" i="34"/>
  <c r="S45" i="34"/>
  <c r="R33" i="23"/>
  <c r="R32" i="23"/>
  <c r="S32" i="23"/>
  <c r="S33" i="23"/>
  <c r="V28" i="26"/>
  <c r="V29" i="26"/>
  <c r="V30" i="26"/>
  <c r="V31" i="26"/>
  <c r="V27" i="26"/>
  <c r="V14" i="26" l="1"/>
  <c r="V15" i="26"/>
  <c r="V16" i="26" s="1"/>
  <c r="V13" i="26"/>
  <c r="AA56" i="26"/>
  <c r="AA55" i="26"/>
  <c r="AA54" i="26"/>
  <c r="AA53" i="26"/>
  <c r="AA52" i="26"/>
  <c r="AB12" i="26" l="1"/>
  <c r="AA37" i="26"/>
  <c r="AC37" i="26"/>
  <c r="L60" i="26" l="1"/>
  <c r="L59" i="26"/>
  <c r="L56" i="26"/>
  <c r="L55" i="26"/>
  <c r="L54" i="26"/>
  <c r="L53" i="26"/>
  <c r="L52" i="26"/>
  <c r="K37" i="26"/>
  <c r="K36" i="26"/>
  <c r="K35" i="26"/>
  <c r="K33" i="26"/>
  <c r="K32" i="26"/>
  <c r="K31" i="26"/>
  <c r="K30" i="26"/>
  <c r="K29" i="26"/>
  <c r="K28" i="26"/>
  <c r="K27" i="26"/>
  <c r="K25" i="26"/>
  <c r="K24" i="26"/>
  <c r="K23" i="26"/>
  <c r="K22" i="26"/>
  <c r="K21" i="26"/>
  <c r="K18" i="26"/>
  <c r="K17" i="26"/>
  <c r="K16" i="26"/>
  <c r="K15" i="26"/>
  <c r="K14" i="26"/>
  <c r="K13" i="26"/>
  <c r="V22" i="26" l="1"/>
  <c r="V23" i="26"/>
  <c r="V21" i="26"/>
  <c r="T59" i="23"/>
  <c r="U59" i="23" s="1"/>
  <c r="V34" i="26" s="1"/>
  <c r="AD34" i="26" s="1"/>
  <c r="F58" i="26" l="1"/>
  <c r="AC58" i="26"/>
  <c r="AC59" i="26" l="1"/>
  <c r="AC60" i="26" l="1"/>
  <c r="J60" i="26"/>
  <c r="J59" i="26"/>
  <c r="J58" i="26"/>
  <c r="AC57" i="26"/>
  <c r="J57" i="26"/>
  <c r="AC56" i="26"/>
  <c r="J56" i="26"/>
  <c r="AC55" i="26"/>
  <c r="J55" i="26"/>
  <c r="AC54" i="26"/>
  <c r="J54" i="26"/>
  <c r="AC53" i="26"/>
  <c r="J53" i="26"/>
  <c r="AC52" i="26"/>
  <c r="J52" i="26"/>
  <c r="I37" i="26"/>
  <c r="H37" i="26"/>
  <c r="AC36" i="26"/>
  <c r="AB36" i="26"/>
  <c r="AA36" i="26"/>
  <c r="I36" i="26"/>
  <c r="H36" i="26"/>
  <c r="AC35" i="26"/>
  <c r="AB35" i="26"/>
  <c r="AA35" i="26"/>
  <c r="I35" i="26"/>
  <c r="H35" i="26"/>
  <c r="AB34" i="26"/>
  <c r="AC33" i="26"/>
  <c r="AA33" i="26"/>
  <c r="I33" i="26"/>
  <c r="H33" i="26"/>
  <c r="I32" i="26"/>
  <c r="H32" i="26"/>
  <c r="AC31" i="26"/>
  <c r="AB31" i="26"/>
  <c r="AA31" i="26"/>
  <c r="I31" i="26"/>
  <c r="H31" i="26"/>
  <c r="AC30" i="26"/>
  <c r="AB30" i="26"/>
  <c r="AA30" i="26"/>
  <c r="I30" i="26"/>
  <c r="H30" i="26"/>
  <c r="AC29" i="26"/>
  <c r="AB29" i="26"/>
  <c r="AA29" i="26"/>
  <c r="I29" i="26"/>
  <c r="H29" i="26"/>
  <c r="AC28" i="26"/>
  <c r="AA28" i="26"/>
  <c r="I28" i="26"/>
  <c r="H28" i="26"/>
  <c r="AC27" i="26"/>
  <c r="AB27" i="26"/>
  <c r="AA27" i="26"/>
  <c r="I27" i="26"/>
  <c r="H27" i="26"/>
  <c r="AC25" i="26"/>
  <c r="AH25" i="26" s="1"/>
  <c r="AA25" i="26"/>
  <c r="I25" i="26"/>
  <c r="H25" i="26"/>
  <c r="I24" i="26"/>
  <c r="H24" i="26"/>
  <c r="AC23" i="26"/>
  <c r="AH23" i="26" s="1"/>
  <c r="AB23" i="26"/>
  <c r="AA23" i="26"/>
  <c r="I23" i="26"/>
  <c r="H23" i="26"/>
  <c r="AC22" i="26"/>
  <c r="AH22" i="26" s="1"/>
  <c r="AB22" i="26"/>
  <c r="AA22" i="26"/>
  <c r="I22" i="26"/>
  <c r="H22" i="26"/>
  <c r="AC21" i="26"/>
  <c r="AH21" i="26" s="1"/>
  <c r="AB21" i="26"/>
  <c r="AA21" i="26"/>
  <c r="I21" i="26"/>
  <c r="H21" i="26"/>
  <c r="AC18" i="26"/>
  <c r="AH18" i="26" s="1"/>
  <c r="AA18" i="26"/>
  <c r="I18" i="26"/>
  <c r="H18" i="26"/>
  <c r="I17" i="26"/>
  <c r="H17" i="26"/>
  <c r="AC16" i="26"/>
  <c r="AH16" i="26" s="1"/>
  <c r="AB16" i="26"/>
  <c r="AA16" i="26"/>
  <c r="I16" i="26"/>
  <c r="H16" i="26"/>
  <c r="AC15" i="26"/>
  <c r="AH15" i="26" s="1"/>
  <c r="AB15" i="26"/>
  <c r="AA15" i="26"/>
  <c r="I15" i="26"/>
  <c r="H15" i="26"/>
  <c r="AC14" i="26"/>
  <c r="AH14" i="26" s="1"/>
  <c r="AB14" i="26"/>
  <c r="AA14" i="26"/>
  <c r="I14" i="26"/>
  <c r="H14" i="26"/>
  <c r="AC13" i="26"/>
  <c r="AH13" i="26" s="1"/>
  <c r="AB13" i="26"/>
  <c r="AA13" i="26"/>
  <c r="I13" i="26"/>
  <c r="H13" i="26"/>
  <c r="R10" i="26"/>
  <c r="M3" i="26"/>
  <c r="F3" i="26"/>
  <c r="F58" i="25"/>
  <c r="F59" i="25" s="1"/>
  <c r="F57" i="25"/>
  <c r="F56" i="25"/>
  <c r="G54" i="25"/>
  <c r="F54" i="25"/>
  <c r="F55" i="25" s="1"/>
  <c r="G52" i="25"/>
  <c r="F51" i="25"/>
  <c r="F52" i="25" s="1"/>
  <c r="F49" i="25"/>
  <c r="F50" i="25" s="1"/>
  <c r="F47" i="25"/>
  <c r="F48" i="25" s="1"/>
  <c r="G45" i="25"/>
  <c r="F44" i="25"/>
  <c r="F45" i="25" s="1"/>
  <c r="F43" i="25"/>
  <c r="G42" i="25"/>
  <c r="F34" i="25"/>
  <c r="F35" i="25" s="1"/>
  <c r="F32" i="25"/>
  <c r="F33" i="25" s="1"/>
  <c r="F31" i="25"/>
  <c r="F30" i="25"/>
  <c r="F28" i="25"/>
  <c r="F29" i="25" s="1"/>
  <c r="D27" i="25"/>
  <c r="D31" i="25" s="1"/>
  <c r="D26" i="25"/>
  <c r="D30" i="25" s="1"/>
  <c r="F25" i="25"/>
  <c r="F26" i="25" s="1"/>
  <c r="F27" i="25" s="1"/>
  <c r="F22" i="25"/>
  <c r="F20" i="25"/>
  <c r="F21" i="25" s="1"/>
  <c r="F18" i="25"/>
  <c r="F19" i="25" s="1"/>
  <c r="F16" i="25"/>
  <c r="F17" i="25" s="1"/>
  <c r="H2" i="25"/>
  <c r="G2" i="25"/>
  <c r="Q46" i="23"/>
  <c r="Q37" i="23"/>
  <c r="Q42" i="23"/>
  <c r="P41" i="23"/>
  <c r="Q44" i="23"/>
  <c r="Q45" i="23"/>
  <c r="Q51" i="23"/>
  <c r="I55" i="23" s="1"/>
  <c r="Q52" i="23"/>
  <c r="Q26" i="23"/>
  <c r="T28" i="23" s="1"/>
  <c r="U28" i="23" s="1"/>
  <c r="V12" i="26" s="1"/>
  <c r="AD12" i="26" s="1"/>
  <c r="AI12" i="26" s="1"/>
  <c r="F15" i="25" l="1"/>
  <c r="H58" i="26"/>
  <c r="L58" i="26" s="1"/>
  <c r="J25" i="26"/>
  <c r="AD25" i="26" s="1"/>
  <c r="J27" i="26"/>
  <c r="AD27" i="26" s="1"/>
  <c r="S47" i="23"/>
  <c r="I49" i="23"/>
  <c r="I41" i="23" s="1"/>
  <c r="I54" i="23"/>
  <c r="T49" i="23"/>
  <c r="U49" i="23" s="1"/>
  <c r="V19" i="26" s="1"/>
  <c r="T55" i="23"/>
  <c r="U55" i="23" s="1"/>
  <c r="V26" i="26" s="1"/>
  <c r="AD26" i="26" s="1"/>
  <c r="N34" i="26"/>
  <c r="F57" i="26"/>
  <c r="F53" i="26"/>
  <c r="K53" i="26" s="1"/>
  <c r="AD53" i="26" s="1"/>
  <c r="J37" i="26"/>
  <c r="AD37" i="26" s="1"/>
  <c r="G33" i="26"/>
  <c r="J32" i="26"/>
  <c r="AD32" i="26" s="1"/>
  <c r="J22" i="26"/>
  <c r="AD22" i="26" s="1"/>
  <c r="J21" i="26"/>
  <c r="AD21" i="26" s="1"/>
  <c r="J33" i="26"/>
  <c r="L33" i="26" s="1"/>
  <c r="M33" i="26" s="1"/>
  <c r="F52" i="26"/>
  <c r="K52" i="26" s="1"/>
  <c r="AD52" i="26" s="1"/>
  <c r="G24" i="26"/>
  <c r="J15" i="26"/>
  <c r="AD15" i="26" s="1"/>
  <c r="AI15" i="26" s="1"/>
  <c r="G30" i="26"/>
  <c r="J29" i="26"/>
  <c r="AD29" i="26" s="1"/>
  <c r="G25" i="26"/>
  <c r="G18" i="26"/>
  <c r="J17" i="26"/>
  <c r="J13" i="26"/>
  <c r="AD13" i="26" s="1"/>
  <c r="AI13" i="26" s="1"/>
  <c r="AI25" i="26"/>
  <c r="J18" i="26"/>
  <c r="AD18" i="26" s="1"/>
  <c r="AI18" i="26" s="1"/>
  <c r="K58" i="26"/>
  <c r="AD58" i="26" s="1"/>
  <c r="F54" i="26"/>
  <c r="K54" i="26" s="1"/>
  <c r="AD54" i="26" s="1"/>
  <c r="G35" i="26"/>
  <c r="J23" i="26"/>
  <c r="AD23" i="26" s="1"/>
  <c r="G15" i="26"/>
  <c r="G14" i="26"/>
  <c r="G16" i="26"/>
  <c r="F59" i="26"/>
  <c r="K59" i="26" s="1"/>
  <c r="AD59" i="26" s="1"/>
  <c r="G37" i="26"/>
  <c r="J36" i="26"/>
  <c r="AD36" i="26" s="1"/>
  <c r="G32" i="26"/>
  <c r="J31" i="26"/>
  <c r="G27" i="26"/>
  <c r="G22" i="26"/>
  <c r="G21" i="26"/>
  <c r="F60" i="26"/>
  <c r="K60" i="26" s="1"/>
  <c r="AD60" i="26" s="1"/>
  <c r="F56" i="26"/>
  <c r="K56" i="26" s="1"/>
  <c r="AD56" i="26" s="1"/>
  <c r="J30" i="26"/>
  <c r="F55" i="26"/>
  <c r="K55" i="26" s="1"/>
  <c r="AD55" i="26" s="1"/>
  <c r="G29" i="26"/>
  <c r="J28" i="26"/>
  <c r="AD28" i="26" s="1"/>
  <c r="J24" i="26"/>
  <c r="G17" i="26"/>
  <c r="J16" i="26"/>
  <c r="AD16" i="26" s="1"/>
  <c r="AI16" i="26" s="1"/>
  <c r="G13" i="26"/>
  <c r="G23" i="26"/>
  <c r="G36" i="26"/>
  <c r="G31" i="26"/>
  <c r="J35" i="26"/>
  <c r="AD35" i="26" s="1"/>
  <c r="G28" i="26"/>
  <c r="J14" i="26"/>
  <c r="AD14" i="26" s="1"/>
  <c r="AI14" i="26" s="1"/>
  <c r="AI21" i="26" l="1"/>
  <c r="M58" i="26"/>
  <c r="V20" i="26"/>
  <c r="AD20" i="26" s="1"/>
  <c r="AD19" i="26"/>
  <c r="L30" i="26"/>
  <c r="M30" i="26" s="1"/>
  <c r="R30" i="26" s="1"/>
  <c r="B17" i="25" s="1"/>
  <c r="H31" i="25" s="1"/>
  <c r="H32" i="25" s="1"/>
  <c r="AD30" i="26"/>
  <c r="R33" i="26"/>
  <c r="B19" i="25" s="1"/>
  <c r="H35" i="25" s="1"/>
  <c r="H36" i="25" s="1"/>
  <c r="AD33" i="26"/>
  <c r="AI22" i="26"/>
  <c r="L24" i="26"/>
  <c r="M24" i="26" s="1"/>
  <c r="AD24" i="26"/>
  <c r="L29" i="26"/>
  <c r="M29" i="26" s="1"/>
  <c r="R29" i="26" s="1"/>
  <c r="B16" i="25" s="1"/>
  <c r="H29" i="25" s="1"/>
  <c r="H30" i="25" s="1"/>
  <c r="L31" i="26"/>
  <c r="M31" i="26" s="1"/>
  <c r="R31" i="26" s="1"/>
  <c r="B18" i="25" s="1"/>
  <c r="H33" i="25" s="1"/>
  <c r="H34" i="25" s="1"/>
  <c r="AD31" i="26"/>
  <c r="S48" i="23"/>
  <c r="S53" i="23"/>
  <c r="S54" i="23"/>
  <c r="I53" i="23"/>
  <c r="I47" i="23"/>
  <c r="I48" i="23"/>
  <c r="T54" i="23"/>
  <c r="T53" i="23"/>
  <c r="R54" i="23"/>
  <c r="R53" i="23"/>
  <c r="R48" i="23"/>
  <c r="R47" i="23"/>
  <c r="M60" i="26"/>
  <c r="L25" i="26"/>
  <c r="M25" i="26" s="1"/>
  <c r="R25" i="26" s="1"/>
  <c r="B12" i="25" s="1"/>
  <c r="M53" i="26"/>
  <c r="M55" i="26"/>
  <c r="L18" i="26"/>
  <c r="B7" i="25" s="1"/>
  <c r="H11" i="25" s="1"/>
  <c r="H12" i="25" s="1"/>
  <c r="L23" i="26"/>
  <c r="M23" i="26" s="1"/>
  <c r="L17" i="26"/>
  <c r="M17" i="26" s="1"/>
  <c r="L36" i="26"/>
  <c r="M36" i="26" s="1"/>
  <c r="M54" i="26"/>
  <c r="L22" i="26"/>
  <c r="M22" i="26" s="1"/>
  <c r="L27" i="26"/>
  <c r="M27" i="26" s="1"/>
  <c r="R27" i="26" s="1"/>
  <c r="H25" i="25" s="1"/>
  <c r="H26" i="25" s="1"/>
  <c r="M59" i="26"/>
  <c r="L14" i="26"/>
  <c r="M14" i="26" s="1"/>
  <c r="R14" i="26" s="1"/>
  <c r="B4" i="25" s="1"/>
  <c r="H5" i="25" s="1"/>
  <c r="H6" i="25" s="1"/>
  <c r="L32" i="26"/>
  <c r="M32" i="26" s="1"/>
  <c r="R32" i="26" s="1"/>
  <c r="L15" i="26"/>
  <c r="M15" i="26" s="1"/>
  <c r="R15" i="26" s="1"/>
  <c r="B5" i="25" s="1"/>
  <c r="H7" i="25" s="1"/>
  <c r="H8" i="25" s="1"/>
  <c r="L21" i="26"/>
  <c r="M21" i="26" s="1"/>
  <c r="L35" i="26"/>
  <c r="M35" i="26" s="1"/>
  <c r="L37" i="26"/>
  <c r="M37" i="26" s="1"/>
  <c r="L16" i="26"/>
  <c r="M16" i="26" s="1"/>
  <c r="M56" i="26"/>
  <c r="L13" i="26"/>
  <c r="M13" i="26" s="1"/>
  <c r="M52" i="26"/>
  <c r="L28" i="26"/>
  <c r="M28" i="26" s="1"/>
  <c r="R28" i="26" s="1"/>
  <c r="AI23" i="26"/>
  <c r="K57" i="26"/>
  <c r="C5" i="2"/>
  <c r="B6" i="2"/>
  <c r="B7" i="2" s="1"/>
  <c r="C7" i="2" s="1"/>
  <c r="B8" i="2" l="1"/>
  <c r="C8" i="2" s="1"/>
  <c r="R35" i="26"/>
  <c r="B21" i="25" s="1"/>
  <c r="H40" i="25" s="1"/>
  <c r="H41" i="25" s="1"/>
  <c r="R21" i="26"/>
  <c r="B9" i="25" s="1"/>
  <c r="H15" i="25" s="1"/>
  <c r="H16" i="25" s="1"/>
  <c r="R36" i="26"/>
  <c r="AD57" i="26"/>
  <c r="M57" i="26"/>
  <c r="H28" i="25"/>
  <c r="H27" i="25"/>
  <c r="R13" i="26"/>
  <c r="B3" i="25" s="1"/>
  <c r="H3" i="25" s="1"/>
  <c r="H4" i="25" s="1"/>
  <c r="R24" i="26"/>
  <c r="R16" i="26"/>
  <c r="B6" i="25" s="1"/>
  <c r="R22" i="26"/>
  <c r="B10" i="25" s="1"/>
  <c r="H17" i="25" s="1"/>
  <c r="H18" i="25" s="1"/>
  <c r="H22" i="25"/>
  <c r="H21" i="25"/>
  <c r="R17" i="26"/>
  <c r="R23" i="26"/>
  <c r="B11" i="25" s="1"/>
  <c r="H19" i="25" s="1"/>
  <c r="H20" i="25" s="1"/>
  <c r="R43" i="26"/>
  <c r="B31" i="25" s="1"/>
  <c r="H58" i="25" s="1"/>
  <c r="H59" i="25" s="1"/>
  <c r="R40" i="26"/>
  <c r="B27" i="25" s="1"/>
  <c r="H51" i="25" s="1"/>
  <c r="H52" i="25" s="1"/>
  <c r="R37" i="26"/>
  <c r="B23" i="25" s="1"/>
  <c r="H44" i="25" s="1"/>
  <c r="H45" i="25" s="1"/>
  <c r="R42" i="26"/>
  <c r="B30" i="25" s="1"/>
  <c r="H56" i="25" s="1"/>
  <c r="H57" i="25" s="1"/>
  <c r="R39" i="26"/>
  <c r="B26" i="25" s="1"/>
  <c r="H49" i="25" s="1"/>
  <c r="H50" i="25" s="1"/>
  <c r="R38" i="26"/>
  <c r="B25" i="25" s="1"/>
  <c r="H47" i="25" s="1"/>
  <c r="H48" i="25" s="1"/>
  <c r="R41" i="26"/>
  <c r="B29" i="25" s="1"/>
  <c r="H54" i="25" s="1"/>
  <c r="H55" i="25" s="1"/>
  <c r="D72" i="2"/>
  <c r="C72" i="2"/>
  <c r="H9" i="25" l="1"/>
  <c r="H10" i="25"/>
  <c r="B22" i="25"/>
  <c r="H43" i="25" s="1"/>
  <c r="H42" i="25" s="1"/>
  <c r="K26" i="14"/>
  <c r="E54" i="14"/>
  <c r="E50" i="14"/>
  <c r="E53" i="14" s="1"/>
  <c r="E56" i="14" s="1"/>
  <c r="E58" i="14" s="1"/>
  <c r="E59" i="14" s="1"/>
  <c r="I22" i="14"/>
  <c r="J22" i="14" s="1"/>
  <c r="K22" i="14" s="1"/>
  <c r="F22" i="14"/>
  <c r="I21" i="14"/>
  <c r="F21" i="14"/>
  <c r="I20" i="14"/>
  <c r="F20" i="14"/>
  <c r="J20" i="14" l="1"/>
  <c r="K20" i="14" s="1"/>
  <c r="J21" i="14"/>
  <c r="K21" i="14" s="1"/>
  <c r="K24" i="14" s="1"/>
  <c r="C10" i="23"/>
  <c r="G52" i="16" l="1"/>
  <c r="U33" i="15" l="1"/>
  <c r="U34" i="15"/>
  <c r="U35" i="15" s="1"/>
  <c r="U32" i="15"/>
  <c r="S22" i="15"/>
  <c r="B38" i="1" l="1"/>
  <c r="B22" i="20" l="1"/>
  <c r="B27" i="20" l="1"/>
  <c r="B28" i="20"/>
  <c r="B29" i="20"/>
  <c r="B30" i="20"/>
  <c r="B31" i="20"/>
  <c r="B32" i="20"/>
  <c r="B33" i="20"/>
  <c r="B34" i="20"/>
  <c r="B35" i="20"/>
  <c r="B36" i="20"/>
  <c r="B37" i="20"/>
  <c r="B38" i="20"/>
  <c r="C28" i="20"/>
  <c r="C29" i="20"/>
  <c r="C30" i="20"/>
  <c r="C31" i="20"/>
  <c r="C32" i="20"/>
  <c r="C33" i="20"/>
  <c r="C34" i="20"/>
  <c r="C35" i="20"/>
  <c r="C36" i="20"/>
  <c r="C37" i="20"/>
  <c r="C38" i="20"/>
  <c r="C27" i="20"/>
  <c r="C23" i="20" s="1"/>
  <c r="C5" i="20"/>
  <c r="B19" i="20"/>
  <c r="B6" i="20" s="1"/>
  <c r="B23" i="20" l="1"/>
  <c r="C25" i="20"/>
  <c r="C24" i="20"/>
  <c r="B25" i="20"/>
  <c r="B24" i="20"/>
  <c r="C6" i="20"/>
  <c r="C7" i="20" s="1"/>
  <c r="B5" i="20"/>
  <c r="B7" i="20" s="1"/>
  <c r="X80" i="12"/>
  <c r="W95" i="12"/>
  <c r="X95" i="12" s="1"/>
  <c r="W94" i="12"/>
  <c r="X94" i="12" s="1"/>
  <c r="B26" i="20" l="1"/>
  <c r="C26" i="20"/>
  <c r="Y95" i="12"/>
  <c r="X89" i="12"/>
  <c r="X88" i="12"/>
  <c r="X79" i="12"/>
  <c r="Y79" i="12" s="1"/>
  <c r="Z78" i="12" s="1"/>
  <c r="T79" i="12"/>
  <c r="U79" i="12"/>
  <c r="T80" i="12"/>
  <c r="U80" i="12"/>
  <c r="X84" i="12"/>
  <c r="X83" i="12"/>
  <c r="T88" i="12"/>
  <c r="U88" i="12"/>
  <c r="T89" i="12"/>
  <c r="U89" i="12"/>
  <c r="B106" i="12"/>
  <c r="T84" i="12"/>
  <c r="T83" i="12"/>
  <c r="B91" i="12"/>
  <c r="Y88" i="12" l="1"/>
  <c r="Z87" i="12" s="1"/>
  <c r="Y83" i="12"/>
  <c r="Z82" i="12" s="1"/>
  <c r="Y94" i="12"/>
  <c r="U84" i="12"/>
  <c r="U83" i="12"/>
  <c r="D14" i="19" l="1"/>
  <c r="D15" i="19" s="1"/>
  <c r="Q37" i="15" l="1"/>
  <c r="Q29" i="15"/>
  <c r="Q32" i="15" s="1"/>
  <c r="Q33" i="15" s="1"/>
  <c r="P29" i="15"/>
  <c r="P32" i="15" s="1"/>
  <c r="P33" i="15" s="1"/>
  <c r="P22" i="15"/>
  <c r="B75" i="18" l="1"/>
  <c r="B71" i="18"/>
  <c r="B73" i="18"/>
  <c r="C74" i="16"/>
  <c r="D69" i="16"/>
  <c r="A53" i="16"/>
  <c r="C49" i="16"/>
  <c r="C33" i="16"/>
  <c r="C31" i="16"/>
  <c r="C29" i="16"/>
  <c r="D22" i="16"/>
  <c r="D30" i="16" s="1"/>
  <c r="I17" i="16"/>
  <c r="H17" i="16"/>
  <c r="G17" i="16"/>
  <c r="F17" i="16"/>
  <c r="E17" i="16"/>
  <c r="D17" i="16"/>
  <c r="C17" i="16"/>
  <c r="B17" i="16"/>
  <c r="I16" i="16"/>
  <c r="H16" i="16"/>
  <c r="G16" i="16"/>
  <c r="F16" i="16"/>
  <c r="E16" i="16"/>
  <c r="D16" i="16"/>
  <c r="C16" i="16"/>
  <c r="B16" i="16"/>
  <c r="J14" i="16"/>
  <c r="I14" i="16"/>
  <c r="H14" i="16"/>
  <c r="G14" i="16"/>
  <c r="P27" i="16" s="1"/>
  <c r="F14" i="16"/>
  <c r="E14" i="16"/>
  <c r="D14" i="16"/>
  <c r="S26" i="16" s="1"/>
  <c r="C14" i="16"/>
  <c r="C24" i="16" s="1"/>
  <c r="B14" i="16"/>
  <c r="P23" i="16" s="1"/>
  <c r="C30" i="16" l="1"/>
  <c r="C50" i="16"/>
  <c r="C42" i="16"/>
  <c r="C25" i="16"/>
  <c r="A59" i="16" s="1"/>
  <c r="Q23" i="16"/>
  <c r="T23" i="16"/>
  <c r="I23" i="16"/>
  <c r="L23" i="16"/>
  <c r="L26" i="16"/>
  <c r="T26" i="16"/>
  <c r="I27" i="16"/>
  <c r="Q27" i="16"/>
  <c r="D29" i="16"/>
  <c r="D33" i="16"/>
  <c r="E22" i="16"/>
  <c r="J23" i="16"/>
  <c r="R23" i="16"/>
  <c r="E26" i="16"/>
  <c r="M26" i="16"/>
  <c r="U26" i="16"/>
  <c r="J27" i="16"/>
  <c r="R27" i="16"/>
  <c r="K23" i="16"/>
  <c r="S23" i="16"/>
  <c r="F26" i="16"/>
  <c r="N26" i="16"/>
  <c r="V26" i="16"/>
  <c r="K27" i="16"/>
  <c r="S27" i="16"/>
  <c r="D32" i="16"/>
  <c r="O26" i="16"/>
  <c r="L27" i="16"/>
  <c r="M6" i="16"/>
  <c r="M7" i="16" s="1"/>
  <c r="E23" i="16"/>
  <c r="M23" i="16"/>
  <c r="U23" i="16"/>
  <c r="H26" i="16"/>
  <c r="P26" i="16"/>
  <c r="E27" i="16"/>
  <c r="E33" i="16" s="1"/>
  <c r="M27" i="16"/>
  <c r="U27" i="16"/>
  <c r="D31" i="16"/>
  <c r="F23" i="16"/>
  <c r="N23" i="16"/>
  <c r="V23" i="16"/>
  <c r="I26" i="16"/>
  <c r="Q26" i="16"/>
  <c r="F27" i="16"/>
  <c r="N27" i="16"/>
  <c r="V27" i="16"/>
  <c r="B36" i="16"/>
  <c r="G26" i="16"/>
  <c r="W26" i="16"/>
  <c r="T27" i="16"/>
  <c r="G23" i="16"/>
  <c r="O23" i="16"/>
  <c r="W23" i="16"/>
  <c r="J26" i="16"/>
  <c r="R26" i="16"/>
  <c r="G27" i="16"/>
  <c r="O27" i="16"/>
  <c r="W27" i="16"/>
  <c r="D19" i="16"/>
  <c r="H23" i="16"/>
  <c r="K26" i="16"/>
  <c r="H27" i="16"/>
  <c r="J55" i="1"/>
  <c r="C55" i="1"/>
  <c r="B58" i="1"/>
  <c r="D55" i="1"/>
  <c r="D58" i="1" s="1"/>
  <c r="E55" i="1"/>
  <c r="F55" i="1"/>
  <c r="G55" i="1"/>
  <c r="H55" i="1"/>
  <c r="I55" i="1"/>
  <c r="B55" i="1"/>
  <c r="A60" i="16" l="1"/>
  <c r="A61" i="16" s="1"/>
  <c r="E42" i="16"/>
  <c r="B74" i="16"/>
  <c r="B75" i="16" s="1"/>
  <c r="C32" i="16"/>
  <c r="C58" i="1"/>
  <c r="E30" i="16"/>
  <c r="E32" i="16"/>
  <c r="F22" i="16"/>
  <c r="F33" i="16" s="1"/>
  <c r="C36" i="16"/>
  <c r="E29" i="16"/>
  <c r="E31" i="16"/>
  <c r="C16" i="1"/>
  <c r="F29" i="16" l="1"/>
  <c r="F31" i="16"/>
  <c r="G22" i="16"/>
  <c r="F32" i="16"/>
  <c r="F30" i="16"/>
  <c r="C51" i="16"/>
  <c r="D51" i="16" s="1"/>
  <c r="D42" i="16" l="1"/>
  <c r="B76" i="16" s="1"/>
  <c r="G32" i="16"/>
  <c r="H22" i="16"/>
  <c r="G30" i="16"/>
  <c r="G33" i="16"/>
  <c r="G29" i="16"/>
  <c r="G31" i="16"/>
  <c r="I50" i="16" l="1"/>
  <c r="I53" i="16" s="1"/>
  <c r="G50" i="16"/>
  <c r="G53" i="16" s="1"/>
  <c r="H50" i="16"/>
  <c r="H53" i="16" s="1"/>
  <c r="H32" i="16"/>
  <c r="I22" i="16"/>
  <c r="H30" i="16"/>
  <c r="H29" i="16"/>
  <c r="H31" i="16"/>
  <c r="H33" i="16"/>
  <c r="B9" i="14"/>
  <c r="B8" i="14"/>
  <c r="I32" i="16" l="1"/>
  <c r="J22" i="16"/>
  <c r="I30" i="16"/>
  <c r="I29" i="16"/>
  <c r="I33" i="16"/>
  <c r="I31" i="16"/>
  <c r="D24" i="13"/>
  <c r="G24" i="13" s="1"/>
  <c r="D23" i="13"/>
  <c r="G23" i="13" s="1"/>
  <c r="B14" i="13"/>
  <c r="G22" i="13" l="1"/>
  <c r="K22" i="16"/>
  <c r="J30" i="16"/>
  <c r="J32" i="16"/>
  <c r="J31" i="16"/>
  <c r="J33" i="16"/>
  <c r="J29" i="16"/>
  <c r="C46" i="11"/>
  <c r="E45" i="11"/>
  <c r="C13" i="11"/>
  <c r="C12" i="11"/>
  <c r="C15" i="11" s="1"/>
  <c r="E7" i="11" l="1"/>
  <c r="AJ22" i="26"/>
  <c r="F1" i="11"/>
  <c r="E5" i="11"/>
  <c r="E12" i="11"/>
  <c r="L22" i="16"/>
  <c r="K30" i="16"/>
  <c r="K32" i="16"/>
  <c r="K33" i="16"/>
  <c r="K31" i="16"/>
  <c r="K29" i="16"/>
  <c r="E6" i="11"/>
  <c r="E13" i="11"/>
  <c r="C3" i="6"/>
  <c r="C1" i="6"/>
  <c r="C2" i="10"/>
  <c r="D2" i="10" s="1"/>
  <c r="E14" i="11" l="1"/>
  <c r="J14" i="11" s="1"/>
  <c r="AJ21" i="26"/>
  <c r="AJ25" i="26"/>
  <c r="AJ23" i="26"/>
  <c r="L30" i="16"/>
  <c r="L32" i="16"/>
  <c r="M22" i="16"/>
  <c r="L29" i="16"/>
  <c r="L31" i="16"/>
  <c r="L33" i="16"/>
  <c r="K36" i="2"/>
  <c r="L36" i="2"/>
  <c r="N36" i="2"/>
  <c r="O36" i="2"/>
  <c r="P36" i="2"/>
  <c r="N32" i="2"/>
  <c r="O32" i="2"/>
  <c r="P32" i="2"/>
  <c r="M32" i="2"/>
  <c r="J36" i="2"/>
  <c r="K32" i="2"/>
  <c r="L32" i="2"/>
  <c r="I32" i="2"/>
  <c r="M30" i="16" l="1"/>
  <c r="M32" i="16"/>
  <c r="N22" i="16"/>
  <c r="M29" i="16"/>
  <c r="M31" i="16"/>
  <c r="M33" i="16"/>
  <c r="G15" i="9"/>
  <c r="X26" i="9"/>
  <c r="Y26" i="9"/>
  <c r="C36" i="9"/>
  <c r="C35" i="9"/>
  <c r="C18" i="9"/>
  <c r="B18" i="9" s="1"/>
  <c r="J11" i="9"/>
  <c r="J10" i="9"/>
  <c r="H11" i="9"/>
  <c r="H10" i="9"/>
  <c r="H18" i="1"/>
  <c r="H19" i="1"/>
  <c r="E18" i="1"/>
  <c r="E19" i="1"/>
  <c r="G28" i="9" l="1"/>
  <c r="N32" i="16"/>
  <c r="O22" i="16"/>
  <c r="N30" i="16"/>
  <c r="N31" i="16"/>
  <c r="N29" i="16"/>
  <c r="N33" i="16"/>
  <c r="V28" i="9"/>
  <c r="N28" i="9"/>
  <c r="X28" i="9"/>
  <c r="F28" i="9"/>
  <c r="H28" i="9"/>
  <c r="Y28" i="9"/>
  <c r="U28" i="9"/>
  <c r="M28" i="9"/>
  <c r="T28" i="9"/>
  <c r="L28" i="9"/>
  <c r="S28" i="9"/>
  <c r="K28" i="9"/>
  <c r="R28" i="9"/>
  <c r="J28" i="9"/>
  <c r="E28" i="9"/>
  <c r="Q28" i="9"/>
  <c r="I28" i="9"/>
  <c r="P28" i="9"/>
  <c r="W28" i="9"/>
  <c r="O28" i="9"/>
  <c r="B10" i="9"/>
  <c r="C32" i="9"/>
  <c r="D64" i="2"/>
  <c r="D65" i="2" s="1"/>
  <c r="C34" i="9"/>
  <c r="C33" i="9"/>
  <c r="C30" i="9"/>
  <c r="D21" i="9"/>
  <c r="T26" i="9"/>
  <c r="F58" i="2"/>
  <c r="E58" i="2"/>
  <c r="D58" i="2"/>
  <c r="F57" i="2"/>
  <c r="E57" i="2"/>
  <c r="D57" i="2"/>
  <c r="D56" i="2"/>
  <c r="E10" i="9" l="1"/>
  <c r="E11" i="9" s="1"/>
  <c r="I1" i="9"/>
  <c r="C68" i="2"/>
  <c r="D68" i="2"/>
  <c r="O32" i="16"/>
  <c r="P22" i="16"/>
  <c r="O30" i="16"/>
  <c r="O33" i="16"/>
  <c r="O29" i="16"/>
  <c r="O31" i="16"/>
  <c r="D32" i="9"/>
  <c r="D35" i="9"/>
  <c r="D36" i="9"/>
  <c r="C31" i="9"/>
  <c r="I26" i="9"/>
  <c r="Q26" i="9"/>
  <c r="D34" i="9"/>
  <c r="R26" i="9"/>
  <c r="F26" i="9"/>
  <c r="V26" i="9"/>
  <c r="G26" i="9"/>
  <c r="O26" i="9"/>
  <c r="W26" i="9"/>
  <c r="D31" i="9"/>
  <c r="M26" i="9"/>
  <c r="U26" i="9"/>
  <c r="D33" i="9"/>
  <c r="N26" i="9"/>
  <c r="H26" i="9"/>
  <c r="P26" i="9"/>
  <c r="D30" i="9"/>
  <c r="E21" i="9"/>
  <c r="E36" i="9" s="1"/>
  <c r="J26" i="9"/>
  <c r="K26" i="9"/>
  <c r="S26" i="9"/>
  <c r="L26" i="9"/>
  <c r="E14" i="9"/>
  <c r="E15" i="9" s="1"/>
  <c r="C44" i="7"/>
  <c r="C45" i="7" s="1"/>
  <c r="W16" i="7"/>
  <c r="W18" i="7" s="1"/>
  <c r="X15" i="7"/>
  <c r="X16" i="7" s="1"/>
  <c r="V6" i="7"/>
  <c r="V10" i="7"/>
  <c r="V9" i="7"/>
  <c r="V8" i="7"/>
  <c r="V7" i="7"/>
  <c r="V5" i="7"/>
  <c r="Y6" i="7"/>
  <c r="Y7" i="7"/>
  <c r="Y8" i="7"/>
  <c r="Y9" i="7"/>
  <c r="Y10" i="7"/>
  <c r="Y5" i="7"/>
  <c r="L27" i="9" l="1"/>
  <c r="O27" i="9"/>
  <c r="M27" i="9"/>
  <c r="J27" i="9"/>
  <c r="P27" i="9"/>
  <c r="Y27" i="9"/>
  <c r="R27" i="9"/>
  <c r="F27" i="9"/>
  <c r="I27" i="9"/>
  <c r="T27" i="9"/>
  <c r="W27" i="9"/>
  <c r="Q27" i="9"/>
  <c r="H27" i="9"/>
  <c r="X27" i="9"/>
  <c r="U27" i="9"/>
  <c r="E27" i="9"/>
  <c r="E35" i="9" s="1"/>
  <c r="N27" i="9"/>
  <c r="K27" i="9"/>
  <c r="V27" i="9"/>
  <c r="S27" i="9"/>
  <c r="G27" i="9"/>
  <c r="P32" i="16"/>
  <c r="Q22" i="16"/>
  <c r="P30" i="16"/>
  <c r="P33" i="16"/>
  <c r="P29" i="16"/>
  <c r="P31" i="16"/>
  <c r="V21" i="7"/>
  <c r="V22" i="7"/>
  <c r="A46" i="7"/>
  <c r="V23" i="7"/>
  <c r="V24" i="7"/>
  <c r="V25" i="7"/>
  <c r="V20" i="7"/>
  <c r="B11" i="9"/>
  <c r="E16" i="9"/>
  <c r="F11" i="9"/>
  <c r="E24" i="9" s="1"/>
  <c r="E32" i="9" s="1"/>
  <c r="D11" i="9"/>
  <c r="C10" i="9"/>
  <c r="G11" i="9"/>
  <c r="E26" i="9" s="1"/>
  <c r="E34" i="9" s="1"/>
  <c r="I11" i="9"/>
  <c r="C11" i="9"/>
  <c r="E23" i="9" s="1"/>
  <c r="E31" i="9" s="1"/>
  <c r="D10" i="9"/>
  <c r="F10" i="9"/>
  <c r="G10" i="9"/>
  <c r="I10" i="9"/>
  <c r="F21" i="9"/>
  <c r="X18" i="7"/>
  <c r="F35" i="9" l="1"/>
  <c r="Q32" i="16"/>
  <c r="R22" i="16"/>
  <c r="Q30" i="16"/>
  <c r="Q29" i="16"/>
  <c r="Q33" i="16"/>
  <c r="Q31" i="16"/>
  <c r="X22" i="9"/>
  <c r="Y22" i="9"/>
  <c r="P22" i="9"/>
  <c r="L22" i="9"/>
  <c r="E22" i="9"/>
  <c r="E30" i="9" s="1"/>
  <c r="T22" i="9"/>
  <c r="G22" i="9"/>
  <c r="U22" i="9"/>
  <c r="O22" i="9"/>
  <c r="W22" i="9"/>
  <c r="K22" i="9"/>
  <c r="H22" i="9"/>
  <c r="S22" i="9"/>
  <c r="N22" i="9"/>
  <c r="I22" i="9"/>
  <c r="F22" i="9"/>
  <c r="V22" i="9"/>
  <c r="Q22" i="9"/>
  <c r="M22" i="9"/>
  <c r="J22" i="9"/>
  <c r="R22" i="9"/>
  <c r="G25" i="9"/>
  <c r="P25" i="9"/>
  <c r="O25" i="9"/>
  <c r="I25" i="9"/>
  <c r="M25" i="9"/>
  <c r="W25" i="9"/>
  <c r="R25" i="9"/>
  <c r="U25" i="9"/>
  <c r="Q25" i="9"/>
  <c r="T25" i="9"/>
  <c r="E25" i="9"/>
  <c r="E33" i="9" s="1"/>
  <c r="F25" i="9"/>
  <c r="F33" i="9" s="1"/>
  <c r="J25" i="9"/>
  <c r="X25" i="9"/>
  <c r="N25" i="9"/>
  <c r="S25" i="9"/>
  <c r="Y25" i="9"/>
  <c r="V25" i="9"/>
  <c r="L25" i="9"/>
  <c r="K25" i="9"/>
  <c r="H25" i="9"/>
  <c r="F34" i="9"/>
  <c r="F36" i="9"/>
  <c r="G21" i="9"/>
  <c r="F32" i="9"/>
  <c r="F31" i="9"/>
  <c r="F30" i="9"/>
  <c r="B18" i="1"/>
  <c r="B19" i="1"/>
  <c r="C19" i="1"/>
  <c r="B16" i="1"/>
  <c r="D21" i="1" s="1"/>
  <c r="K42" i="2"/>
  <c r="L42" i="2"/>
  <c r="J42" i="2"/>
  <c r="D18" i="1"/>
  <c r="F18" i="1"/>
  <c r="G18" i="1"/>
  <c r="I18" i="1"/>
  <c r="D19" i="1"/>
  <c r="F19" i="1"/>
  <c r="G19" i="1"/>
  <c r="I19" i="1"/>
  <c r="C18" i="1"/>
  <c r="S22" i="16" l="1"/>
  <c r="R30" i="16"/>
  <c r="R32" i="16"/>
  <c r="R31" i="16"/>
  <c r="R29" i="16"/>
  <c r="R33" i="16"/>
  <c r="M6" i="1"/>
  <c r="M7" i="1" s="1"/>
  <c r="G36" i="9"/>
  <c r="G35" i="9"/>
  <c r="G32" i="9"/>
  <c r="H21" i="9"/>
  <c r="G31" i="9"/>
  <c r="G34" i="9"/>
  <c r="G33" i="9"/>
  <c r="G30" i="9"/>
  <c r="J44" i="2"/>
  <c r="E25" i="1"/>
  <c r="F25" i="1"/>
  <c r="G25" i="1"/>
  <c r="H25" i="1"/>
  <c r="C33" i="1"/>
  <c r="C35" i="1"/>
  <c r="C31" i="1"/>
  <c r="D24" i="1"/>
  <c r="E24" i="1" s="1"/>
  <c r="F24" i="1" s="1"/>
  <c r="G24" i="1" s="1"/>
  <c r="H24" i="1" s="1"/>
  <c r="I24" i="1" s="1"/>
  <c r="J24" i="1" s="1"/>
  <c r="K24" i="1" s="1"/>
  <c r="L24" i="1" s="1"/>
  <c r="M24" i="1" s="1"/>
  <c r="N24" i="1" s="1"/>
  <c r="O24" i="1" s="1"/>
  <c r="P24" i="1" s="1"/>
  <c r="Q24" i="1" s="1"/>
  <c r="R24" i="1" s="1"/>
  <c r="S24" i="1" s="1"/>
  <c r="T24" i="1" s="1"/>
  <c r="U24" i="1" s="1"/>
  <c r="V24" i="1" s="1"/>
  <c r="W24" i="1" s="1"/>
  <c r="W34" i="1" s="1"/>
  <c r="F16" i="1"/>
  <c r="C27" i="1" s="1"/>
  <c r="C34" i="1" s="1"/>
  <c r="J16" i="1"/>
  <c r="H16" i="1"/>
  <c r="D16" i="1"/>
  <c r="K28" i="1" s="1"/>
  <c r="E16" i="1"/>
  <c r="G16" i="1"/>
  <c r="K29" i="1" s="1"/>
  <c r="I16" i="1"/>
  <c r="S30" i="16" l="1"/>
  <c r="S32" i="16"/>
  <c r="T22" i="16"/>
  <c r="S31" i="16"/>
  <c r="S33" i="16"/>
  <c r="S29" i="16"/>
  <c r="C38" i="1"/>
  <c r="C26" i="1"/>
  <c r="C32" i="1" s="1"/>
  <c r="K33" i="1"/>
  <c r="H36" i="9"/>
  <c r="H35" i="9"/>
  <c r="H31" i="9"/>
  <c r="H33" i="9"/>
  <c r="H32" i="9"/>
  <c r="I21" i="9"/>
  <c r="H30" i="9"/>
  <c r="H34" i="9"/>
  <c r="K35" i="1"/>
  <c r="N28" i="1"/>
  <c r="N33" i="1" s="1"/>
  <c r="D33" i="1"/>
  <c r="R25" i="1"/>
  <c r="F28" i="1"/>
  <c r="F33" i="1" s="1"/>
  <c r="Q25" i="1"/>
  <c r="Q31" i="1" s="1"/>
  <c r="M28" i="1"/>
  <c r="M33" i="1" s="1"/>
  <c r="F34" i="1"/>
  <c r="O34" i="1"/>
  <c r="G34" i="1"/>
  <c r="T34" i="1"/>
  <c r="D34" i="1"/>
  <c r="S34" i="1"/>
  <c r="V28" i="1"/>
  <c r="V33" i="1" s="1"/>
  <c r="R34" i="1"/>
  <c r="J34" i="1"/>
  <c r="N34" i="1"/>
  <c r="U34" i="1"/>
  <c r="M34" i="1"/>
  <c r="E34" i="1"/>
  <c r="D35" i="1"/>
  <c r="L34" i="1"/>
  <c r="K34" i="1"/>
  <c r="J25" i="1"/>
  <c r="J31" i="1" s="1"/>
  <c r="U28" i="1"/>
  <c r="U33" i="1" s="1"/>
  <c r="Q34" i="1"/>
  <c r="I34" i="1"/>
  <c r="V34" i="1"/>
  <c r="P34" i="1"/>
  <c r="H34" i="1"/>
  <c r="I25" i="1"/>
  <c r="I31" i="1" s="1"/>
  <c r="R29" i="1"/>
  <c r="R35" i="1" s="1"/>
  <c r="J29" i="1"/>
  <c r="J35" i="1" s="1"/>
  <c r="T28" i="1"/>
  <c r="T33" i="1" s="1"/>
  <c r="L28" i="1"/>
  <c r="L33" i="1" s="1"/>
  <c r="P25" i="1"/>
  <c r="P31" i="1" s="1"/>
  <c r="E29" i="1"/>
  <c r="E35" i="1" s="1"/>
  <c r="Q29" i="1"/>
  <c r="Q35" i="1" s="1"/>
  <c r="I29" i="1"/>
  <c r="I35" i="1" s="1"/>
  <c r="S28" i="1"/>
  <c r="S33" i="1" s="1"/>
  <c r="W25" i="1"/>
  <c r="W31" i="1" s="1"/>
  <c r="O25" i="1"/>
  <c r="O31" i="1" s="1"/>
  <c r="G31" i="1"/>
  <c r="E28" i="1"/>
  <c r="E33" i="1" s="1"/>
  <c r="P29" i="1"/>
  <c r="P35" i="1" s="1"/>
  <c r="H29" i="1"/>
  <c r="H35" i="1" s="1"/>
  <c r="R28" i="1"/>
  <c r="R33" i="1" s="1"/>
  <c r="J28" i="1"/>
  <c r="J33" i="1" s="1"/>
  <c r="V25" i="1"/>
  <c r="V31" i="1" s="1"/>
  <c r="N25" i="1"/>
  <c r="N31" i="1" s="1"/>
  <c r="F31" i="1"/>
  <c r="W29" i="1"/>
  <c r="W35" i="1" s="1"/>
  <c r="O29" i="1"/>
  <c r="O35" i="1" s="1"/>
  <c r="G29" i="1"/>
  <c r="G35" i="1" s="1"/>
  <c r="Q28" i="1"/>
  <c r="Q33" i="1" s="1"/>
  <c r="I28" i="1"/>
  <c r="I33" i="1" s="1"/>
  <c r="U25" i="1"/>
  <c r="U31" i="1" s="1"/>
  <c r="M25" i="1"/>
  <c r="M31" i="1" s="1"/>
  <c r="E31" i="1"/>
  <c r="V29" i="1"/>
  <c r="V35" i="1" s="1"/>
  <c r="N29" i="1"/>
  <c r="N35" i="1" s="1"/>
  <c r="F29" i="1"/>
  <c r="F35" i="1" s="1"/>
  <c r="P28" i="1"/>
  <c r="P33" i="1" s="1"/>
  <c r="H28" i="1"/>
  <c r="H33" i="1" s="1"/>
  <c r="T25" i="1"/>
  <c r="T31" i="1" s="1"/>
  <c r="L25" i="1"/>
  <c r="L31" i="1" s="1"/>
  <c r="U29" i="1"/>
  <c r="U35" i="1" s="1"/>
  <c r="M29" i="1"/>
  <c r="M35" i="1" s="1"/>
  <c r="W28" i="1"/>
  <c r="W33" i="1" s="1"/>
  <c r="O28" i="1"/>
  <c r="O33" i="1" s="1"/>
  <c r="G28" i="1"/>
  <c r="G33" i="1" s="1"/>
  <c r="S25" i="1"/>
  <c r="S31" i="1" s="1"/>
  <c r="K25" i="1"/>
  <c r="K31" i="1" s="1"/>
  <c r="S29" i="1"/>
  <c r="S35" i="1" s="1"/>
  <c r="L29" i="1"/>
  <c r="L35" i="1" s="1"/>
  <c r="T29" i="1"/>
  <c r="T35" i="1" s="1"/>
  <c r="H31" i="1"/>
  <c r="W32" i="1"/>
  <c r="V32" i="1"/>
  <c r="U32" i="1"/>
  <c r="L32" i="1"/>
  <c r="H32" i="1"/>
  <c r="G32" i="1"/>
  <c r="R31" i="1"/>
  <c r="Q32" i="1"/>
  <c r="F32" i="1"/>
  <c r="P32" i="1"/>
  <c r="E32" i="1"/>
  <c r="D31" i="1"/>
  <c r="O32" i="1"/>
  <c r="D32" i="1"/>
  <c r="N32" i="1"/>
  <c r="M32" i="1"/>
  <c r="T32" i="1"/>
  <c r="K32" i="1"/>
  <c r="S32" i="1"/>
  <c r="I32" i="1"/>
  <c r="R32" i="1"/>
  <c r="J32" i="1"/>
  <c r="T30" i="16" l="1"/>
  <c r="T32" i="16"/>
  <c r="U22" i="16"/>
  <c r="T29" i="16"/>
  <c r="T31" i="16"/>
  <c r="T33" i="16"/>
  <c r="B32" i="1"/>
  <c r="B33" i="1"/>
  <c r="I36" i="9"/>
  <c r="I35" i="9"/>
  <c r="I31" i="9"/>
  <c r="I32" i="9"/>
  <c r="J21" i="9"/>
  <c r="I30" i="9"/>
  <c r="I34" i="9"/>
  <c r="I33" i="9"/>
  <c r="B34" i="1"/>
  <c r="B35" i="1"/>
  <c r="U30" i="16" l="1"/>
  <c r="U32" i="16"/>
  <c r="V22" i="16"/>
  <c r="U29" i="16"/>
  <c r="U31" i="16"/>
  <c r="U33" i="16"/>
  <c r="B36" i="1"/>
  <c r="J36" i="9"/>
  <c r="J35" i="9"/>
  <c r="J32" i="9"/>
  <c r="K21" i="9"/>
  <c r="J31" i="9"/>
  <c r="J30" i="9"/>
  <c r="J34" i="9"/>
  <c r="J33" i="9"/>
  <c r="W22" i="16" l="1"/>
  <c r="V32" i="16"/>
  <c r="V30" i="16"/>
  <c r="V33" i="16"/>
  <c r="V29" i="16"/>
  <c r="V31" i="16"/>
  <c r="K36" i="9"/>
  <c r="K35" i="9"/>
  <c r="K32" i="9"/>
  <c r="L21" i="9"/>
  <c r="K31" i="9"/>
  <c r="K30" i="9"/>
  <c r="K34" i="9"/>
  <c r="K33" i="9"/>
  <c r="W32" i="16" l="1"/>
  <c r="W30" i="16"/>
  <c r="W31" i="16"/>
  <c r="W29" i="16"/>
  <c r="W33" i="16"/>
  <c r="L36" i="9"/>
  <c r="L35" i="9"/>
  <c r="L32" i="9"/>
  <c r="L31" i="9"/>
  <c r="M21" i="9"/>
  <c r="L33" i="9"/>
  <c r="L30" i="9"/>
  <c r="L34" i="9"/>
  <c r="B33" i="16" l="1"/>
  <c r="B31" i="16"/>
  <c r="B30" i="16"/>
  <c r="B32" i="16"/>
  <c r="M36" i="9"/>
  <c r="M35" i="9"/>
  <c r="M32" i="9"/>
  <c r="N21" i="9"/>
  <c r="M31" i="9"/>
  <c r="M30" i="9"/>
  <c r="M33" i="9"/>
  <c r="M34" i="9"/>
  <c r="B34" i="16" l="1"/>
  <c r="B77" i="16" s="1"/>
  <c r="N36" i="9"/>
  <c r="N35" i="9"/>
  <c r="O21" i="9"/>
  <c r="N30" i="9"/>
  <c r="N31" i="9"/>
  <c r="N32" i="9"/>
  <c r="N34" i="9"/>
  <c r="N33" i="9"/>
  <c r="C53" i="16" l="1"/>
  <c r="B68" i="16"/>
  <c r="D68" i="16" s="1"/>
  <c r="B78" i="16"/>
  <c r="O36" i="9"/>
  <c r="O35" i="9"/>
  <c r="O31" i="9"/>
  <c r="O32" i="9"/>
  <c r="P21" i="9"/>
  <c r="O30" i="9"/>
  <c r="O33" i="9"/>
  <c r="O34" i="9"/>
  <c r="P36" i="9" l="1"/>
  <c r="P35" i="9"/>
  <c r="P31" i="9"/>
  <c r="P32" i="9"/>
  <c r="Q21" i="9"/>
  <c r="P33" i="9"/>
  <c r="P30" i="9"/>
  <c r="P34" i="9"/>
  <c r="Q36" i="9" l="1"/>
  <c r="Q35" i="9"/>
  <c r="Q31" i="9"/>
  <c r="Q32" i="9"/>
  <c r="R21" i="9"/>
  <c r="Q30" i="9"/>
  <c r="Q34" i="9"/>
  <c r="Q33" i="9"/>
  <c r="R36" i="9" l="1"/>
  <c r="R35" i="9"/>
  <c r="R32" i="9"/>
  <c r="S21" i="9"/>
  <c r="R31" i="9"/>
  <c r="R30" i="9"/>
  <c r="R33" i="9"/>
  <c r="R34" i="9"/>
  <c r="S36" i="9" l="1"/>
  <c r="S35" i="9"/>
  <c r="S32" i="9"/>
  <c r="S31" i="9"/>
  <c r="T21" i="9"/>
  <c r="S30" i="9"/>
  <c r="S33" i="9"/>
  <c r="S34" i="9"/>
  <c r="T36" i="9" l="1"/>
  <c r="T35" i="9"/>
  <c r="T32" i="9"/>
  <c r="T31" i="9"/>
  <c r="U21" i="9"/>
  <c r="T34" i="9"/>
  <c r="T33" i="9"/>
  <c r="T30" i="9"/>
  <c r="U36" i="9" l="1"/>
  <c r="U35" i="9"/>
  <c r="U32" i="9"/>
  <c r="V21" i="9"/>
  <c r="U30" i="9"/>
  <c r="U31" i="9"/>
  <c r="U33" i="9"/>
  <c r="U34" i="9"/>
  <c r="V36" i="9" l="1"/>
  <c r="V35" i="9"/>
  <c r="W21" i="9"/>
  <c r="X21" i="9" s="1"/>
  <c r="V32" i="9"/>
  <c r="V31" i="9"/>
  <c r="V30" i="9"/>
  <c r="V33" i="9"/>
  <c r="V34" i="9"/>
  <c r="X32" i="9" l="1"/>
  <c r="Y21" i="9"/>
  <c r="X31" i="9"/>
  <c r="X34" i="9"/>
  <c r="X36" i="9"/>
  <c r="X35" i="9"/>
  <c r="X33" i="9"/>
  <c r="X30" i="9"/>
  <c r="W36" i="9"/>
  <c r="W35" i="9"/>
  <c r="W31" i="9"/>
  <c r="W32" i="9"/>
  <c r="W33" i="9"/>
  <c r="W34" i="9"/>
  <c r="W30" i="9"/>
  <c r="Y31" i="9" l="1"/>
  <c r="Y32" i="9"/>
  <c r="Y34" i="9"/>
  <c r="Y36" i="9"/>
  <c r="Y35" i="9"/>
  <c r="Y33" i="9"/>
  <c r="Y30" i="9"/>
  <c r="B32" i="9" s="1"/>
  <c r="B36" i="9"/>
  <c r="B33" i="9" l="1"/>
  <c r="B35" i="9"/>
  <c r="B34" i="9"/>
  <c r="B31" i="9"/>
  <c r="I40" i="23"/>
  <c r="I38" i="23" s="1"/>
  <c r="S40" i="23"/>
  <c r="S39" i="23" s="1"/>
  <c r="I39" i="23" l="1"/>
  <c r="R38" i="23"/>
  <c r="S38" i="23"/>
  <c r="R39" i="23"/>
  <c r="K10" i="28" l="1"/>
  <c r="M41" i="35" l="1"/>
  <c r="L41" i="35"/>
  <c r="K41" i="35"/>
  <c r="AQ23" i="38" a="1"/>
  <c r="AQ23" i="38" s="1"/>
  <c r="AD63" i="33" a="1"/>
  <c r="AD63" i="33" s="1"/>
  <c r="K30" i="37" a="1"/>
  <c r="K30" i="37" s="1"/>
  <c r="Y63" i="33" a="1"/>
  <c r="Y63" i="33" s="1"/>
  <c r="J23" i="38" a="1"/>
  <c r="J23" i="38" s="1"/>
  <c r="AD41" i="35" a="1"/>
  <c r="AD41" i="35" s="1"/>
  <c r="AE41" i="35" a="1"/>
  <c r="AE41" i="35" s="1"/>
  <c r="AM23" i="38" a="1"/>
  <c r="AM23" i="38" s="1"/>
  <c r="AP63" i="33" a="1"/>
  <c r="AP63" i="33" s="1"/>
  <c r="L63" i="33" a="1"/>
  <c r="L63" i="33" s="1"/>
  <c r="AC63" i="33" a="1"/>
  <c r="AC63" i="33" s="1"/>
  <c r="K63" i="33" a="1"/>
  <c r="K63" i="33" s="1"/>
  <c r="AK23" i="38" a="1"/>
  <c r="AK23" i="38" s="1"/>
  <c r="T23" i="38" a="1"/>
  <c r="T23" i="38" s="1"/>
  <c r="S63" i="33" a="1"/>
  <c r="S63" i="33" s="1"/>
  <c r="Z30" i="37" a="1"/>
  <c r="Z30" i="37" s="1"/>
  <c r="X41" i="35" a="1"/>
  <c r="X41" i="35" s="1"/>
  <c r="AO23" i="38" a="1"/>
  <c r="AO23" i="38" s="1"/>
  <c r="W23" i="38" a="1"/>
  <c r="W23" i="38" s="1"/>
  <c r="U63" i="33" a="1"/>
  <c r="U63" i="33" s="1"/>
  <c r="AN41" i="35" a="1"/>
  <c r="AN41" i="35" s="1"/>
  <c r="O23" i="38" a="1"/>
  <c r="O23" i="38" s="1"/>
  <c r="AI63" i="33" a="1"/>
  <c r="AI63" i="33" s="1"/>
  <c r="AC41" i="35" a="1"/>
  <c r="AC41" i="35" s="1"/>
  <c r="AQ30" i="37" a="1"/>
  <c r="AQ30" i="37" s="1"/>
  <c r="AQ41" i="35" a="1"/>
  <c r="AQ41" i="35" s="1"/>
  <c r="T41" i="35" a="1"/>
  <c r="T41" i="35" s="1"/>
  <c r="AI23" i="38" a="1"/>
  <c r="AI23" i="38" s="1"/>
  <c r="AL63" i="33" a="1"/>
  <c r="AL63" i="33" s="1"/>
  <c r="X63" i="33" a="1"/>
  <c r="X63" i="33" s="1"/>
  <c r="AO63" i="33" a="1"/>
  <c r="AO63" i="33" s="1"/>
  <c r="P30" i="37" a="1"/>
  <c r="P30" i="37" s="1"/>
  <c r="AL41" i="35" a="1"/>
  <c r="AL41" i="35" s="1"/>
  <c r="AN23" i="38" a="1"/>
  <c r="AN23" i="38" s="1"/>
  <c r="AE23" i="38" a="1"/>
  <c r="AE23" i="38" s="1"/>
  <c r="Q41" i="35" a="1"/>
  <c r="Q41" i="35" s="1"/>
  <c r="AB63" i="33" a="1"/>
  <c r="AB63" i="33" s="1"/>
  <c r="U23" i="38" a="1"/>
  <c r="U23" i="38" s="1"/>
  <c r="AA23" i="38" a="1"/>
  <c r="AA23" i="38" s="1"/>
  <c r="AN63" i="33" a="1"/>
  <c r="AN63" i="33" s="1"/>
  <c r="O63" i="33" a="1"/>
  <c r="O63" i="33" s="1"/>
  <c r="X23" i="38" a="1"/>
  <c r="X23" i="38" s="1"/>
  <c r="Y41" i="35" a="1"/>
  <c r="Y41" i="35" s="1"/>
  <c r="AB41" i="35" a="1"/>
  <c r="AB41" i="35" s="1"/>
  <c r="S23" i="38" a="1"/>
  <c r="S23" i="38" s="1"/>
  <c r="W63" i="33" a="1"/>
  <c r="W63" i="33" s="1"/>
  <c r="AG41" i="35" a="1"/>
  <c r="AG41" i="35" s="1"/>
  <c r="T63" i="33" a="1"/>
  <c r="T63" i="33" s="1"/>
  <c r="AM41" i="35" a="1"/>
  <c r="AM41" i="35" s="1"/>
  <c r="Q63" i="33" a="1"/>
  <c r="Q63" i="33" s="1"/>
  <c r="AD23" i="38" a="1"/>
  <c r="AD23" i="38" s="1"/>
  <c r="U30" i="37" a="1"/>
  <c r="U30" i="37" s="1"/>
  <c r="AK41" i="35" a="1"/>
  <c r="AK41" i="35" s="1"/>
  <c r="AF23" i="38" a="1"/>
  <c r="AF23" i="38" s="1"/>
  <c r="AH23" i="38" a="1"/>
  <c r="AH23" i="38" s="1"/>
  <c r="AM63" i="33" a="1"/>
  <c r="AM63" i="33" s="1"/>
  <c r="P63" i="33" a="1"/>
  <c r="P63" i="33" s="1"/>
  <c r="AG63" i="33" a="1"/>
  <c r="AG63" i="33" s="1"/>
  <c r="R63" i="33" a="1"/>
  <c r="R63" i="33" s="1"/>
  <c r="AP41" i="35" a="1"/>
  <c r="AP41" i="35" s="1"/>
  <c r="AB23" i="38" a="1"/>
  <c r="AB23" i="38" s="1"/>
  <c r="V23" i="38" a="1"/>
  <c r="V23" i="38" s="1"/>
  <c r="R41" i="35" a="1"/>
  <c r="R41" i="35" s="1"/>
  <c r="S41" i="35" a="1"/>
  <c r="S41" i="35" s="1"/>
  <c r="AJ41" i="35" a="1"/>
  <c r="AJ41" i="35" s="1"/>
  <c r="Q23" i="38" a="1"/>
  <c r="Q23" i="38" s="1"/>
  <c r="R23" i="38" a="1"/>
  <c r="R23" i="38" s="1"/>
  <c r="O41" i="35" a="1"/>
  <c r="O41" i="35" s="1"/>
  <c r="AH63" i="33" a="1"/>
  <c r="AH63" i="33" s="1"/>
  <c r="M63" i="33" a="1"/>
  <c r="M63" i="33" s="1"/>
  <c r="AH41" i="35" a="1"/>
  <c r="AH41" i="35" s="1"/>
  <c r="AA63" i="33" a="1"/>
  <c r="AA63" i="33" s="1"/>
  <c r="U41" i="35" a="1"/>
  <c r="U41" i="35" s="1"/>
  <c r="Y23" i="38" a="1"/>
  <c r="Y23" i="38" s="1"/>
  <c r="AA41" i="35" a="1"/>
  <c r="AA41" i="35" s="1"/>
  <c r="AK63" i="33" a="1"/>
  <c r="AK63" i="33" s="1"/>
  <c r="AP23" i="38" a="1"/>
  <c r="AP23" i="38" s="1"/>
  <c r="AO30" i="37" a="1"/>
  <c r="AO30" i="37" s="1"/>
  <c r="AQ63" i="33" a="1"/>
  <c r="AQ63" i="33" s="1"/>
  <c r="N63" i="33" a="1"/>
  <c r="N63" i="33" s="1"/>
  <c r="AG23" i="38" a="1"/>
  <c r="AG23" i="38" s="1"/>
  <c r="P23" i="38" a="1"/>
  <c r="P23" i="38" s="1"/>
  <c r="Z23" i="38" a="1"/>
  <c r="Z23" i="38" s="1"/>
  <c r="N41" i="35" a="1"/>
  <c r="N41" i="35" s="1"/>
  <c r="AF63" i="33" a="1"/>
  <c r="AF63" i="33" s="1"/>
  <c r="P41" i="35" a="1"/>
  <c r="P41" i="35" s="1"/>
  <c r="Z63" i="33" a="1"/>
  <c r="Z63" i="33" s="1"/>
  <c r="AC23" i="38" a="1"/>
  <c r="AC23" i="38" s="1"/>
  <c r="L23" i="38" a="1"/>
  <c r="L23" i="38" s="1"/>
  <c r="N23" i="38" a="1"/>
  <c r="N23" i="38" s="1"/>
  <c r="Z41" i="35" a="1"/>
  <c r="Z41" i="35" s="1"/>
  <c r="AI41" i="35" a="1"/>
  <c r="AI41" i="35" s="1"/>
  <c r="V63" i="33" a="1"/>
  <c r="V63" i="33" s="1"/>
  <c r="J30" i="37" a="1"/>
  <c r="J30" i="37" s="1"/>
  <c r="V41" i="35" a="1"/>
  <c r="V41" i="35" s="1"/>
  <c r="AF41" i="35" a="1"/>
  <c r="AF41" i="35" s="1"/>
  <c r="M23" i="38" a="1"/>
  <c r="M23" i="38" s="1"/>
  <c r="AJ30" i="37" a="1"/>
  <c r="AJ30" i="37" s="1"/>
  <c r="AJ23" i="38" a="1"/>
  <c r="AJ23" i="38" s="1"/>
  <c r="AE30" i="37" a="1"/>
  <c r="AE30" i="37" s="1"/>
  <c r="W41" i="35" a="1"/>
  <c r="W41" i="35" s="1"/>
  <c r="AP30" i="37" a="1"/>
  <c r="AP30" i="37" s="1"/>
  <c r="AL23" i="38" a="1"/>
  <c r="AL23" i="38" s="1"/>
  <c r="K23" i="38" a="1"/>
  <c r="K23" i="38" s="1"/>
  <c r="AE63" i="33" a="1"/>
  <c r="AE63" i="33" s="1"/>
  <c r="AO41" i="35" a="1"/>
  <c r="AO41" i="35" s="1"/>
  <c r="AJ63" i="33" a="1"/>
  <c r="AJ63" i="33" s="1"/>
  <c r="J41" i="35" a="1"/>
  <c r="J41" i="35" s="1"/>
  <c r="J63" i="33" a="1"/>
  <c r="J63" i="33" s="1"/>
  <c r="D25" i="25"/>
  <c r="D29" i="25" s="1"/>
  <c r="G48" i="25"/>
  <c r="G49" i="25" s="1"/>
  <c r="G43" i="25" l="1"/>
  <c r="G44" i="25" s="1"/>
  <c r="G55" i="25"/>
  <c r="G56" i="25" s="1"/>
  <c r="G57" i="25" l="1"/>
  <c r="G58" i="25" s="1"/>
  <c r="G50" i="25"/>
  <c r="G51" i="25" s="1"/>
  <c r="AJ14" i="45" l="1"/>
  <c r="F12" i="45"/>
  <c r="AJ12" i="45" s="1"/>
  <c r="AJ13" i="45" s="1"/>
  <c r="F18" i="45"/>
  <c r="AJ18" i="45" s="1"/>
  <c r="F17" i="45"/>
  <c r="AJ17" i="45" s="1"/>
  <c r="F16" i="45"/>
  <c r="AJ16" i="45" s="1"/>
  <c r="F42" i="45" l="1"/>
  <c r="F40" i="45"/>
  <c r="AJ40" i="45" s="1"/>
  <c r="F39" i="45"/>
  <c r="AJ39" i="45" s="1"/>
  <c r="F38" i="45"/>
  <c r="AJ38" i="45" s="1"/>
  <c r="F37" i="45"/>
  <c r="F36" i="45"/>
  <c r="AJ36" i="45" s="1"/>
  <c r="F43" i="45"/>
  <c r="F33" i="45"/>
  <c r="AJ33" i="45" s="1"/>
  <c r="F32" i="45"/>
  <c r="AJ32" i="45" s="1"/>
  <c r="F30" i="45"/>
  <c r="AJ30" i="45" s="1"/>
  <c r="F31" i="45"/>
  <c r="AJ31" i="45" s="1"/>
  <c r="F34" i="45"/>
  <c r="AJ34" i="45" s="1"/>
  <c r="F29" i="45"/>
  <c r="AJ29" i="45" s="1"/>
  <c r="F28" i="45"/>
  <c r="AJ28" i="45" s="1"/>
  <c r="F35" i="45"/>
  <c r="AJ35" i="45" s="1"/>
  <c r="F25" i="45"/>
  <c r="AJ25" i="45" s="1"/>
  <c r="F24" i="45"/>
  <c r="AJ24" i="45" s="1"/>
  <c r="F26" i="45"/>
  <c r="AJ26" i="45" s="1"/>
  <c r="F23" i="45"/>
  <c r="AJ23" i="45" s="1"/>
  <c r="F22" i="45"/>
  <c r="AJ22" i="45" s="1"/>
  <c r="F27" i="45"/>
  <c r="AJ27" i="45" s="1"/>
  <c r="F21" i="45"/>
  <c r="AJ21" i="45" s="1"/>
</calcChain>
</file>

<file path=xl/comments1.xml><?xml version="1.0" encoding="utf-8"?>
<comments xmlns="http://schemas.openxmlformats.org/spreadsheetml/2006/main">
  <authors>
    <author>Fadiel Ahjum</author>
  </authors>
  <commentList>
    <comment ref="A9" authorId="0" shapeId="0">
      <text>
        <r>
          <rPr>
            <sz val="9"/>
            <color indexed="81"/>
            <rFont val="Tahoma"/>
            <family val="2"/>
          </rPr>
          <t>This should probably be two regions</t>
        </r>
      </text>
    </comment>
  </commentList>
</comments>
</file>

<file path=xl/comments10.xml><?xml version="1.0" encoding="utf-8"?>
<comments xmlns="http://schemas.openxmlformats.org/spreadsheetml/2006/main">
  <authors>
    <author>Fadiel Ahjum</author>
  </authors>
  <commentList>
    <comment ref="G3" authorId="0" shapeId="0">
      <text>
        <r>
          <rPr>
            <b/>
            <sz val="9"/>
            <color indexed="81"/>
            <rFont val="Tahoma"/>
            <family val="2"/>
          </rPr>
          <t>Industrial Tariff estimate (2014)</t>
        </r>
      </text>
    </comment>
    <comment ref="I3" authorId="0" shapeId="0">
      <text>
        <r>
          <rPr>
            <b/>
            <sz val="9"/>
            <color indexed="81"/>
            <rFont val="Tahoma"/>
            <family val="2"/>
          </rPr>
          <t>Alternative estimate from Adrian</t>
        </r>
      </text>
    </comment>
    <comment ref="L3" authorId="0" shapeId="0">
      <text>
        <r>
          <rPr>
            <sz val="9"/>
            <color indexed="81"/>
            <rFont val="Tahoma"/>
            <family val="2"/>
          </rPr>
          <t>the_energy_and_fuel_data_sheet</t>
        </r>
      </text>
    </comment>
    <comment ref="V11" authorId="0" shapeId="0">
      <text>
        <r>
          <rPr>
            <sz val="9"/>
            <color indexed="81"/>
            <rFont val="Tahoma"/>
            <family val="2"/>
          </rPr>
          <t xml:space="preserve">Included as FOM cost
</t>
        </r>
      </text>
    </comment>
    <comment ref="X11" authorId="0" shapeId="0">
      <text>
        <r>
          <rPr>
            <sz val="9"/>
            <color indexed="81"/>
            <rFont val="Tahoma"/>
            <family val="2"/>
          </rPr>
          <t>From DWA  future marginal cost study (2010)
Not used in Model but be used to indicate total water resource requirement  inclusive of losses.</t>
        </r>
      </text>
    </comment>
    <comment ref="Z11" authorId="0" shapeId="0">
      <text>
        <r>
          <rPr>
            <sz val="9"/>
            <color indexed="81"/>
            <rFont val="Tahoma"/>
            <family val="2"/>
          </rPr>
          <t>From DWA  future marginal cost study (2010)</t>
        </r>
      </text>
    </comment>
    <comment ref="AD11" authorId="0" shapeId="0">
      <text>
        <r>
          <rPr>
            <sz val="9"/>
            <color indexed="81"/>
            <rFont val="Tahoma"/>
            <family val="2"/>
          </rPr>
          <t xml:space="preserve">Includes ACT_COST component
</t>
        </r>
      </text>
    </comment>
    <comment ref="D12" authorId="0" shapeId="0">
      <text>
        <r>
          <rPr>
            <sz val="9"/>
            <color indexed="81"/>
            <rFont val="Tahoma"/>
            <family val="2"/>
          </rPr>
          <t>DWA Future Marginal Water Cost (2010) Apdx E
Existing Exxaro pipeline + 10.4 Mm3/a for irrigation</t>
        </r>
      </text>
    </comment>
    <comment ref="X12" authorId="0" shapeId="0">
      <text>
        <r>
          <rPr>
            <b/>
            <sz val="9"/>
            <color indexed="81"/>
            <rFont val="Tahoma"/>
            <family val="2"/>
          </rPr>
          <t>Fadiel Ahjum:</t>
        </r>
        <r>
          <rPr>
            <sz val="9"/>
            <color indexed="81"/>
            <rFont val="Tahoma"/>
            <family val="2"/>
          </rPr>
          <t xml:space="preserve">
nominal
</t>
        </r>
      </text>
    </comment>
    <comment ref="D13" authorId="0" shapeId="0">
      <text>
        <r>
          <rPr>
            <sz val="9"/>
            <color indexed="81"/>
            <rFont val="Tahoma"/>
            <family val="2"/>
          </rPr>
          <t>Pipeline capacity Ccap capacity.
Addionalt yield only increased by 14 Mm3. Other 14.7 Mm3 comes from Exxaro pipline made redundant.</t>
        </r>
      </text>
    </comment>
    <comment ref="X13" authorId="0" shapeId="0">
      <text>
        <r>
          <rPr>
            <sz val="9"/>
            <color indexed="81"/>
            <rFont val="Tahoma"/>
            <family val="2"/>
          </rPr>
          <t>DWA Future Marginal Water Cost (2010)
Appendix E - Water availibility.</t>
        </r>
      </text>
    </comment>
    <comment ref="D14" authorId="0" shapeId="0">
      <text>
        <r>
          <rPr>
            <sz val="9"/>
            <color indexed="81"/>
            <rFont val="Tahoma"/>
            <family val="2"/>
          </rPr>
          <t>Supply comprises 40Mm3/a from Crocodile river with remaining volumes being return flows from JHB municiplality (WMIN-A3).
Pipeline capacity</t>
        </r>
      </text>
    </comment>
    <comment ref="O14" authorId="0" shapeId="0">
      <text>
        <r>
          <rPr>
            <b/>
            <sz val="9"/>
            <color indexed="81"/>
            <rFont val="Tahoma"/>
            <family val="2"/>
          </rPr>
          <t>Fadiel Ahjum:</t>
        </r>
        <r>
          <rPr>
            <sz val="9"/>
            <color indexed="81"/>
            <rFont val="Tahoma"/>
            <family val="2"/>
          </rPr>
          <t xml:space="preserve">
pipeline capacity limit</t>
        </r>
      </text>
    </comment>
    <comment ref="D19" authorId="0" shapeId="0">
      <text>
        <r>
          <rPr>
            <sz val="9"/>
            <color indexed="81"/>
            <rFont val="Tahoma"/>
            <family val="2"/>
          </rPr>
          <t>Upper Olifants.
Alternate value taken from Development of a Reconciliation Strategy for the Olifants River Water Supply System
(DWA,2011) Table 4.12</t>
        </r>
      </text>
    </comment>
    <comment ref="X19" authorId="0" shapeId="0">
      <text>
        <r>
          <rPr>
            <b/>
            <sz val="9"/>
            <color indexed="81"/>
            <rFont val="Tahoma"/>
            <family val="2"/>
          </rPr>
          <t>Fadiel Ahjum:</t>
        </r>
        <r>
          <rPr>
            <sz val="9"/>
            <color indexed="81"/>
            <rFont val="Tahoma"/>
            <family val="2"/>
          </rPr>
          <t xml:space="preserve">
nominal
</t>
        </r>
      </text>
    </comment>
    <comment ref="D20" authorId="0" shapeId="0">
      <text>
        <r>
          <rPr>
            <sz val="9"/>
            <color indexed="81"/>
            <rFont val="Tahoma"/>
            <family val="2"/>
          </rPr>
          <t xml:space="preserve">Dynamic tranfer from  C0.
</t>
        </r>
      </text>
    </comment>
    <comment ref="X21" authorId="0" shapeId="0">
      <text>
        <r>
          <rPr>
            <sz val="9"/>
            <color indexed="81"/>
            <rFont val="Tahoma"/>
            <family val="2"/>
          </rPr>
          <t>DWA Future Marginal Water Cost (2010)
Appendix D - Water availibility.</t>
        </r>
      </text>
    </comment>
    <comment ref="R23" authorId="0" shapeId="0">
      <text>
        <r>
          <rPr>
            <b/>
            <sz val="9"/>
            <color indexed="81"/>
            <rFont val="Tahoma"/>
            <family val="2"/>
          </rPr>
          <t>Fadiel Ahjum:</t>
        </r>
        <r>
          <rPr>
            <sz val="9"/>
            <color indexed="81"/>
            <rFont val="Tahoma"/>
            <family val="2"/>
          </rPr>
          <t xml:space="preserve">
weighted transfer price
</t>
        </r>
      </text>
    </comment>
    <comment ref="D26" authorId="0" shapeId="0">
      <text>
        <r>
          <rPr>
            <sz val="9"/>
            <color indexed="81"/>
            <rFont val="Tahoma"/>
            <family val="2"/>
          </rPr>
          <t>DWA Future Marginal Water Cost (2010)  rfeer to Appendix C1
+ 200 Mm3/a : peak  ZZ allocation (195 Mm3/a) in  year 2015. From 2006 until 2015.</t>
        </r>
      </text>
    </comment>
    <comment ref="X26" authorId="0" shapeId="0">
      <text>
        <r>
          <rPr>
            <b/>
            <sz val="9"/>
            <color indexed="81"/>
            <rFont val="Tahoma"/>
            <family val="2"/>
          </rPr>
          <t>Fadiel Ahjum:</t>
        </r>
        <r>
          <rPr>
            <sz val="9"/>
            <color indexed="81"/>
            <rFont val="Tahoma"/>
            <family val="2"/>
          </rPr>
          <t xml:space="preserve">
nominal
</t>
        </r>
      </text>
    </comment>
    <comment ref="AE27" authorId="0" shapeId="0">
      <text>
        <r>
          <rPr>
            <sz val="9"/>
            <color indexed="81"/>
            <rFont val="Tahoma"/>
            <family val="2"/>
          </rPr>
          <t>Arbitrary value ( ~0.03kWh/m3)
Needed to prevent switching between C0</t>
        </r>
      </text>
    </comment>
    <comment ref="D30" authorId="0" shapeId="0">
      <text>
        <r>
          <rPr>
            <sz val="9"/>
            <color indexed="81"/>
            <rFont val="Tahoma"/>
            <family val="2"/>
          </rPr>
          <t>Available yield for transfer to Vaal = 517-227 (Orange River requirment). DWA Future Marginal Cost Study (2010).</t>
        </r>
      </text>
    </comment>
    <comment ref="X30" authorId="0" shapeId="0">
      <text>
        <r>
          <rPr>
            <sz val="9"/>
            <color indexed="81"/>
            <rFont val="Tahoma"/>
            <family val="2"/>
          </rPr>
          <t xml:space="preserve">20%  losses with canal 
10% losses with pipeline </t>
        </r>
      </text>
    </comment>
    <comment ref="Z30" authorId="0" shapeId="0">
      <text>
        <r>
          <rPr>
            <sz val="9"/>
            <color indexed="81"/>
            <rFont val="Tahoma"/>
            <family val="2"/>
          </rPr>
          <t>5 yrs for dam.
3yr for dam to deliver full yield.</t>
        </r>
      </text>
    </comment>
    <comment ref="D31" authorId="0" shapeId="0">
      <text/>
    </comment>
    <comment ref="Z31" authorId="0" shapeId="0">
      <text>
        <r>
          <rPr>
            <sz val="9"/>
            <color indexed="81"/>
            <rFont val="Tahoma"/>
            <family val="2"/>
          </rPr>
          <t>for full yield</t>
        </r>
      </text>
    </comment>
    <comment ref="D34" authorId="0" shapeId="0">
      <text>
        <r>
          <rPr>
            <sz val="9"/>
            <color indexed="81"/>
            <rFont val="Tahoma"/>
            <family val="2"/>
          </rPr>
          <t xml:space="preserve">DWA Future Marginal Water Cost (2010)
Appendix D - Water availibility + 287 EWR 
</t>
        </r>
        <r>
          <rPr>
            <b/>
            <sz val="9"/>
            <color indexed="81"/>
            <rFont val="Tahoma"/>
            <family val="2"/>
          </rPr>
          <t>Constraint</t>
        </r>
        <r>
          <rPr>
            <sz val="9"/>
            <color indexed="81"/>
            <rFont val="Tahoma"/>
            <family val="2"/>
          </rPr>
          <t xml:space="preserve">: EWR increased  by 200 Mm3/a (Appendix D pg 2) when D1 at full capacity:
ActD0  &lt;= CapD0 - ActD1 *(EWR-D0/CapD1)
</t>
        </r>
      </text>
    </comment>
    <comment ref="X34" authorId="0" shapeId="0">
      <text>
        <r>
          <rPr>
            <b/>
            <sz val="9"/>
            <color indexed="81"/>
            <rFont val="Tahoma"/>
            <family val="2"/>
          </rPr>
          <t>Fadiel Ahjum:</t>
        </r>
        <r>
          <rPr>
            <sz val="9"/>
            <color indexed="81"/>
            <rFont val="Tahoma"/>
            <family val="2"/>
          </rPr>
          <t xml:space="preserve">
nominal
</t>
        </r>
      </text>
    </comment>
    <comment ref="D35" authorId="0" shapeId="0">
      <text>
        <r>
          <rPr>
            <b/>
            <sz val="9"/>
            <color indexed="81"/>
            <rFont val="Tahoma"/>
            <family val="2"/>
          </rPr>
          <t>Fadiel Ahjum:</t>
        </r>
        <r>
          <rPr>
            <sz val="9"/>
            <color indexed="81"/>
            <rFont val="Tahoma"/>
            <family val="2"/>
          </rPr>
          <t xml:space="preserve">
shared resource with Upper Vaal</t>
        </r>
      </text>
    </comment>
    <comment ref="Q35" authorId="0" shapeId="0">
      <text>
        <r>
          <rPr>
            <sz val="9"/>
            <color indexed="81"/>
            <rFont val="Tahoma"/>
            <family val="2"/>
          </rPr>
          <t>Delivery cost included in plant investment cost.</t>
        </r>
      </text>
    </comment>
    <comment ref="Z35" authorId="0" shapeId="0">
      <text>
        <r>
          <rPr>
            <sz val="9"/>
            <color indexed="81"/>
            <rFont val="Tahoma"/>
            <family val="2"/>
          </rPr>
          <t>Construction period 5 yrs + 3 yrs  to deliver full yield. DWA (2010)</t>
        </r>
      </text>
    </comment>
    <comment ref="B52" authorId="0" shapeId="0">
      <text>
        <r>
          <rPr>
            <sz val="9"/>
            <color indexed="81"/>
            <rFont val="Tahoma"/>
            <family val="2"/>
          </rPr>
          <t>Gravity pipeline from  Lephalale for Phase 1 only</t>
        </r>
      </text>
    </comment>
    <comment ref="B57" authorId="0" shapeId="0">
      <text>
        <r>
          <rPr>
            <sz val="9"/>
            <color indexed="81"/>
            <rFont val="Tahoma"/>
            <family val="2"/>
          </rPr>
          <t>?Not needed as delivery cost assumed incorporated in plant CAPex. Refer to Savaanah EIA  for CSP plant.</t>
        </r>
      </text>
    </comment>
    <comment ref="X57" authorId="0" shapeId="0">
      <text>
        <r>
          <rPr>
            <sz val="9"/>
            <color indexed="81"/>
            <rFont val="Tahoma"/>
            <family val="2"/>
          </rPr>
          <t>losses accounted in supply</t>
        </r>
      </text>
    </comment>
    <comment ref="Z59" authorId="0" shapeId="0">
      <text>
        <r>
          <rPr>
            <sz val="9"/>
            <color indexed="81"/>
            <rFont val="Tahoma"/>
            <family val="2"/>
          </rPr>
          <t>Guess</t>
        </r>
      </text>
    </comment>
  </commentList>
</comments>
</file>

<file path=xl/comments11.xml><?xml version="1.0" encoding="utf-8"?>
<comments xmlns="http://schemas.openxmlformats.org/spreadsheetml/2006/main">
  <authors>
    <author>Fadiel Ahjum</author>
  </authors>
  <commentList>
    <comment ref="I3" authorId="0" shapeId="0">
      <text>
        <r>
          <rPr>
            <b/>
            <sz val="9"/>
            <color indexed="81"/>
            <rFont val="Tahoma"/>
            <family val="2"/>
          </rPr>
          <t>Industrial Tariff estimate (2014)</t>
        </r>
      </text>
    </comment>
    <comment ref="K3" authorId="0" shapeId="0">
      <text>
        <r>
          <rPr>
            <b/>
            <sz val="9"/>
            <color indexed="81"/>
            <rFont val="Tahoma"/>
            <family val="2"/>
          </rPr>
          <t>Alternative estimate from Adrian</t>
        </r>
      </text>
    </comment>
    <comment ref="N3" authorId="0" shapeId="0">
      <text>
        <r>
          <rPr>
            <sz val="9"/>
            <color indexed="81"/>
            <rFont val="Tahoma"/>
            <family val="2"/>
          </rPr>
          <t>the_energy_and_fuel_data_sheet</t>
        </r>
      </text>
    </comment>
    <comment ref="X9" authorId="0" shapeId="0">
      <text>
        <r>
          <rPr>
            <sz val="9"/>
            <color indexed="81"/>
            <rFont val="Tahoma"/>
            <family val="2"/>
          </rPr>
          <t>criteria search row</t>
        </r>
      </text>
    </comment>
    <comment ref="X11" authorId="0" shapeId="0">
      <text>
        <r>
          <rPr>
            <sz val="9"/>
            <color indexed="81"/>
            <rFont val="Tahoma"/>
            <family val="2"/>
          </rPr>
          <t xml:space="preserve">Included as FOM cost
</t>
        </r>
      </text>
    </comment>
    <comment ref="Z11" authorId="0" shapeId="0">
      <text>
        <r>
          <rPr>
            <sz val="9"/>
            <color indexed="81"/>
            <rFont val="Tahoma"/>
            <family val="2"/>
          </rPr>
          <t>From DWA  future marginal cost study (2010)
Not used in Model but be used to indicate total water resource requirement  inclusive of losses.</t>
        </r>
      </text>
    </comment>
    <comment ref="AB11" authorId="0" shapeId="0">
      <text>
        <r>
          <rPr>
            <sz val="9"/>
            <color indexed="81"/>
            <rFont val="Tahoma"/>
            <family val="2"/>
          </rPr>
          <t>From DWA  future marginal cost study (2010)</t>
        </r>
      </text>
    </comment>
    <comment ref="AG11" authorId="0" shapeId="0">
      <text>
        <r>
          <rPr>
            <sz val="9"/>
            <color indexed="81"/>
            <rFont val="Tahoma"/>
            <family val="2"/>
          </rPr>
          <t xml:space="preserve">Includes ACT_COST component
</t>
        </r>
      </text>
    </comment>
    <comment ref="E12" authorId="0" shapeId="0">
      <text>
        <r>
          <rPr>
            <sz val="9"/>
            <color indexed="81"/>
            <rFont val="Tahoma"/>
            <family val="2"/>
          </rPr>
          <t>DWA Future Marginal Water Cost (2010) Apdx E
Existing Exxaro pipeline + 10.4 Mm3/a for irrigation</t>
        </r>
      </text>
    </comment>
    <comment ref="Z12" authorId="0" shapeId="0">
      <text>
        <r>
          <rPr>
            <b/>
            <sz val="9"/>
            <color indexed="81"/>
            <rFont val="Tahoma"/>
            <family val="2"/>
          </rPr>
          <t>Fadiel Ahjum:</t>
        </r>
        <r>
          <rPr>
            <sz val="9"/>
            <color indexed="81"/>
            <rFont val="Tahoma"/>
            <family val="2"/>
          </rPr>
          <t xml:space="preserve">
nominal
</t>
        </r>
      </text>
    </comment>
    <comment ref="E14" authorId="0" shapeId="0">
      <text>
        <r>
          <rPr>
            <sz val="9"/>
            <color indexed="81"/>
            <rFont val="Tahoma"/>
            <family val="2"/>
          </rPr>
          <t>Pipeline capacity Ccap capacity.
Addionalt yield only increased by 14 Mm3. Other 14.7 Mm3 comes from Exxaro pipline made redundant.</t>
        </r>
      </text>
    </comment>
    <comment ref="Z14" authorId="0" shapeId="0">
      <text>
        <r>
          <rPr>
            <sz val="9"/>
            <color indexed="81"/>
            <rFont val="Tahoma"/>
            <family val="2"/>
          </rPr>
          <t>DWA Future Marginal Water Cost (2010)
Appendix E - Water availibility.</t>
        </r>
      </text>
    </comment>
    <comment ref="AH14" authorId="0" shapeId="0">
      <text>
        <r>
          <rPr>
            <sz val="9"/>
            <color indexed="81"/>
            <rFont val="Tahoma"/>
            <family val="2"/>
          </rPr>
          <t xml:space="preserve">+ or - adjustment factor to 'assist' scheme ordering
</t>
        </r>
      </text>
    </comment>
    <comment ref="E15" authorId="0" shapeId="0">
      <text>
        <r>
          <rPr>
            <sz val="9"/>
            <color indexed="81"/>
            <rFont val="Tahoma"/>
            <family val="2"/>
          </rPr>
          <t xml:space="preserve">Supply comprises 40Mm3/a from Crocodile river with remaining volumes being return flows from JHB municiplality (WMIN-A3).
Pipeline capacity:
</t>
        </r>
        <r>
          <rPr>
            <i/>
            <sz val="9"/>
            <color indexed="81"/>
            <rFont val="Tahoma"/>
            <family val="2"/>
          </rPr>
          <t>Summary of what was presented at SSC7.</t>
        </r>
        <r>
          <rPr>
            <sz val="9"/>
            <color indexed="81"/>
            <rFont val="Tahoma"/>
            <family val="2"/>
          </rPr>
          <t>(2015) ppt from Ian Midgely</t>
        </r>
        <r>
          <rPr>
            <i/>
            <sz val="9"/>
            <color indexed="81"/>
            <rFont val="Tahoma"/>
            <family val="2"/>
          </rPr>
          <t xml:space="preserve">
</t>
        </r>
        <r>
          <rPr>
            <sz val="9"/>
            <color indexed="81"/>
            <rFont val="Tahoma"/>
            <family val="2"/>
          </rPr>
          <t xml:space="preserve">Selected  100Mm3/a  transfer capacity as ithe cheaper option per unit water.
</t>
        </r>
      </text>
    </comment>
    <comment ref="Q15" authorId="0" shapeId="0">
      <text>
        <r>
          <rPr>
            <b/>
            <sz val="9"/>
            <color indexed="81"/>
            <rFont val="Tahoma"/>
            <family val="2"/>
          </rPr>
          <t>Fadiel Ahjum:</t>
        </r>
        <r>
          <rPr>
            <sz val="9"/>
            <color indexed="81"/>
            <rFont val="Tahoma"/>
            <family val="2"/>
          </rPr>
          <t xml:space="preserve">
pipeline capacity limit</t>
        </r>
      </text>
    </comment>
    <comment ref="AB15" authorId="0" shapeId="0">
      <text>
        <r>
          <rPr>
            <sz val="9"/>
            <color indexed="81"/>
            <rFont val="Tahoma"/>
            <family val="2"/>
          </rPr>
          <t>= 3  + 3 
first 3 yrs allows for phase 1  completion</t>
        </r>
      </text>
    </comment>
    <comment ref="B16" authorId="0" shapeId="0">
      <text>
        <r>
          <rPr>
            <sz val="9"/>
            <color indexed="81"/>
            <rFont val="Tahoma"/>
            <family val="2"/>
          </rPr>
          <t>Not actually dam waters but return flows
Lumped as resource originating from dam.</t>
        </r>
      </text>
    </comment>
    <comment ref="E17" authorId="0" shapeId="0">
      <text>
        <r>
          <rPr>
            <sz val="9"/>
            <color indexed="81"/>
            <rFont val="Tahoma"/>
            <family val="2"/>
          </rPr>
          <t>Linked to commissioning of scheme C1</t>
        </r>
      </text>
    </comment>
    <comment ref="AB19" authorId="0" shapeId="0">
      <text>
        <r>
          <rPr>
            <sz val="9"/>
            <color indexed="81"/>
            <rFont val="Tahoma"/>
            <family val="2"/>
          </rPr>
          <t xml:space="preserve">set to 10 yrs to include construction of inland conveyance </t>
        </r>
      </text>
    </comment>
    <comment ref="AF20" authorId="0" shapeId="0">
      <text>
        <r>
          <rPr>
            <b/>
            <sz val="9"/>
            <color indexed="81"/>
            <rFont val="Tahoma"/>
            <family val="2"/>
          </rPr>
          <t>Fadiel Ahjum:</t>
        </r>
        <r>
          <rPr>
            <sz val="9"/>
            <color indexed="81"/>
            <rFont val="Tahoma"/>
            <family val="2"/>
          </rPr>
          <t xml:space="preserve">
MIP DESAL option  estimate for 20 Mm3/a pipeline by inflating unit cap cost by 20%</t>
        </r>
      </text>
    </comment>
    <comment ref="E21" authorId="0" shapeId="0">
      <text>
        <r>
          <rPr>
            <sz val="9"/>
            <color indexed="81"/>
            <rFont val="Tahoma"/>
            <family val="2"/>
          </rPr>
          <t>Upper Olifants.
Alternate value taken from Development of a Reconciliation Strategy for the Olifants River Water Supply System
(DWA,2011) Table 4.12</t>
        </r>
      </text>
    </comment>
    <comment ref="Z21" authorId="0" shapeId="0">
      <text>
        <r>
          <rPr>
            <b/>
            <sz val="9"/>
            <color indexed="81"/>
            <rFont val="Tahoma"/>
            <family val="2"/>
          </rPr>
          <t>Fadiel Ahjum:</t>
        </r>
        <r>
          <rPr>
            <sz val="9"/>
            <color indexed="81"/>
            <rFont val="Tahoma"/>
            <family val="2"/>
          </rPr>
          <t xml:space="preserve">
nominal
</t>
        </r>
      </text>
    </comment>
    <comment ref="E22" authorId="0" shapeId="0">
      <text>
        <r>
          <rPr>
            <sz val="9"/>
            <color indexed="81"/>
            <rFont val="Tahoma"/>
            <family val="2"/>
          </rPr>
          <t xml:space="preserve">Dynamic tranfer from  C0.
</t>
        </r>
      </text>
    </comment>
    <comment ref="Z23" authorId="0" shapeId="0">
      <text>
        <r>
          <rPr>
            <sz val="9"/>
            <color indexed="81"/>
            <rFont val="Tahoma"/>
            <family val="2"/>
          </rPr>
          <t>DWA Future Marginal Water Cost (2010)
Appendix D - Water availibility.</t>
        </r>
      </text>
    </comment>
    <comment ref="T25" authorId="0" shapeId="0">
      <text>
        <r>
          <rPr>
            <b/>
            <sz val="9"/>
            <color indexed="81"/>
            <rFont val="Tahoma"/>
            <family val="2"/>
          </rPr>
          <t>Fadiel Ahjum:</t>
        </r>
        <r>
          <rPr>
            <sz val="9"/>
            <color indexed="81"/>
            <rFont val="Tahoma"/>
            <family val="2"/>
          </rPr>
          <t xml:space="preserve">
weighted transfer price
</t>
        </r>
      </text>
    </comment>
    <comment ref="E28" authorId="0" shapeId="0">
      <text>
        <r>
          <rPr>
            <sz val="9"/>
            <color indexed="81"/>
            <rFont val="Tahoma"/>
            <family val="2"/>
          </rPr>
          <t>DWA Future Marginal Water Cost (2010)  rfeer to Appendix C1
+ 200 Mm3/a : peak  ZZ allocation (195 Mm3/a) in  year 2015. From 2006 until 2015.</t>
        </r>
      </text>
    </comment>
    <comment ref="Z28" authorId="0" shapeId="0">
      <text>
        <r>
          <rPr>
            <b/>
            <sz val="9"/>
            <color indexed="81"/>
            <rFont val="Tahoma"/>
            <family val="2"/>
          </rPr>
          <t>Fadiel Ahjum:</t>
        </r>
        <r>
          <rPr>
            <sz val="9"/>
            <color indexed="81"/>
            <rFont val="Tahoma"/>
            <family val="2"/>
          </rPr>
          <t xml:space="preserve">
nominal
</t>
        </r>
      </text>
    </comment>
    <comment ref="AH29" authorId="0" shapeId="0">
      <text>
        <r>
          <rPr>
            <sz val="9"/>
            <color indexed="81"/>
            <rFont val="Tahoma"/>
            <family val="2"/>
          </rPr>
          <t>Arbitrary value ( ~0.03kWh/m3)
Needed to prevent switching between C0</t>
        </r>
      </text>
    </comment>
    <comment ref="E32" authorId="0" shapeId="0">
      <text>
        <r>
          <rPr>
            <sz val="9"/>
            <color indexed="81"/>
            <rFont val="Tahoma"/>
            <family val="2"/>
          </rPr>
          <t>Available yield for transfer to Vaal = 517-227 (Orange River requirment). DWA Future Marginal Cost Study (2010).</t>
        </r>
      </text>
    </comment>
    <comment ref="H32" authorId="0" shapeId="0">
      <text>
        <r>
          <rPr>
            <sz val="9"/>
            <color indexed="81"/>
            <rFont val="Tahoma"/>
            <family val="2"/>
          </rPr>
          <t xml:space="preserve">Estimate of conveyance costs  excl. dam.
 </t>
        </r>
      </text>
    </comment>
    <comment ref="Z32" authorId="0" shapeId="0">
      <text>
        <r>
          <rPr>
            <sz val="9"/>
            <color indexed="81"/>
            <rFont val="Tahoma"/>
            <family val="2"/>
          </rPr>
          <t xml:space="preserve">20%  losses with canal 
10% losses with pipeline </t>
        </r>
      </text>
    </comment>
    <comment ref="AB32" authorId="0" shapeId="0">
      <text>
        <r>
          <rPr>
            <sz val="9"/>
            <color indexed="81"/>
            <rFont val="Tahoma"/>
            <family val="2"/>
          </rPr>
          <t>5 yrs for dam.
3yr for dam to deliver full yield.</t>
        </r>
      </text>
    </comment>
    <comment ref="E33" authorId="0" shapeId="0">
      <text/>
    </comment>
    <comment ref="AB33" authorId="0" shapeId="0">
      <text>
        <r>
          <rPr>
            <sz val="9"/>
            <color indexed="81"/>
            <rFont val="Tahoma"/>
            <family val="2"/>
          </rPr>
          <t>for full yield</t>
        </r>
      </text>
    </comment>
    <comment ref="E36" authorId="0" shapeId="0">
      <text>
        <r>
          <rPr>
            <sz val="9"/>
            <color indexed="81"/>
            <rFont val="Tahoma"/>
            <family val="2"/>
          </rPr>
          <t xml:space="preserve">DWA Future Marginal Water Cost (2010)
Appendix D - Water availibility + 287 EWR 
</t>
        </r>
        <r>
          <rPr>
            <b/>
            <sz val="9"/>
            <color indexed="81"/>
            <rFont val="Tahoma"/>
            <family val="2"/>
          </rPr>
          <t>Constraint</t>
        </r>
        <r>
          <rPr>
            <sz val="9"/>
            <color indexed="81"/>
            <rFont val="Tahoma"/>
            <family val="2"/>
          </rPr>
          <t xml:space="preserve">: EWR increased  by 200 Mm3/a (Appendix D pg 2) when D1 at full capacity:
ActD0  &lt;= CapD0 - ActD1 *(EWR-D0/CapD1)
</t>
        </r>
      </text>
    </comment>
    <comment ref="Z36" authorId="0" shapeId="0">
      <text>
        <r>
          <rPr>
            <b/>
            <sz val="9"/>
            <color indexed="81"/>
            <rFont val="Tahoma"/>
            <family val="2"/>
          </rPr>
          <t>Fadiel Ahjum:</t>
        </r>
        <r>
          <rPr>
            <sz val="9"/>
            <color indexed="81"/>
            <rFont val="Tahoma"/>
            <family val="2"/>
          </rPr>
          <t xml:space="preserve">
nominal
</t>
        </r>
      </text>
    </comment>
    <comment ref="H37" authorId="0" shapeId="0">
      <text>
        <r>
          <rPr>
            <sz val="9"/>
            <color indexed="81"/>
            <rFont val="Tahoma"/>
            <family val="2"/>
          </rPr>
          <t>Estimate of dam costs.</t>
        </r>
      </text>
    </comment>
    <comment ref="E38" authorId="0" shapeId="0">
      <text>
        <r>
          <rPr>
            <b/>
            <sz val="9"/>
            <color indexed="81"/>
            <rFont val="Tahoma"/>
            <family val="2"/>
          </rPr>
          <t>Fadiel Ahjum:</t>
        </r>
        <r>
          <rPr>
            <sz val="9"/>
            <color indexed="81"/>
            <rFont val="Tahoma"/>
            <family val="2"/>
          </rPr>
          <t xml:space="preserve">
shared resource with Upper Vaal</t>
        </r>
      </text>
    </comment>
    <comment ref="S38" authorId="0" shapeId="0">
      <text>
        <r>
          <rPr>
            <sz val="9"/>
            <color indexed="81"/>
            <rFont val="Tahoma"/>
            <family val="2"/>
          </rPr>
          <t>Delivery cost included in plant investment cost.</t>
        </r>
      </text>
    </comment>
    <comment ref="AB38" authorId="0" shapeId="0">
      <text>
        <r>
          <rPr>
            <sz val="9"/>
            <color indexed="81"/>
            <rFont val="Tahoma"/>
            <family val="2"/>
          </rPr>
          <t>Construction period 5 yrs + 3 yrs  to deliver full yield. DWA (2010)</t>
        </r>
      </text>
    </comment>
    <comment ref="H42" authorId="0" shapeId="0">
      <text>
        <r>
          <rPr>
            <sz val="9"/>
            <color indexed="81"/>
            <rFont val="Tahoma"/>
            <family val="2"/>
          </rPr>
          <t>Estimate of dam costs.</t>
        </r>
      </text>
    </comment>
    <comment ref="E43" authorId="0" shapeId="0">
      <text>
        <r>
          <rPr>
            <b/>
            <sz val="9"/>
            <color indexed="81"/>
            <rFont val="Tahoma"/>
            <family val="2"/>
          </rPr>
          <t>Fadiel Ahjum:</t>
        </r>
        <r>
          <rPr>
            <sz val="9"/>
            <color indexed="81"/>
            <rFont val="Tahoma"/>
            <family val="2"/>
          </rPr>
          <t xml:space="preserve">
shared resource with Upper Vaal</t>
        </r>
      </text>
    </comment>
    <comment ref="C58" authorId="0" shapeId="0">
      <text>
        <r>
          <rPr>
            <sz val="9"/>
            <color indexed="81"/>
            <rFont val="Tahoma"/>
            <family val="2"/>
          </rPr>
          <t>Gravity pipeline from  Lephalale for Phase 1 only</t>
        </r>
      </text>
    </comment>
    <comment ref="C63" authorId="0" shapeId="0">
      <text>
        <r>
          <rPr>
            <sz val="9"/>
            <color indexed="81"/>
            <rFont val="Tahoma"/>
            <family val="2"/>
          </rPr>
          <t>?Not needed as delivery cost assumed incorporated in plant CAPex. Refer to Savaanah EIA  for CSP plant.</t>
        </r>
      </text>
    </comment>
    <comment ref="Z63" authorId="0" shapeId="0">
      <text>
        <r>
          <rPr>
            <sz val="9"/>
            <color indexed="81"/>
            <rFont val="Tahoma"/>
            <family val="2"/>
          </rPr>
          <t>losses accounted in supply</t>
        </r>
      </text>
    </comment>
    <comment ref="AB65" authorId="0" shapeId="0">
      <text>
        <r>
          <rPr>
            <sz val="9"/>
            <color indexed="81"/>
            <rFont val="Tahoma"/>
            <family val="2"/>
          </rPr>
          <t>Guess</t>
        </r>
      </text>
    </comment>
    <comment ref="C88" authorId="0" shapeId="0">
      <text>
        <r>
          <rPr>
            <sz val="9"/>
            <color indexed="81"/>
            <rFont val="Tahoma"/>
            <family val="2"/>
          </rPr>
          <t>Modelling assumption
55% aproximates original yield in 2010 DWA study</t>
        </r>
      </text>
    </comment>
  </commentList>
</comments>
</file>

<file path=xl/comments12.xml><?xml version="1.0" encoding="utf-8"?>
<comments xmlns="http://schemas.openxmlformats.org/spreadsheetml/2006/main">
  <authors>
    <author>Fadiel Ahjum</author>
  </authors>
  <commentList>
    <comment ref="N3" authorId="0" shapeId="0">
      <text>
        <r>
          <rPr>
            <sz val="9"/>
            <color indexed="81"/>
            <rFont val="Tahoma"/>
            <family val="2"/>
          </rPr>
          <t>Font indicates extrapolated or interpolated value.</t>
        </r>
      </text>
    </comment>
    <comment ref="O4" authorId="0" shapeId="0">
      <text>
        <r>
          <rPr>
            <sz val="9"/>
            <color indexed="81"/>
            <rFont val="Tahoma"/>
            <family val="2"/>
          </rPr>
          <t xml:space="preserve">SATW03L3MI3 10/03/2015
</t>
        </r>
      </text>
    </comment>
    <comment ref="P4" authorId="0" shapeId="0">
      <text>
        <r>
          <rPr>
            <sz val="9"/>
            <color indexed="81"/>
            <rFont val="Tahoma"/>
            <family val="2"/>
          </rPr>
          <t>copied from 2012</t>
        </r>
      </text>
    </comment>
    <comment ref="N7" authorId="0" shapeId="0">
      <text>
        <r>
          <rPr>
            <sz val="9"/>
            <color indexed="81"/>
            <rFont val="Tahoma"/>
            <family val="2"/>
          </rPr>
          <t>Arbritrary reduction @ ~3%p/a</t>
        </r>
        <r>
          <rPr>
            <sz val="9"/>
            <color indexed="81"/>
            <rFont val="Tahoma"/>
            <family val="2"/>
          </rPr>
          <t xml:space="preserve">
</t>
        </r>
      </text>
    </comment>
    <comment ref="E8" authorId="0" shapeId="0">
      <text>
        <r>
          <rPr>
            <sz val="9"/>
            <color indexed="81"/>
            <rFont val="Tahoma"/>
            <family val="2"/>
          </rPr>
          <t>Green font indicates data substituted for missing values.</t>
        </r>
      </text>
    </comment>
    <comment ref="N8" authorId="0" shapeId="0">
      <text>
        <r>
          <rPr>
            <sz val="9"/>
            <color indexed="81"/>
            <rFont val="Tahoma"/>
            <family val="2"/>
          </rPr>
          <t>Arbritrary reduction @ ~3%p/a</t>
        </r>
        <r>
          <rPr>
            <sz val="9"/>
            <color indexed="81"/>
            <rFont val="Tahoma"/>
            <family val="2"/>
          </rPr>
          <t xml:space="preserve">
</t>
        </r>
      </text>
    </comment>
    <comment ref="N10" authorId="0" shapeId="0">
      <text>
        <r>
          <rPr>
            <sz val="9"/>
            <color indexed="81"/>
            <rFont val="Tahoma"/>
            <family val="2"/>
          </rPr>
          <t>arbitrary growth factor</t>
        </r>
      </text>
    </comment>
    <comment ref="O12" authorId="0" shapeId="0">
      <text>
        <r>
          <rPr>
            <sz val="9"/>
            <color indexed="81"/>
            <rFont val="Tahoma"/>
            <family val="2"/>
          </rPr>
          <t>SATW03MI3B
16/03/2015
Value for yr 2011 = 63</t>
        </r>
      </text>
    </comment>
    <comment ref="B33" authorId="0" shapeId="0">
      <text>
        <r>
          <rPr>
            <sz val="9"/>
            <color indexed="81"/>
            <rFont val="Tahoma"/>
            <family val="2"/>
          </rPr>
          <t>Adapted from Fig 7.1</t>
        </r>
      </text>
    </comment>
    <comment ref="B39" authorId="0" shapeId="0">
      <text>
        <r>
          <rPr>
            <sz val="9"/>
            <color indexed="81"/>
            <rFont val="Tahoma"/>
            <family val="2"/>
          </rPr>
          <t>Water drawn from Vaal dam</t>
        </r>
      </text>
    </comment>
    <comment ref="B40" authorId="0" shapeId="0">
      <text>
        <r>
          <rPr>
            <sz val="9"/>
            <color indexed="81"/>
            <rFont val="Tahoma"/>
            <family val="2"/>
          </rPr>
          <t>Located in WSR-B. Water drawn from Grootdraai similar to Tutuka pwr station.</t>
        </r>
      </text>
    </comment>
    <comment ref="B51" authorId="0" shapeId="0">
      <text>
        <r>
          <rPr>
            <sz val="9"/>
            <color indexed="81"/>
            <rFont val="Tahoma"/>
            <family val="2"/>
          </rPr>
          <t>Alternate value taken from Development of a Reconciliation Strategy for the Olifants River Water Supply System
(DWA,2011) Table 4.12</t>
        </r>
      </text>
    </comment>
    <comment ref="D54" authorId="0" shapeId="0">
      <text>
        <r>
          <rPr>
            <sz val="9"/>
            <color indexed="81"/>
            <rFont val="Tahoma"/>
            <family val="2"/>
          </rPr>
          <t>Need to remove coal mining contribution.</t>
        </r>
      </text>
    </comment>
    <comment ref="B66" authorId="0" shapeId="0">
      <text>
        <r>
          <rPr>
            <sz val="9"/>
            <color indexed="81"/>
            <rFont val="Tahoma"/>
            <family val="2"/>
          </rPr>
          <t>Not included in demand from system yield</t>
        </r>
      </text>
    </comment>
  </commentList>
</comments>
</file>

<file path=xl/comments13.xml><?xml version="1.0" encoding="utf-8"?>
<comments xmlns="http://schemas.openxmlformats.org/spreadsheetml/2006/main">
  <authors>
    <author>Fadiel Ahjum</author>
  </authors>
  <commentList>
    <comment ref="K18" authorId="0" shapeId="0">
      <text>
        <r>
          <rPr>
            <b/>
            <sz val="9"/>
            <color indexed="81"/>
            <rFont val="Tahoma"/>
            <family val="2"/>
          </rPr>
          <t>Fadiel Ahjum:</t>
        </r>
        <r>
          <rPr>
            <sz val="9"/>
            <color indexed="81"/>
            <rFont val="Tahoma"/>
            <family val="2"/>
          </rPr>
          <t xml:space="preserve">
IRP ZAR2010</t>
        </r>
      </text>
    </comment>
    <comment ref="D24" authorId="0" shapeId="0">
      <text>
        <r>
          <rPr>
            <sz val="9"/>
            <color indexed="81"/>
            <rFont val="Tahoma"/>
            <family val="2"/>
          </rPr>
          <t>IRP2010 default</t>
        </r>
      </text>
    </comment>
    <comment ref="K24" authorId="0" shapeId="0">
      <text>
        <r>
          <rPr>
            <b/>
            <sz val="9"/>
            <color indexed="81"/>
            <rFont val="Tahoma"/>
            <family val="2"/>
          </rPr>
          <t>Fadiel Ahjum:</t>
        </r>
        <r>
          <rPr>
            <sz val="9"/>
            <color indexed="81"/>
            <rFont val="Tahoma"/>
            <family val="2"/>
          </rPr>
          <t xml:space="preserve">
IRP ZAR2010</t>
        </r>
      </text>
    </comment>
    <comment ref="I25" authorId="0" shapeId="0">
      <text>
        <r>
          <rPr>
            <b/>
            <sz val="9"/>
            <color indexed="81"/>
            <rFont val="Tahoma"/>
            <family val="2"/>
          </rPr>
          <t>Fadiel Ahjum:</t>
        </r>
        <r>
          <rPr>
            <sz val="9"/>
            <color indexed="81"/>
            <rFont val="Tahoma"/>
            <family val="2"/>
          </rPr>
          <t xml:space="preserve">
derate by 1.5% for in region A for T&amp;GD losses</t>
        </r>
      </text>
    </comment>
    <comment ref="J25" authorId="0" shapeId="0">
      <text>
        <r>
          <rPr>
            <sz val="8"/>
            <color indexed="81"/>
            <rFont val="Tahoma"/>
            <family val="2"/>
          </rPr>
          <t>Appendix B: Characterisation of Eskom’s Coal Power Plant Fleet (March 2014 YTD)</t>
        </r>
      </text>
    </comment>
    <comment ref="J28" authorId="0" shapeId="0">
      <text>
        <r>
          <rPr>
            <b/>
            <sz val="9"/>
            <color indexed="81"/>
            <rFont val="Tahoma"/>
            <family val="2"/>
          </rPr>
          <t>Fadiel Ahjum:</t>
        </r>
        <r>
          <rPr>
            <sz val="9"/>
            <color indexed="81"/>
            <rFont val="Tahoma"/>
            <family val="2"/>
          </rPr>
          <t xml:space="preserve">
raw no FGD: Initial operation of Medupi assumed until ilfitted with FDG in 2020 
</t>
        </r>
      </text>
    </comment>
    <comment ref="K31" authorId="0" shapeId="0">
      <text>
        <r>
          <rPr>
            <sz val="9"/>
            <color indexed="81"/>
            <rFont val="Tahoma"/>
            <family val="2"/>
          </rPr>
          <t>As per Task 2 report</t>
        </r>
      </text>
    </comment>
    <comment ref="I32" authorId="0" shapeId="0">
      <text>
        <r>
          <rPr>
            <b/>
            <sz val="9"/>
            <color indexed="81"/>
            <rFont val="Tahoma"/>
            <family val="2"/>
          </rPr>
          <t>Fadiel Ahjum:</t>
        </r>
        <r>
          <rPr>
            <sz val="9"/>
            <color indexed="81"/>
            <rFont val="Tahoma"/>
            <family val="2"/>
          </rPr>
          <t xml:space="preserve">
derate by 1.5% for in region A for T&amp;GD losses</t>
        </r>
      </text>
    </comment>
    <comment ref="J32" authorId="0" shapeId="0">
      <text>
        <r>
          <rPr>
            <b/>
            <sz val="9"/>
            <color indexed="81"/>
            <rFont val="Tahoma"/>
            <family val="2"/>
          </rPr>
          <t>Fadiel Ahjum:</t>
        </r>
        <r>
          <rPr>
            <sz val="9"/>
            <color indexed="81"/>
            <rFont val="Tahoma"/>
            <family val="2"/>
          </rPr>
          <t xml:space="preserve">
Etrans loss (-1.5%) &amp; eff. Gain (2%)</t>
        </r>
      </text>
    </comment>
    <comment ref="J37" authorId="0" shapeId="0">
      <text>
        <r>
          <rPr>
            <sz val="9"/>
            <color indexed="81"/>
            <rFont val="Tahoma"/>
            <family val="2"/>
          </rPr>
          <t>includes pipeline cost</t>
        </r>
      </text>
    </comment>
    <comment ref="J42" authorId="0" shapeId="0">
      <text>
        <r>
          <rPr>
            <sz val="9"/>
            <color indexed="81"/>
            <rFont val="Tahoma"/>
            <family val="2"/>
          </rPr>
          <t>Guestimate</t>
        </r>
      </text>
    </comment>
  </commentList>
</comments>
</file>

<file path=xl/comments14.xml><?xml version="1.0" encoding="utf-8"?>
<comments xmlns="http://schemas.openxmlformats.org/spreadsheetml/2006/main">
  <authors>
    <author>Fadiel Ahjum</author>
  </authors>
  <commentList>
    <comment ref="D12" authorId="0" shapeId="0">
      <text>
        <r>
          <rPr>
            <b/>
            <sz val="9"/>
            <color indexed="81"/>
            <rFont val="Tahoma"/>
            <family val="2"/>
          </rPr>
          <t>Fadiel Ahjum:</t>
        </r>
        <r>
          <rPr>
            <sz val="9"/>
            <color indexed="81"/>
            <rFont val="Tahoma"/>
            <family val="2"/>
          </rPr>
          <t xml:space="preserve">
</t>
        </r>
      </text>
    </comment>
    <comment ref="J14" authorId="0" shapeId="0">
      <text>
        <r>
          <rPr>
            <sz val="9"/>
            <color indexed="81"/>
            <rFont val="Tahoma"/>
            <family val="2"/>
          </rPr>
          <t xml:space="preserve">Table 23: </t>
        </r>
        <r>
          <rPr>
            <i/>
            <sz val="9"/>
            <color indexed="81"/>
            <rFont val="Tahoma"/>
            <family val="2"/>
          </rPr>
          <t xml:space="preserve">Other. 
Cooling: </t>
        </r>
        <r>
          <rPr>
            <sz val="9"/>
            <color indexed="81"/>
            <rFont val="Tahoma"/>
            <family val="2"/>
          </rPr>
          <t>47.2% assumed to be largely attributed to power-gen.(Ras,2011).</t>
        </r>
      </text>
    </comment>
    <comment ref="J20" authorId="0" shapeId="0">
      <text>
        <r>
          <rPr>
            <b/>
            <sz val="9"/>
            <color indexed="81"/>
            <rFont val="Tahoma"/>
            <family val="2"/>
          </rPr>
          <t>Fadiel Ahjum:</t>
        </r>
        <r>
          <rPr>
            <sz val="9"/>
            <color indexed="81"/>
            <rFont val="Tahoma"/>
            <family val="2"/>
          </rPr>
          <t xml:space="preserve">
Medupi estimate</t>
        </r>
      </text>
    </comment>
  </commentList>
</comments>
</file>

<file path=xl/comments15.xml><?xml version="1.0" encoding="utf-8"?>
<comments xmlns="http://schemas.openxmlformats.org/spreadsheetml/2006/main">
  <authors>
    <author>Fadiel Ahjum</author>
  </authors>
  <commentList>
    <comment ref="J13" authorId="0" shapeId="0">
      <text>
        <r>
          <rPr>
            <b/>
            <sz val="9"/>
            <color indexed="81"/>
            <rFont val="Tahoma"/>
            <family val="2"/>
          </rPr>
          <t>Fadiel Ahjum:</t>
        </r>
        <r>
          <rPr>
            <sz val="9"/>
            <color indexed="81"/>
            <rFont val="Tahoma"/>
            <family val="2"/>
          </rPr>
          <t xml:space="preserve">
Medupi estimate</t>
        </r>
      </text>
    </comment>
    <comment ref="F20" authorId="0" shapeId="0">
      <text>
        <r>
          <rPr>
            <sz val="9"/>
            <color indexed="81"/>
            <rFont val="Tahoma"/>
            <family val="2"/>
          </rPr>
          <t>previously ICPELC</t>
        </r>
      </text>
    </comment>
    <comment ref="F23" authorId="0" shapeId="0">
      <text>
        <r>
          <rPr>
            <sz val="9"/>
            <color indexed="81"/>
            <rFont val="Tahoma"/>
            <family val="2"/>
          </rPr>
          <t>previously ICPELC</t>
        </r>
      </text>
    </comment>
    <comment ref="J25" authorId="0" shapeId="0">
      <text>
        <r>
          <rPr>
            <b/>
            <sz val="9"/>
            <color indexed="81"/>
            <rFont val="Tahoma"/>
            <family val="2"/>
          </rPr>
          <t>Fadiel Ahjum:</t>
        </r>
        <r>
          <rPr>
            <sz val="9"/>
            <color indexed="81"/>
            <rFont val="Tahoma"/>
            <family val="2"/>
          </rPr>
          <t xml:space="preserve">
Medupi estimate</t>
        </r>
      </text>
    </comment>
  </commentList>
</comments>
</file>

<file path=xl/comments16.xml><?xml version="1.0" encoding="utf-8"?>
<comments xmlns="http://schemas.openxmlformats.org/spreadsheetml/2006/main">
  <authors>
    <author>Fadiel Ahjum</author>
  </authors>
  <commentList>
    <comment ref="I8" authorId="0" shapeId="0">
      <text>
        <r>
          <rPr>
            <b/>
            <sz val="9"/>
            <color indexed="81"/>
            <rFont val="Tahoma"/>
            <family val="2"/>
          </rPr>
          <t>Fadiel Ahjum:</t>
        </r>
        <r>
          <rPr>
            <sz val="9"/>
            <color indexed="81"/>
            <rFont val="Tahoma"/>
            <family val="2"/>
          </rPr>
          <t xml:space="preserve">
Medupi estimate</t>
        </r>
      </text>
    </comment>
    <comment ref="G10" authorId="0" shapeId="0">
      <text>
        <r>
          <rPr>
            <b/>
            <sz val="9"/>
            <color indexed="81"/>
            <rFont val="Tahoma"/>
            <family val="2"/>
          </rPr>
          <t>Fadiel Ahjum:</t>
        </r>
        <r>
          <rPr>
            <sz val="9"/>
            <color indexed="81"/>
            <rFont val="Tahoma"/>
            <family val="2"/>
          </rPr>
          <t xml:space="preserve">
derate by 1.5% for in region A for T&amp;GD losses</t>
        </r>
      </text>
    </comment>
  </commentList>
</comments>
</file>

<file path=xl/comments17.xml><?xml version="1.0" encoding="utf-8"?>
<comments xmlns="http://schemas.openxmlformats.org/spreadsheetml/2006/main">
  <authors>
    <author>Fadiel Ahjum</author>
  </authors>
  <commentList>
    <comment ref="L8" authorId="0" shapeId="0">
      <text>
        <r>
          <rPr>
            <b/>
            <sz val="9"/>
            <color indexed="81"/>
            <rFont val="Tahoma"/>
            <family val="2"/>
          </rPr>
          <t>Fadiel Ahjum:</t>
        </r>
        <r>
          <rPr>
            <sz val="9"/>
            <color indexed="81"/>
            <rFont val="Tahoma"/>
            <family val="2"/>
          </rPr>
          <t xml:space="preserve">
derate by 1.5% for in region A for T&amp;GD losses</t>
        </r>
      </text>
    </comment>
    <comment ref="H9" authorId="0" shapeId="0">
      <text>
        <r>
          <rPr>
            <b/>
            <sz val="9"/>
            <color indexed="81"/>
            <rFont val="Tahoma"/>
            <family val="2"/>
          </rPr>
          <t>Fadiel Ahjum:</t>
        </r>
        <r>
          <rPr>
            <sz val="9"/>
            <color indexed="81"/>
            <rFont val="Tahoma"/>
            <family val="2"/>
          </rPr>
          <t xml:space="preserve">
Medupi value
</t>
        </r>
      </text>
    </comment>
    <comment ref="K9" authorId="0" shapeId="0">
      <text>
        <r>
          <rPr>
            <b/>
            <sz val="9"/>
            <color indexed="81"/>
            <rFont val="Tahoma"/>
            <family val="2"/>
          </rPr>
          <t>Fadiel Ahjum:</t>
        </r>
        <r>
          <rPr>
            <sz val="9"/>
            <color indexed="81"/>
            <rFont val="Tahoma"/>
            <family val="2"/>
          </rPr>
          <t xml:space="preserve">
Medupi estimate</t>
        </r>
      </text>
    </comment>
    <comment ref="H19" authorId="0" shapeId="0">
      <text>
        <r>
          <rPr>
            <b/>
            <sz val="9"/>
            <color indexed="81"/>
            <rFont val="Tahoma"/>
            <family val="2"/>
          </rPr>
          <t>Fadiel Ahjum:</t>
        </r>
        <r>
          <rPr>
            <sz val="9"/>
            <color indexed="81"/>
            <rFont val="Tahoma"/>
            <family val="2"/>
          </rPr>
          <t xml:space="preserve">
Using EPRI data Appendix C</t>
        </r>
      </text>
    </comment>
    <comment ref="H36" authorId="0" shapeId="0">
      <text>
        <r>
          <rPr>
            <b/>
            <sz val="9"/>
            <color indexed="81"/>
            <rFont val="Tahoma"/>
            <family val="2"/>
          </rPr>
          <t>Fadiel Ahjum:</t>
        </r>
        <r>
          <rPr>
            <sz val="9"/>
            <color indexed="81"/>
            <rFont val="Tahoma"/>
            <family val="2"/>
          </rPr>
          <t xml:space="preserve">
EPRI data (ie IRP) assumes water injection for NOx control in contrast to low NOx burners.</t>
        </r>
      </text>
    </comment>
    <comment ref="D37" authorId="0" shapeId="0">
      <text>
        <r>
          <rPr>
            <b/>
            <sz val="9"/>
            <color indexed="81"/>
            <rFont val="Tahoma"/>
            <family val="2"/>
          </rPr>
          <t>Fadiel Ahjum:</t>
        </r>
        <r>
          <rPr>
            <sz val="9"/>
            <color indexed="81"/>
            <rFont val="Tahoma"/>
            <family val="2"/>
          </rPr>
          <t xml:space="preserve">
EPRI data (ie IRP) assumes water injection for NOx control in contrast to low NOx burners.</t>
        </r>
      </text>
    </comment>
    <comment ref="H37" authorId="0" shapeId="0">
      <text>
        <r>
          <rPr>
            <b/>
            <sz val="9"/>
            <color indexed="81"/>
            <rFont val="Tahoma"/>
            <family val="2"/>
          </rPr>
          <t>Fadiel Ahjum:</t>
        </r>
        <r>
          <rPr>
            <sz val="9"/>
            <color indexed="81"/>
            <rFont val="Tahoma"/>
            <family val="2"/>
          </rPr>
          <t xml:space="preserve">
EPRI data (ie IRP) assumes water injection for NOx control in contrast to low NOx burners.</t>
        </r>
      </text>
    </comment>
    <comment ref="D44" authorId="0" shapeId="0">
      <text>
        <r>
          <rPr>
            <b/>
            <sz val="9"/>
            <color indexed="81"/>
            <rFont val="Tahoma"/>
            <family val="2"/>
          </rPr>
          <t>Fadiel Ahjum:</t>
        </r>
        <r>
          <rPr>
            <sz val="9"/>
            <color indexed="81"/>
            <rFont val="Tahoma"/>
            <family val="2"/>
          </rPr>
          <t xml:space="preserve">
As per Table 23 in Task 2 report; excludes power gen component which is represented in Power Sector</t>
        </r>
      </text>
    </comment>
    <comment ref="H44" authorId="0" shapeId="0">
      <text>
        <r>
          <rPr>
            <sz val="9"/>
            <color indexed="81"/>
            <rFont val="Tahoma"/>
            <family val="2"/>
          </rPr>
          <t xml:space="preserve">Table 23: </t>
        </r>
        <r>
          <rPr>
            <i/>
            <sz val="9"/>
            <color indexed="81"/>
            <rFont val="Tahoma"/>
            <family val="2"/>
          </rPr>
          <t xml:space="preserve">Other. 
Cooling: </t>
        </r>
        <r>
          <rPr>
            <sz val="9"/>
            <color indexed="81"/>
            <rFont val="Tahoma"/>
            <family val="2"/>
          </rPr>
          <t>47.2% assumed to be largely attributed to power-gen.(Ras,2011).</t>
        </r>
      </text>
    </comment>
    <comment ref="AV59" authorId="0" shapeId="0">
      <text>
        <r>
          <rPr>
            <b/>
            <sz val="9"/>
            <color indexed="81"/>
            <rFont val="Tahoma"/>
            <family val="2"/>
          </rPr>
          <t>283 gal (US)/MWh  for WetClosed Cycle Cooling Tower</t>
        </r>
        <r>
          <rPr>
            <sz val="9"/>
            <color indexed="81"/>
            <rFont val="Tahoma"/>
            <family val="2"/>
          </rPr>
          <t xml:space="preserve">
Pwr Plant Water Usage &amp; Loss Study. US-DoE(2007)</t>
        </r>
      </text>
    </comment>
    <comment ref="AW59" authorId="0" shapeId="0">
      <text>
        <r>
          <rPr>
            <b/>
            <sz val="9"/>
            <color indexed="81"/>
            <rFont val="Tahoma"/>
            <family val="2"/>
          </rPr>
          <t>1.9 gal (US)/MWh:</t>
        </r>
        <r>
          <rPr>
            <sz val="9"/>
            <color indexed="81"/>
            <rFont val="Tahoma"/>
            <family val="2"/>
          </rPr>
          <t xml:space="preserve">
</t>
        </r>
      </text>
    </comment>
    <comment ref="AV60" authorId="0" shapeId="0">
      <text>
        <r>
          <rPr>
            <sz val="9"/>
            <color indexed="81"/>
            <rFont val="Tahoma"/>
            <family val="2"/>
          </rPr>
          <t>Appendix C. EPRI (2012)
with Water injection for NOx control</t>
        </r>
      </text>
    </comment>
    <comment ref="AV61" authorId="0" shapeId="0">
      <text>
        <r>
          <rPr>
            <sz val="9"/>
            <color indexed="81"/>
            <rFont val="Tahoma"/>
            <family val="2"/>
          </rPr>
          <t>Appendix C. EPRI (2012)
with Water injection for NOx control</t>
        </r>
      </text>
    </comment>
  </commentList>
</comments>
</file>

<file path=xl/comments2.xml><?xml version="1.0" encoding="utf-8"?>
<comments xmlns="http://schemas.openxmlformats.org/spreadsheetml/2006/main">
  <authors>
    <author>Fadiel Ahjum</author>
  </authors>
  <commentList>
    <comment ref="C68" authorId="0" shapeId="0">
      <text>
        <r>
          <rPr>
            <sz val="9"/>
            <color indexed="81"/>
            <rFont val="Tahoma"/>
            <family val="2"/>
          </rPr>
          <t xml:space="preserve">Modified from Table 21 in Task 2 report.
COSTS FOR COAL MINE WATER TREATMENT IN SATIM-W.
</t>
        </r>
      </text>
    </comment>
  </commentList>
</comments>
</file>

<file path=xl/comments3.xml><?xml version="1.0" encoding="utf-8"?>
<comments xmlns="http://schemas.openxmlformats.org/spreadsheetml/2006/main">
  <authors>
    <author>Fadiel Ahjum</author>
  </authors>
  <commentList>
    <comment ref="C11" authorId="0" shapeId="0">
      <text>
        <r>
          <rPr>
            <b/>
            <sz val="9"/>
            <color indexed="81"/>
            <rFont val="Tahoma"/>
            <family val="2"/>
          </rPr>
          <t>Fadiel Ahjum:</t>
        </r>
        <r>
          <rPr>
            <sz val="9"/>
            <color indexed="81"/>
            <rFont val="Tahoma"/>
            <family val="2"/>
          </rPr>
          <t xml:space="preserve">
similar expenditure as Emalahleni plant
</t>
        </r>
      </text>
    </comment>
    <comment ref="E16" authorId="0" shapeId="0">
      <text>
        <r>
          <rPr>
            <b/>
            <sz val="9"/>
            <color indexed="81"/>
            <rFont val="Tahoma"/>
            <family val="2"/>
          </rPr>
          <t>Fadiel Ahjum:</t>
        </r>
        <r>
          <rPr>
            <sz val="9"/>
            <color indexed="81"/>
            <rFont val="Tahoma"/>
            <family val="2"/>
          </rPr>
          <t xml:space="preserve">
similar volume as emalahleni plant</t>
        </r>
      </text>
    </comment>
    <comment ref="B17" authorId="0" shapeId="0">
      <text>
        <r>
          <rPr>
            <b/>
            <sz val="9"/>
            <color indexed="81"/>
            <rFont val="Tahoma"/>
            <family val="2"/>
          </rPr>
          <t>Fadiel Ahjum:</t>
        </r>
        <r>
          <rPr>
            <sz val="9"/>
            <color indexed="81"/>
            <rFont val="Tahoma"/>
            <family val="2"/>
          </rPr>
          <t xml:space="preserve">
eMalahleni
</t>
        </r>
      </text>
    </comment>
    <comment ref="B18" authorId="0" shapeId="0">
      <text>
        <r>
          <rPr>
            <b/>
            <sz val="9"/>
            <color indexed="81"/>
            <rFont val="Tahoma"/>
            <family val="2"/>
          </rPr>
          <t>Fadiel Ahjum:</t>
        </r>
        <r>
          <rPr>
            <sz val="9"/>
            <color indexed="81"/>
            <rFont val="Tahoma"/>
            <family val="2"/>
          </rPr>
          <t xml:space="preserve">
refer to figure</t>
        </r>
      </text>
    </comment>
  </commentList>
</comments>
</file>

<file path=xl/comments4.xml><?xml version="1.0" encoding="utf-8"?>
<comments xmlns="http://schemas.openxmlformats.org/spreadsheetml/2006/main">
  <authors>
    <author>Fadiel Ahjum</author>
  </authors>
  <commentList>
    <comment ref="B32" authorId="0" shapeId="0">
      <text>
        <r>
          <rPr>
            <sz val="9"/>
            <color indexed="81"/>
            <rFont val="Tahoma"/>
            <family val="2"/>
          </rPr>
          <t xml:space="preserve">From EPRI-Eskom data.
Also:
</t>
        </r>
        <r>
          <rPr>
            <i/>
            <sz val="9"/>
            <color indexed="81"/>
            <rFont val="Tahoma"/>
            <family val="2"/>
          </rPr>
          <t xml:space="preserve">Power Plant Water Usage and Loss Study </t>
        </r>
        <r>
          <rPr>
            <sz val="9"/>
            <color indexed="81"/>
            <rFont val="Tahoma"/>
            <family val="2"/>
          </rPr>
          <t xml:space="preserve">(2007) NETL, USA.
58.1 gal/MWh = 0.219l/kWh for Supercritical.
65.8 gal/MWh = 0.249l/kWh for Subcritical.
</t>
        </r>
      </text>
    </comment>
    <comment ref="C32" authorId="0" shapeId="0">
      <text>
        <r>
          <rPr>
            <sz val="9"/>
            <color indexed="81"/>
            <rFont val="Tahoma"/>
            <family val="2"/>
          </rPr>
          <t xml:space="preserve">From EPRI-Eskom data for new supercritical.
1% quoted for existing eskom fleet.
</t>
        </r>
        <r>
          <rPr>
            <i/>
            <sz val="9"/>
            <color indexed="81"/>
            <rFont val="Tahoma"/>
            <family val="2"/>
          </rPr>
          <t>Implementation of De-SOx Technologies in an Eskom Context</t>
        </r>
        <r>
          <rPr>
            <sz val="9"/>
            <color indexed="81"/>
            <rFont val="Tahoma"/>
            <family val="2"/>
          </rPr>
          <t xml:space="preserve"> - Candice Stephen (2014)</t>
        </r>
      </text>
    </comment>
    <comment ref="B33" authorId="0" shapeId="0">
      <text>
        <r>
          <rPr>
            <i/>
            <sz val="9"/>
            <color indexed="81"/>
            <rFont val="Tahoma"/>
            <family val="2"/>
          </rPr>
          <t xml:space="preserve">Implementation of De-SOx Technologies in an Eskom Context </t>
        </r>
        <r>
          <rPr>
            <sz val="9"/>
            <color indexed="81"/>
            <rFont val="Tahoma"/>
            <family val="2"/>
          </rPr>
          <t>- Candice Stephen (2014)</t>
        </r>
      </text>
    </comment>
  </commentList>
</comments>
</file>

<file path=xl/comments5.xml><?xml version="1.0" encoding="utf-8"?>
<comments xmlns="http://schemas.openxmlformats.org/spreadsheetml/2006/main">
  <authors>
    <author>Fadiel Ahjum</author>
  </authors>
  <commentList>
    <comment ref="A21" authorId="0" shapeId="0">
      <text>
        <r>
          <rPr>
            <sz val="9"/>
            <color indexed="81"/>
            <rFont val="Tahoma"/>
            <family val="2"/>
          </rPr>
          <t>represented in TCH_PWR</t>
        </r>
      </text>
    </comment>
    <comment ref="A22" authorId="0" shapeId="0">
      <text>
        <r>
          <rPr>
            <b/>
            <sz val="9"/>
            <color indexed="81"/>
            <rFont val="Tahoma"/>
            <family val="2"/>
          </rPr>
          <t>Fadiel Ahjum:</t>
        </r>
        <r>
          <rPr>
            <sz val="9"/>
            <color indexed="81"/>
            <rFont val="Tahoma"/>
            <family val="2"/>
          </rPr>
          <t xml:space="preserve">
represented in TCH_PWR</t>
        </r>
      </text>
    </comment>
    <comment ref="C29" authorId="0" shapeId="0">
      <text>
        <r>
          <rPr>
            <sz val="9"/>
            <color indexed="81"/>
            <rFont val="Tahoma"/>
            <family val="2"/>
          </rPr>
          <t>TCH_SUP</t>
        </r>
      </text>
    </comment>
    <comment ref="B39" authorId="0" shapeId="0">
      <text>
        <r>
          <rPr>
            <sz val="9"/>
            <color indexed="81"/>
            <rFont val="Tahoma"/>
            <family val="2"/>
          </rPr>
          <t xml:space="preserve">SACC 2050 Combined Refineries (coastal &amp; inland)
</t>
        </r>
        <r>
          <rPr>
            <sz val="9"/>
            <color indexed="81"/>
            <rFont val="Tahoma"/>
            <family val="2"/>
          </rPr>
          <t xml:space="preserve">crude oil energy product conversion efficiency
</t>
        </r>
        <r>
          <rPr>
            <i/>
            <sz val="9"/>
            <color indexed="81"/>
            <rFont val="Tahoma"/>
            <family val="2"/>
          </rPr>
          <t xml:space="preserve">SACC141016fa.xls
</t>
        </r>
        <r>
          <rPr>
            <sz val="9"/>
            <color indexed="81"/>
            <rFont val="Tahoma"/>
            <family val="2"/>
          </rPr>
          <t xml:space="preserve">
</t>
        </r>
      </text>
    </comment>
    <comment ref="B40" authorId="0" shapeId="0">
      <text>
        <r>
          <rPr>
            <b/>
            <sz val="9"/>
            <color indexed="81"/>
            <rFont val="Tahoma"/>
            <family val="2"/>
          </rPr>
          <t>Fadiel Ahjum:</t>
        </r>
        <r>
          <rPr>
            <sz val="9"/>
            <color indexed="81"/>
            <rFont val="Tahoma"/>
            <family val="2"/>
          </rPr>
          <t xml:space="preserve">
Estimated from refinery assumptions in</t>
        </r>
        <r>
          <rPr>
            <i/>
            <sz val="9"/>
            <color indexed="81"/>
            <rFont val="Tahoma"/>
            <family val="2"/>
          </rPr>
          <t>TCH_SUP.xls.</t>
        </r>
      </text>
    </comment>
    <comment ref="W46" authorId="0" shapeId="0">
      <text>
        <r>
          <rPr>
            <sz val="9"/>
            <color indexed="81"/>
            <rFont val="Tahoma"/>
            <family val="2"/>
          </rPr>
          <t>the_energy_and_fuel_data_sheet</t>
        </r>
      </text>
    </comment>
    <comment ref="X46" authorId="0" shapeId="0">
      <text>
        <r>
          <rPr>
            <sz val="9"/>
            <color indexed="81"/>
            <rFont val="Tahoma"/>
            <family val="2"/>
          </rPr>
          <t>From TCH_SUP for New CTL ignoring other products</t>
        </r>
      </text>
    </comment>
    <comment ref="E100" authorId="0" shapeId="0">
      <text>
        <r>
          <rPr>
            <sz val="9"/>
            <color indexed="81"/>
            <rFont val="Tahoma"/>
            <family val="2"/>
          </rPr>
          <t>Water consumption of FGD system per unit Output (PJ)</t>
        </r>
      </text>
    </comment>
    <comment ref="A101" authorId="0" shapeId="0">
      <text>
        <r>
          <rPr>
            <sz val="9"/>
            <color indexed="81"/>
            <rFont val="Tahoma"/>
            <family val="2"/>
          </rPr>
          <t>Semi-Dry CFB = smaller footprint
Estimated from eskom data</t>
        </r>
      </text>
    </comment>
    <comment ref="E105" authorId="0" shapeId="0">
      <text>
        <r>
          <rPr>
            <sz val="9"/>
            <color indexed="81"/>
            <rFont val="Tahoma"/>
            <family val="2"/>
          </rPr>
          <t>Water consumption of FGD system per unit Output (PJ)</t>
        </r>
      </text>
    </comment>
    <comment ref="A106" authorId="0" shapeId="0">
      <text>
        <r>
          <rPr>
            <sz val="9"/>
            <color indexed="81"/>
            <rFont val="Tahoma"/>
            <family val="2"/>
          </rPr>
          <t>Semi-Dry CFB = smaller footprint
Estimated from eskom data</t>
        </r>
      </text>
    </comment>
    <comment ref="B106" authorId="0" shapeId="0">
      <text>
        <r>
          <rPr>
            <sz val="9"/>
            <color indexed="81"/>
            <rFont val="Tahoma"/>
            <family val="2"/>
          </rPr>
          <t>Presumed to be cheaper than rerofitting.
Estimated at % of retrofit</t>
        </r>
      </text>
    </comment>
    <comment ref="B116" authorId="0" shapeId="0">
      <text>
        <r>
          <rPr>
            <b/>
            <sz val="9"/>
            <color indexed="81"/>
            <rFont val="Tahoma"/>
            <family val="2"/>
          </rPr>
          <t>Fadiel Ahjum:</t>
        </r>
        <r>
          <rPr>
            <sz val="9"/>
            <color indexed="81"/>
            <rFont val="Tahoma"/>
            <family val="2"/>
          </rPr>
          <t xml:space="preserve">
R3 155/kW </t>
        </r>
      </text>
    </comment>
  </commentList>
</comments>
</file>

<file path=xl/comments6.xml><?xml version="1.0" encoding="utf-8"?>
<comments xmlns="http://schemas.openxmlformats.org/spreadsheetml/2006/main">
  <authors>
    <author>Fadiel Ahjum</author>
  </authors>
  <commentList>
    <comment ref="B8" authorId="0" shapeId="0">
      <text>
        <r>
          <rPr>
            <sz val="9"/>
            <color indexed="81"/>
            <rFont val="Tahoma"/>
            <family val="2"/>
          </rPr>
          <t xml:space="preserve">&gt;25 degrees.
nominal: no resolution </t>
        </r>
      </text>
    </comment>
  </commentList>
</comments>
</file>

<file path=xl/comments7.xml><?xml version="1.0" encoding="utf-8"?>
<comments xmlns="http://schemas.openxmlformats.org/spreadsheetml/2006/main">
  <authors>
    <author>Fadiel Ahjum</author>
  </authors>
  <commentList>
    <comment ref="P20" authorId="0" shapeId="0">
      <text>
        <r>
          <rPr>
            <sz val="9"/>
            <color indexed="81"/>
            <rFont val="Tahoma"/>
            <family val="2"/>
          </rPr>
          <t>http://www.eskom.co.za/Whatweredoing/ElectricityGeneration/Pages/Electricity_Generation.aspx</t>
        </r>
      </text>
    </comment>
    <comment ref="Q20" authorId="0" shapeId="0">
      <text>
        <r>
          <rPr>
            <b/>
            <sz val="9"/>
            <color indexed="81"/>
            <rFont val="Tahoma"/>
            <family val="2"/>
          </rPr>
          <t>Fadiel Ahjum:</t>
        </r>
        <r>
          <rPr>
            <sz val="9"/>
            <color indexed="81"/>
            <rFont val="Tahoma"/>
            <family val="2"/>
          </rPr>
          <t xml:space="preserve">
used to compute effien</t>
        </r>
      </text>
    </comment>
    <comment ref="U22" authorId="0" shapeId="0">
      <text>
        <r>
          <rPr>
            <sz val="9"/>
            <color indexed="81"/>
            <rFont val="Tahoma"/>
            <family val="2"/>
          </rPr>
          <t>from 2013 to 2010</t>
        </r>
      </text>
    </comment>
    <comment ref="C30" authorId="0" shapeId="0">
      <text>
        <r>
          <rPr>
            <b/>
            <sz val="9"/>
            <color indexed="81"/>
            <rFont val="Tahoma"/>
            <family val="2"/>
          </rPr>
          <t>Fadiel Ahjum:</t>
        </r>
        <r>
          <rPr>
            <sz val="9"/>
            <color indexed="81"/>
            <rFont val="Tahoma"/>
            <family val="2"/>
          </rPr>
          <t xml:space="preserve">
Combine with Majuba because total water consumtpion is negligible at regional scale</t>
        </r>
      </text>
    </comment>
    <comment ref="T36" authorId="0" shapeId="0">
      <text>
        <r>
          <rPr>
            <b/>
            <sz val="9"/>
            <color indexed="81"/>
            <rFont val="Tahoma"/>
            <family val="2"/>
          </rPr>
          <t>Fadiel Ahjum:</t>
        </r>
        <r>
          <rPr>
            <sz val="9"/>
            <color indexed="81"/>
            <rFont val="Tahoma"/>
            <family val="2"/>
          </rPr>
          <t xml:space="preserve">
Assumed similar to Komati</t>
        </r>
      </text>
    </comment>
    <comment ref="R39" authorId="0" shapeId="0">
      <text>
        <r>
          <rPr>
            <b/>
            <sz val="9"/>
            <color indexed="81"/>
            <rFont val="Tahoma"/>
            <family val="2"/>
          </rPr>
          <t xml:space="preserve">~ ZAR 178.6
</t>
        </r>
        <r>
          <rPr>
            <sz val="9"/>
            <color indexed="81"/>
            <rFont val="Tahoma"/>
            <family val="2"/>
          </rPr>
          <t>when using Eskom's web data.</t>
        </r>
      </text>
    </comment>
    <comment ref="S39" authorId="0" shapeId="0">
      <text>
        <r>
          <rPr>
            <b/>
            <sz val="9"/>
            <color indexed="81"/>
            <rFont val="Tahoma"/>
            <family val="2"/>
          </rPr>
          <t xml:space="preserve">~ ZAR 178.6
</t>
        </r>
        <r>
          <rPr>
            <sz val="9"/>
            <color indexed="81"/>
            <rFont val="Tahoma"/>
            <family val="2"/>
          </rPr>
          <t>when using Eskom's web data.</t>
        </r>
      </text>
    </comment>
    <comment ref="P43" authorId="0" shapeId="0">
      <text>
        <r>
          <rPr>
            <b/>
            <sz val="9"/>
            <color indexed="81"/>
            <rFont val="Tahoma"/>
            <family val="2"/>
          </rPr>
          <t>Fadiel Ahjum:</t>
        </r>
        <r>
          <rPr>
            <sz val="9"/>
            <color indexed="81"/>
            <rFont val="Tahoma"/>
            <family val="2"/>
          </rPr>
          <t xml:space="preserve">
Seems low for eskom's reported a</t>
        </r>
        <r>
          <rPr>
            <i/>
            <sz val="9"/>
            <color indexed="81"/>
            <rFont val="Tahoma"/>
            <family val="2"/>
          </rPr>
          <t xml:space="preserve">verage availability over last 3 years (93.41%). </t>
        </r>
        <r>
          <rPr>
            <sz val="9"/>
            <color indexed="81"/>
            <rFont val="Tahoma"/>
            <family val="2"/>
          </rPr>
          <t>Therefore using expected production for tariff weighting.</t>
        </r>
      </text>
    </comment>
    <comment ref="T44" authorId="0" shapeId="0">
      <text>
        <r>
          <rPr>
            <b/>
            <sz val="9"/>
            <color indexed="81"/>
            <rFont val="Tahoma"/>
            <family val="2"/>
          </rPr>
          <t>Fadiel Ahjum:</t>
        </r>
        <r>
          <rPr>
            <sz val="9"/>
            <color indexed="81"/>
            <rFont val="Tahoma"/>
            <family val="2"/>
          </rPr>
          <t xml:space="preserve">
Assumed similar to Komati</t>
        </r>
      </text>
    </comment>
    <comment ref="R47" authorId="0" shapeId="0">
      <text>
        <r>
          <rPr>
            <b/>
            <sz val="9"/>
            <color indexed="81"/>
            <rFont val="Tahoma"/>
            <family val="2"/>
          </rPr>
          <t xml:space="preserve">~ ZAR 178.6
</t>
        </r>
        <r>
          <rPr>
            <sz val="9"/>
            <color indexed="81"/>
            <rFont val="Tahoma"/>
            <family val="2"/>
          </rPr>
          <t>when using Eskom's web data.</t>
        </r>
      </text>
    </comment>
    <comment ref="S47" authorId="0" shapeId="0">
      <text>
        <r>
          <rPr>
            <b/>
            <sz val="9"/>
            <color indexed="81"/>
            <rFont val="Tahoma"/>
            <family val="2"/>
          </rPr>
          <t xml:space="preserve">~ ZAR 178.6
</t>
        </r>
        <r>
          <rPr>
            <sz val="9"/>
            <color indexed="81"/>
            <rFont val="Tahoma"/>
            <family val="2"/>
          </rPr>
          <t>when using Eskom's web data.</t>
        </r>
      </text>
    </comment>
    <comment ref="T47" authorId="0" shapeId="0">
      <text>
        <r>
          <rPr>
            <b/>
            <sz val="9"/>
            <color indexed="81"/>
            <rFont val="Tahoma"/>
            <family val="2"/>
          </rPr>
          <t xml:space="preserve">~ ZAR 178.6
</t>
        </r>
        <r>
          <rPr>
            <sz val="9"/>
            <color indexed="81"/>
            <rFont val="Tahoma"/>
            <family val="2"/>
          </rPr>
          <t>when using Eskom's web data.</t>
        </r>
      </text>
    </comment>
    <comment ref="I50" authorId="0" shapeId="0">
      <text>
        <r>
          <rPr>
            <sz val="9"/>
            <color indexed="81"/>
            <rFont val="Tahoma"/>
            <family val="2"/>
          </rPr>
          <t>Using average for this category.</t>
        </r>
      </text>
    </comment>
    <comment ref="I52" authorId="0" shapeId="0">
      <text>
        <r>
          <rPr>
            <sz val="9"/>
            <color indexed="81"/>
            <rFont val="Tahoma"/>
            <family val="2"/>
          </rPr>
          <t xml:space="preserve">Using matimba as estimate
</t>
        </r>
      </text>
    </comment>
    <comment ref="R55" authorId="0" shapeId="0">
      <text>
        <r>
          <rPr>
            <b/>
            <sz val="9"/>
            <color indexed="81"/>
            <rFont val="Tahoma"/>
            <family val="2"/>
          </rPr>
          <t xml:space="preserve">~ ZAR 178.6
</t>
        </r>
        <r>
          <rPr>
            <sz val="9"/>
            <color indexed="81"/>
            <rFont val="Tahoma"/>
            <family val="2"/>
          </rPr>
          <t>when using Eskom's web data.</t>
        </r>
      </text>
    </comment>
    <comment ref="S55" authorId="0" shapeId="0">
      <text>
        <r>
          <rPr>
            <b/>
            <sz val="9"/>
            <color indexed="81"/>
            <rFont val="Tahoma"/>
            <family val="2"/>
          </rPr>
          <t xml:space="preserve">~ ZAR 178.6
</t>
        </r>
        <r>
          <rPr>
            <sz val="9"/>
            <color indexed="81"/>
            <rFont val="Tahoma"/>
            <family val="2"/>
          </rPr>
          <t>when using Eskom's web data.</t>
        </r>
      </text>
    </comment>
  </commentList>
</comments>
</file>

<file path=xl/comments8.xml><?xml version="1.0" encoding="utf-8"?>
<comments xmlns="http://schemas.openxmlformats.org/spreadsheetml/2006/main">
  <authors>
    <author>Fadiel Ahjum</author>
  </authors>
  <commentList>
    <comment ref="P20" authorId="0" shapeId="0">
      <text>
        <r>
          <rPr>
            <sz val="9"/>
            <color indexed="81"/>
            <rFont val="Tahoma"/>
            <family val="2"/>
          </rPr>
          <t>http://www.eskom.co.za/Whatweredoing/ElectricityGeneration/Pages/Electricity_Generation.aspx</t>
        </r>
      </text>
    </comment>
    <comment ref="Q20" authorId="0" shapeId="0">
      <text>
        <r>
          <rPr>
            <b/>
            <sz val="9"/>
            <color indexed="81"/>
            <rFont val="Tahoma"/>
            <family val="2"/>
          </rPr>
          <t>Fadiel Ahjum:</t>
        </r>
        <r>
          <rPr>
            <sz val="9"/>
            <color indexed="81"/>
            <rFont val="Tahoma"/>
            <family val="2"/>
          </rPr>
          <t xml:space="preserve">
used to compute effien</t>
        </r>
      </text>
    </comment>
    <comment ref="U22" authorId="0" shapeId="0">
      <text>
        <r>
          <rPr>
            <sz val="9"/>
            <color indexed="81"/>
            <rFont val="Tahoma"/>
            <family val="2"/>
          </rPr>
          <t>from 2013 to 2010</t>
        </r>
      </text>
    </comment>
    <comment ref="C30" authorId="0" shapeId="0">
      <text>
        <r>
          <rPr>
            <b/>
            <sz val="9"/>
            <color indexed="81"/>
            <rFont val="Tahoma"/>
            <family val="2"/>
          </rPr>
          <t>Fadiel Ahjum:</t>
        </r>
        <r>
          <rPr>
            <sz val="9"/>
            <color indexed="81"/>
            <rFont val="Tahoma"/>
            <family val="2"/>
          </rPr>
          <t xml:space="preserve">
Combine with Majuba because total water consumtpion is negligible at regional scale</t>
        </r>
      </text>
    </comment>
    <comment ref="I31" authorId="0" shapeId="0">
      <text>
        <r>
          <rPr>
            <sz val="9"/>
            <color indexed="81"/>
            <rFont val="Tahoma"/>
            <family val="2"/>
          </rPr>
          <t xml:space="preserve">Using matimba as estimate
</t>
        </r>
      </text>
    </comment>
    <comment ref="T37" authorId="0" shapeId="0">
      <text>
        <r>
          <rPr>
            <b/>
            <sz val="9"/>
            <color indexed="81"/>
            <rFont val="Tahoma"/>
            <family val="2"/>
          </rPr>
          <t>Fadiel Ahjum:</t>
        </r>
        <r>
          <rPr>
            <sz val="9"/>
            <color indexed="81"/>
            <rFont val="Tahoma"/>
            <family val="2"/>
          </rPr>
          <t xml:space="preserve">
Assumed similar to Komati</t>
        </r>
      </text>
    </comment>
    <comment ref="R40" authorId="0" shapeId="0">
      <text>
        <r>
          <rPr>
            <b/>
            <sz val="9"/>
            <color indexed="81"/>
            <rFont val="Tahoma"/>
            <family val="2"/>
          </rPr>
          <t xml:space="preserve">~ ZAR 178.6
</t>
        </r>
        <r>
          <rPr>
            <sz val="9"/>
            <color indexed="81"/>
            <rFont val="Tahoma"/>
            <family val="2"/>
          </rPr>
          <t>when using Eskom's web data.</t>
        </r>
      </text>
    </comment>
    <comment ref="S40" authorId="0" shapeId="0">
      <text>
        <r>
          <rPr>
            <b/>
            <sz val="9"/>
            <color indexed="81"/>
            <rFont val="Tahoma"/>
            <family val="2"/>
          </rPr>
          <t xml:space="preserve">~ ZAR 178.6
</t>
        </r>
        <r>
          <rPr>
            <sz val="9"/>
            <color indexed="81"/>
            <rFont val="Tahoma"/>
            <family val="2"/>
          </rPr>
          <t>when using Eskom's web data.</t>
        </r>
      </text>
    </comment>
    <comment ref="I41" authorId="0" shapeId="0">
      <text>
        <r>
          <rPr>
            <sz val="9"/>
            <color indexed="81"/>
            <rFont val="Tahoma"/>
            <family val="2"/>
          </rPr>
          <t>Using average for this category.</t>
        </r>
      </text>
    </comment>
    <comment ref="P45" authorId="0" shapeId="0">
      <text>
        <r>
          <rPr>
            <b/>
            <sz val="9"/>
            <color indexed="81"/>
            <rFont val="Tahoma"/>
            <family val="2"/>
          </rPr>
          <t>Fadiel Ahjum:</t>
        </r>
        <r>
          <rPr>
            <sz val="9"/>
            <color indexed="81"/>
            <rFont val="Tahoma"/>
            <family val="2"/>
          </rPr>
          <t xml:space="preserve">
Seems low for eskom's reported a</t>
        </r>
        <r>
          <rPr>
            <i/>
            <sz val="9"/>
            <color indexed="81"/>
            <rFont val="Tahoma"/>
            <family val="2"/>
          </rPr>
          <t xml:space="preserve">verage availability over last 3 years (93.41%). </t>
        </r>
        <r>
          <rPr>
            <sz val="9"/>
            <color indexed="81"/>
            <rFont val="Tahoma"/>
            <family val="2"/>
          </rPr>
          <t>Therefore using expected production for tariff weighting.</t>
        </r>
      </text>
    </comment>
    <comment ref="T46" authorId="0" shapeId="0">
      <text>
        <r>
          <rPr>
            <b/>
            <sz val="9"/>
            <color indexed="81"/>
            <rFont val="Tahoma"/>
            <family val="2"/>
          </rPr>
          <t>Fadiel Ahjum:</t>
        </r>
        <r>
          <rPr>
            <sz val="9"/>
            <color indexed="81"/>
            <rFont val="Tahoma"/>
            <family val="2"/>
          </rPr>
          <t xml:space="preserve">
Assumed similar to Komati</t>
        </r>
      </text>
    </comment>
    <comment ref="R49" authorId="0" shapeId="0">
      <text>
        <r>
          <rPr>
            <b/>
            <sz val="9"/>
            <color indexed="81"/>
            <rFont val="Tahoma"/>
            <family val="2"/>
          </rPr>
          <t xml:space="preserve">~ ZAR 178.6
</t>
        </r>
        <r>
          <rPr>
            <sz val="9"/>
            <color indexed="81"/>
            <rFont val="Tahoma"/>
            <family val="2"/>
          </rPr>
          <t>when using Eskom's web data.</t>
        </r>
      </text>
    </comment>
    <comment ref="S49" authorId="0" shapeId="0">
      <text>
        <r>
          <rPr>
            <b/>
            <sz val="9"/>
            <color indexed="81"/>
            <rFont val="Tahoma"/>
            <family val="2"/>
          </rPr>
          <t xml:space="preserve">~ ZAR 178.6
</t>
        </r>
        <r>
          <rPr>
            <sz val="9"/>
            <color indexed="81"/>
            <rFont val="Tahoma"/>
            <family val="2"/>
          </rPr>
          <t>when using Eskom's web data.</t>
        </r>
      </text>
    </comment>
    <comment ref="T49" authorId="0" shapeId="0">
      <text>
        <r>
          <rPr>
            <b/>
            <sz val="9"/>
            <color indexed="81"/>
            <rFont val="Tahoma"/>
            <family val="2"/>
          </rPr>
          <t xml:space="preserve">~ ZAR 178.6
</t>
        </r>
        <r>
          <rPr>
            <sz val="9"/>
            <color indexed="81"/>
            <rFont val="Tahoma"/>
            <family val="2"/>
          </rPr>
          <t>when using Eskom's web data.</t>
        </r>
      </text>
    </comment>
    <comment ref="R55" authorId="0" shapeId="0">
      <text>
        <r>
          <rPr>
            <b/>
            <sz val="9"/>
            <color indexed="81"/>
            <rFont val="Tahoma"/>
            <family val="2"/>
          </rPr>
          <t xml:space="preserve">~ ZAR 178.6
</t>
        </r>
        <r>
          <rPr>
            <sz val="9"/>
            <color indexed="81"/>
            <rFont val="Tahoma"/>
            <family val="2"/>
          </rPr>
          <t>when using Eskom's web data.</t>
        </r>
      </text>
    </comment>
    <comment ref="S55" authorId="0" shapeId="0">
      <text>
        <r>
          <rPr>
            <b/>
            <sz val="9"/>
            <color indexed="81"/>
            <rFont val="Tahoma"/>
            <family val="2"/>
          </rPr>
          <t xml:space="preserve">~ ZAR 178.6
</t>
        </r>
        <r>
          <rPr>
            <sz val="9"/>
            <color indexed="81"/>
            <rFont val="Tahoma"/>
            <family val="2"/>
          </rPr>
          <t>when using Eskom's web data.</t>
        </r>
      </text>
    </comment>
  </commentList>
</comments>
</file>

<file path=xl/comments9.xml><?xml version="1.0" encoding="utf-8"?>
<comments xmlns="http://schemas.openxmlformats.org/spreadsheetml/2006/main">
  <authors>
    <author>Fadiel Ahjum</author>
  </authors>
  <commentList>
    <comment ref="J17" authorId="0" shapeId="0">
      <text>
        <r>
          <rPr>
            <sz val="9"/>
            <color indexed="81"/>
            <rFont val="Tahoma"/>
            <family val="2"/>
          </rPr>
          <t>By transfer cost</t>
        </r>
      </text>
    </comment>
  </commentList>
</comments>
</file>

<file path=xl/sharedStrings.xml><?xml version="1.0" encoding="utf-8"?>
<sst xmlns="http://schemas.openxmlformats.org/spreadsheetml/2006/main" count="4388" uniqueCount="1837">
  <si>
    <t>New Largo WRP 6</t>
  </si>
  <si>
    <t>Kriel WRP 14</t>
  </si>
  <si>
    <t>Matla WRP 12</t>
  </si>
  <si>
    <t>Xstrata WRP 15</t>
  </si>
  <si>
    <t>Emalahleni WRP – Module 1 25</t>
  </si>
  <si>
    <t>Emalahleni WRP – Module 2 25</t>
  </si>
  <si>
    <t>Middelburg WRP 15</t>
  </si>
  <si>
    <t>Mafube WRP 16</t>
  </si>
  <si>
    <t>Optimum WRP 15</t>
  </si>
  <si>
    <t>Optimum Eikeboom WRP 3</t>
  </si>
  <si>
    <t>Capex</t>
  </si>
  <si>
    <t>Mℓ/day</t>
  </si>
  <si>
    <t>Project Option 1 - Treat and discharge</t>
  </si>
  <si>
    <t>Opex</t>
  </si>
  <si>
    <t>(R/m3)</t>
  </si>
  <si>
    <t>(R/year)</t>
  </si>
  <si>
    <t>(R million)</t>
  </si>
  <si>
    <t>Discharge pumpstations and pipelines</t>
  </si>
  <si>
    <t>Reclamation</t>
  </si>
  <si>
    <t>Plants</t>
  </si>
  <si>
    <t>drate</t>
  </si>
  <si>
    <t>life</t>
  </si>
  <si>
    <t>index</t>
  </si>
  <si>
    <t>Flow</t>
  </si>
  <si>
    <t>OM1</t>
  </si>
  <si>
    <t>OM2</t>
  </si>
  <si>
    <t>opex</t>
  </si>
  <si>
    <t>avail</t>
  </si>
  <si>
    <t>Capex2</t>
  </si>
  <si>
    <t>URVcapex1</t>
  </si>
  <si>
    <t>dFlows</t>
  </si>
  <si>
    <t>URVcapex2</t>
  </si>
  <si>
    <t>URV_OM1</t>
  </si>
  <si>
    <t>URV_OM2</t>
  </si>
  <si>
    <t>avrage</t>
  </si>
  <si>
    <t>median</t>
  </si>
  <si>
    <t>from Vaal study</t>
  </si>
  <si>
    <t>based on SASOL data:</t>
  </si>
  <si>
    <t>-</t>
  </si>
  <si>
    <t>mS/m</t>
  </si>
  <si>
    <t>mg/ℓ</t>
  </si>
  <si>
    <t>TDS</t>
  </si>
  <si>
    <t>Salinity of intake water:</t>
  </si>
  <si>
    <t>Base Case</t>
  </si>
  <si>
    <t>Scenario</t>
  </si>
  <si>
    <t>Waste disposal</t>
  </si>
  <si>
    <t>UF/RO plant</t>
  </si>
  <si>
    <t>E/C plant</t>
  </si>
  <si>
    <t>Capital</t>
  </si>
  <si>
    <t>OM</t>
  </si>
  <si>
    <t>sasolburg</t>
  </si>
  <si>
    <t>secunda</t>
  </si>
  <si>
    <t>Olifants river study</t>
  </si>
  <si>
    <t>Water Supply Cost</t>
  </si>
  <si>
    <t>WMA-NWRS2</t>
  </si>
  <si>
    <t>Description</t>
  </si>
  <si>
    <t>Comments</t>
  </si>
  <si>
    <t>WC1</t>
  </si>
  <si>
    <t>Lephalale</t>
  </si>
  <si>
    <t>Coal</t>
  </si>
  <si>
    <t>WC2</t>
  </si>
  <si>
    <t>VRESS Olifants River</t>
  </si>
  <si>
    <t>WC3</t>
  </si>
  <si>
    <t>VRESS Vaal River</t>
  </si>
  <si>
    <t>WC4</t>
  </si>
  <si>
    <t>Coastal Seawater @ Richards Bay</t>
  </si>
  <si>
    <t>WS1</t>
  </si>
  <si>
    <t xml:space="preserve">Orange River </t>
  </si>
  <si>
    <t>CSP</t>
  </si>
  <si>
    <t>WB1</t>
  </si>
  <si>
    <t>4 &amp; 3</t>
  </si>
  <si>
    <t>n/a</t>
  </si>
  <si>
    <t>Biofuels: KZN</t>
  </si>
  <si>
    <t>WG1</t>
  </si>
  <si>
    <t>Karoo Basin : Orange River</t>
  </si>
  <si>
    <t>Shale: Karoo</t>
  </si>
  <si>
    <t>Olifants River</t>
  </si>
  <si>
    <t>Vaal River</t>
  </si>
  <si>
    <t>WC5</t>
  </si>
  <si>
    <t>WC6</t>
  </si>
  <si>
    <t>Overview-of-Renewable-Energy-Roadmap-Public-Workshop-26Sep2013</t>
  </si>
  <si>
    <t>Supply</t>
  </si>
  <si>
    <t>y</t>
  </si>
  <si>
    <t>Refineries</t>
  </si>
  <si>
    <t>Coal PF Eskom Large Existing</t>
  </si>
  <si>
    <t>Coal PF Eskom Large Dry Existing</t>
  </si>
  <si>
    <t>Coal PF Eskom Small Existing</t>
  </si>
  <si>
    <t>Variable OM</t>
  </si>
  <si>
    <t xml:space="preserve">acre to m2: </t>
  </si>
  <si>
    <t>water</t>
  </si>
  <si>
    <t>area</t>
  </si>
  <si>
    <t>Nicot+Scanlon-[Water Use for Shale-Gas Production in Texas_2012]</t>
  </si>
  <si>
    <t>pixels</t>
  </si>
  <si>
    <t>gas</t>
  </si>
  <si>
    <t>Mm3</t>
  </si>
  <si>
    <t>Gm3</t>
  </si>
  <si>
    <t>values</t>
  </si>
  <si>
    <t>rel:</t>
  </si>
  <si>
    <t>y=</t>
  </si>
  <si>
    <t>rel=</t>
  </si>
  <si>
    <t>Values</t>
  </si>
  <si>
    <t>cf</t>
  </si>
  <si>
    <t>cm</t>
  </si>
  <si>
    <t>tcf</t>
  </si>
  <si>
    <t>ESKOM Water quality impacts-Medupi Power Station (Worksheet in Eskom 2008 - Water Quality Impacts) - calcs</t>
  </si>
  <si>
    <t>mg/L (as ions)</t>
  </si>
  <si>
    <t>TDS of RO influent stream</t>
  </si>
  <si>
    <t>Capital cost; RO-RO</t>
  </si>
  <si>
    <t xml:space="preserve">Capital cost; UF </t>
  </si>
  <si>
    <t>AMD/Shale TDS</t>
  </si>
  <si>
    <t>TDS index</t>
  </si>
  <si>
    <t>Capital index</t>
  </si>
  <si>
    <t>power</t>
  </si>
  <si>
    <t>linear</t>
  </si>
  <si>
    <t>Shale treatment based on:</t>
  </si>
  <si>
    <t>total</t>
  </si>
  <si>
    <t>eMalahleni plant design</t>
  </si>
  <si>
    <t>R/kWh</t>
  </si>
  <si>
    <t>kWh/m3</t>
  </si>
  <si>
    <t>value applied</t>
  </si>
  <si>
    <t>Shale capex factored: avg</t>
  </si>
  <si>
    <t>Shale capex factored: median</t>
  </si>
  <si>
    <t>m3/day</t>
  </si>
  <si>
    <t>varOM elec scaling</t>
  </si>
  <si>
    <t>Median</t>
  </si>
  <si>
    <t>Opex : OM1</t>
  </si>
  <si>
    <t>Opex: OM2</t>
  </si>
  <si>
    <t>Capex1</t>
  </si>
  <si>
    <t>Var1</t>
  </si>
  <si>
    <t>Var2</t>
  </si>
  <si>
    <t>URV_Var1</t>
  </si>
  <si>
    <t>URV_Var2</t>
  </si>
  <si>
    <t>Opex:var1</t>
  </si>
  <si>
    <t>Opex:var2</t>
  </si>
  <si>
    <t>shale gas water volume</t>
  </si>
  <si>
    <t>avg /day</t>
  </si>
  <si>
    <t>Ml/day</t>
  </si>
  <si>
    <t>USA bbl to litre:</t>
  </si>
  <si>
    <t xml:space="preserve">US gal/MWh to l/kWh: </t>
  </si>
  <si>
    <t>CSP mirror washing</t>
  </si>
  <si>
    <t>l/kWh to Mm3/PJ</t>
  </si>
  <si>
    <t>kWh/m3 to PJ/Mm3</t>
  </si>
  <si>
    <t>Secondary</t>
  </si>
  <si>
    <t>Primary</t>
  </si>
  <si>
    <t>Ras, C, (2011)</t>
  </si>
  <si>
    <t>at 90% availibility</t>
  </si>
  <si>
    <t>coagulation</t>
  </si>
  <si>
    <t>Flocculation</t>
  </si>
  <si>
    <t>From eskom 's medupi WTP study</t>
  </si>
  <si>
    <t>PJ/Mm3</t>
  </si>
  <si>
    <t xml:space="preserve"> UF/RO existing</t>
  </si>
  <si>
    <t xml:space="preserve"> UF/RO existing (mokolo)</t>
  </si>
  <si>
    <t xml:space="preserve"> UF/RO - mokolo:croc mix</t>
  </si>
  <si>
    <t xml:space="preserve"> UF/RO croc</t>
  </si>
  <si>
    <t>SASOL secunda SSF</t>
  </si>
  <si>
    <t>Secunda</t>
  </si>
  <si>
    <t>eff</t>
  </si>
  <si>
    <t>SATIM Mm3/PJ extracted estimation</t>
  </si>
  <si>
    <t>mining life:</t>
  </si>
  <si>
    <t>coal reserves</t>
  </si>
  <si>
    <t>Mm3/a</t>
  </si>
  <si>
    <t>AMD treated</t>
  </si>
  <si>
    <t>PJ</t>
  </si>
  <si>
    <t>mil ZAR/Mm3</t>
  </si>
  <si>
    <t>avg</t>
  </si>
  <si>
    <t>TJ</t>
  </si>
  <si>
    <t>DoE EB 2006 COAL</t>
  </si>
  <si>
    <t>Total volume of mining life</t>
  </si>
  <si>
    <t>AMD (bruno)</t>
  </si>
  <si>
    <t>80R/tonne</t>
  </si>
  <si>
    <t>Treatment costs are dominated by TDS levels (Hackney &amp; Wiesner, 1996)</t>
  </si>
  <si>
    <t>kWh/Ml</t>
  </si>
  <si>
    <t>x</t>
  </si>
  <si>
    <t>pixel</t>
  </si>
  <si>
    <t>value</t>
  </si>
  <si>
    <t>Jan</t>
  </si>
  <si>
    <t>–</t>
  </si>
  <si>
    <t>days</t>
  </si>
  <si>
    <t>Feb</t>
  </si>
  <si>
    <t>Mar</t>
  </si>
  <si>
    <t>Apr</t>
  </si>
  <si>
    <t>May</t>
  </si>
  <si>
    <t>Jun</t>
  </si>
  <si>
    <t>Jul</t>
  </si>
  <si>
    <t>Aug</t>
  </si>
  <si>
    <t>Sep</t>
  </si>
  <si>
    <t>Oct</t>
  </si>
  <si>
    <t>Nov</t>
  </si>
  <si>
    <t>Dec</t>
  </si>
  <si>
    <t>invest</t>
  </si>
  <si>
    <t>fix</t>
  </si>
  <si>
    <t>var</t>
  </si>
  <si>
    <t>4,500</t>
  </si>
  <si>
    <t>cap</t>
  </si>
  <si>
    <t>http://www.x-rates.com/average/?from=ZAR&amp;to=USD&amp;amount=1.00&amp;year=2012</t>
  </si>
  <si>
    <t>Cost and Schedule for a Power Plant (606 MW) with Wet FGD Retrofit Technology (NREL,2012)</t>
  </si>
  <si>
    <t>ZAR/MWh</t>
  </si>
  <si>
    <t>ZAR/kW</t>
  </si>
  <si>
    <t>USD (2012)</t>
  </si>
  <si>
    <t>Destination</t>
  </si>
  <si>
    <t>Transport cost (Rands/tonne)</t>
  </si>
  <si>
    <t>Waterberg to Richards Bay Coal Terminal (RBT)</t>
  </si>
  <si>
    <t>258, rising  to 308 in 2015 to account for the cost of building a new rail line from the Waterberg</t>
  </si>
  <si>
    <t>Mpumalanga to RBT</t>
  </si>
  <si>
    <t>Waterberg to Central Basin/Vereeniging</t>
  </si>
  <si>
    <t>SACRM (2013)</t>
  </si>
  <si>
    <t>CB</t>
  </si>
  <si>
    <t>High veld</t>
  </si>
  <si>
    <t>Witbank</t>
  </si>
  <si>
    <t>coal reserve (Mt)</t>
  </si>
  <si>
    <t>ermelo</t>
  </si>
  <si>
    <t>years</t>
  </si>
  <si>
    <t>Mm3 total</t>
  </si>
  <si>
    <t>Mm3/Mt</t>
  </si>
  <si>
    <t>l/kg</t>
  </si>
  <si>
    <t>MJ/kg</t>
  </si>
  <si>
    <t>PJ/kg</t>
  </si>
  <si>
    <t>Mm3/PJ</t>
  </si>
  <si>
    <t>l</t>
  </si>
  <si>
    <t>kg</t>
  </si>
  <si>
    <t>ZAR/m3</t>
  </si>
  <si>
    <t>zar/t</t>
  </si>
  <si>
    <t>Waterberg</t>
  </si>
  <si>
    <t>ZAR/kWh</t>
  </si>
  <si>
    <t xml:space="preserve">total cost of treatment  </t>
  </si>
  <si>
    <t>my numbers</t>
  </si>
  <si>
    <t>fse</t>
  </si>
  <si>
    <t>net eff</t>
  </si>
  <si>
    <t>SATIM-W: cost of new build only</t>
  </si>
  <si>
    <t xml:space="preserve">TIMES input </t>
  </si>
  <si>
    <t>invest cost mR/Mm3</t>
  </si>
  <si>
    <t>Fixed OM mR/year</t>
  </si>
  <si>
    <t>Water resource charge</t>
  </si>
  <si>
    <t>activity cost</t>
  </si>
  <si>
    <t>3 kWh/m3</t>
  </si>
  <si>
    <t>UWC</t>
  </si>
  <si>
    <t>Residual</t>
  </si>
  <si>
    <t>Fixed OM R(x1000)/year</t>
  </si>
  <si>
    <t>total water estimate</t>
  </si>
  <si>
    <t>mine water</t>
  </si>
  <si>
    <t>purchased water</t>
  </si>
  <si>
    <t>Uranium</t>
  </si>
  <si>
    <t>http://www.thermexcel.com/english/tables/vapeau1.htm</t>
  </si>
  <si>
    <t>Absolute</t>
  </si>
  <si>
    <t>pressure</t>
  </si>
  <si>
    <t>Boiling point</t>
  </si>
  <si>
    <t>Specific volume (steam)</t>
  </si>
  <si>
    <t>Density (steam)</t>
  </si>
  <si>
    <t>Specific enthalpy </t>
  </si>
  <si>
    <t>of liquid water (sensible heat)</t>
  </si>
  <si>
    <t>Specific enthalpy of steam</t>
  </si>
  <si>
    <t>(total heat)</t>
  </si>
  <si>
    <t>Latent heat of vaporization</t>
  </si>
  <si>
    <t>Specific heat</t>
  </si>
  <si>
    <t>Dynamic viscosity</t>
  </si>
  <si>
    <t>bar</t>
  </si>
  <si>
    <t>°C</t>
  </si>
  <si>
    <t>m3/kg</t>
  </si>
  <si>
    <t>kg/m3</t>
  </si>
  <si>
    <t>kj/kg</t>
  </si>
  <si>
    <t>Kcal/kg</t>
  </si>
  <si>
    <t>kg/m.s</t>
  </si>
  <si>
    <t>Absolute pressure:</t>
  </si>
  <si>
    <t>Absolute pressure = Gauge Pressure + Atmospheric pressure (Atmospheric pressure at 1,01325 bar, i.e. normal atmospheric pressure on the sea level at 0°C).</t>
  </si>
  <si>
    <t>Boiling point:</t>
  </si>
  <si>
    <t>Temperature of saturated vapour or also of ebullient water under the same pressure.</t>
  </si>
  <si>
    <t>Specific volume of steam:</t>
  </si>
  <si>
    <t>Volume occupied in m3 by 1 kg of steam</t>
  </si>
  <si>
    <t>Mass density (or Density) of the steam:</t>
  </si>
  <si>
    <t>Specific mass of the steam in a volume of 1 m3</t>
  </si>
  <si>
    <t>of liquid water:</t>
  </si>
  <si>
    <t>Sensible Heat, it is the quantity of heat contained in 1 kg of water according to the selected temperature.</t>
  </si>
  <si>
    <t>Specific enthalpy of the steam:</t>
  </si>
  <si>
    <t>It is the total heat contained in 1 kg of steam. It is the sum of the enthalpy of the various states, liquid (water) and gas (vapour)</t>
  </si>
  <si>
    <t>Latent heat of vaporization:</t>
  </si>
  <si>
    <t>Heat necessary to transform 1 kg of ebullient water into vapour without change of temperature (thermal energy necessary during the change of state liquid to the state vapour)</t>
  </si>
  <si>
    <t>Specific heat of steam:</t>
  </si>
  <si>
    <t>Quantity of heat necessary to increase the temperature of one Celsius degree on a unit of mass of 1 kg of steam.</t>
  </si>
  <si>
    <t>Dynamic viscosity:</t>
  </si>
  <si>
    <t>The viscosity of a fluid characterizes the resistance to the movement of the fluid.</t>
  </si>
  <si>
    <t>NB:</t>
  </si>
  <si>
    <t>Energy values in kcal/kg are given on a basis of 4.1868 J, values not normally used.</t>
  </si>
  <si>
    <t>SASOL SYNFUELS: 40 tons per hour (t/h) of 40 bar superheated steam. (REF:sasol,2014b)</t>
  </si>
  <si>
    <t>kJ</t>
  </si>
  <si>
    <t xml:space="preserve"> The Energy content of steam used in the Sasol process of 2,627 MJ/ton comes from a personal communication with Sasol.</t>
  </si>
  <si>
    <t>water/t</t>
  </si>
  <si>
    <t>steam/t</t>
  </si>
  <si>
    <t>m3</t>
  </si>
  <si>
    <t>m3/kt</t>
  </si>
  <si>
    <t>SASOL sustainability report Jume 2013</t>
  </si>
  <si>
    <t>kt of product</t>
  </si>
  <si>
    <t>1 (synthetic)</t>
  </si>
  <si>
    <t>2 (crude)</t>
  </si>
  <si>
    <t>3 (crude)</t>
  </si>
  <si>
    <t>4 (crude)</t>
  </si>
  <si>
    <t>Average</t>
  </si>
  <si>
    <t>monthly</t>
  </si>
  <si>
    <t>feedstock</t>
  </si>
  <si>
    <t>intake</t>
  </si>
  <si>
    <t>(t/month)</t>
  </si>
  <si>
    <t>monthly water</t>
  </si>
  <si>
    <t>(m3/month)</t>
  </si>
  <si>
    <t>Cooling</t>
  </si>
  <si>
    <t>Wash water &amp; other</t>
  </si>
  <si>
    <t>Domestic</t>
  </si>
  <si>
    <t>Refinery 2</t>
  </si>
  <si>
    <t>Refinery 3</t>
  </si>
  <si>
    <t>Refinery 4</t>
  </si>
  <si>
    <t>(martinez et al., 2014)</t>
  </si>
  <si>
    <t>x=</t>
  </si>
  <si>
    <t>zhai&amp;ruben_excelWB-dont edit.png</t>
  </si>
  <si>
    <t>∆</t>
  </si>
  <si>
    <t>Ultra-supercritical</t>
  </si>
  <si>
    <t>value=</t>
  </si>
  <si>
    <t>pixel=</t>
  </si>
  <si>
    <t>T</t>
  </si>
  <si>
    <t>Subcritical</t>
  </si>
  <si>
    <t>Supercritical</t>
  </si>
  <si>
    <t>climate change scenario</t>
  </si>
  <si>
    <t>January</t>
  </si>
  <si>
    <t>February</t>
  </si>
  <si>
    <t>March</t>
  </si>
  <si>
    <t>April</t>
  </si>
  <si>
    <t>June</t>
  </si>
  <si>
    <t>July</t>
  </si>
  <si>
    <t>August</t>
  </si>
  <si>
    <t>September</t>
  </si>
  <si>
    <t>October</t>
  </si>
  <si>
    <t>November</t>
  </si>
  <si>
    <t>December</t>
  </si>
  <si>
    <t>Region</t>
  </si>
  <si>
    <t>A</t>
  </si>
  <si>
    <t>Temperatures</t>
  </si>
  <si>
    <t>mean</t>
  </si>
  <si>
    <t>FID</t>
  </si>
  <si>
    <t>id</t>
  </si>
  <si>
    <t>site_name</t>
  </si>
  <si>
    <t>site_type</t>
  </si>
  <si>
    <t>voltage</t>
  </si>
  <si>
    <t>objectid</t>
  </si>
  <si>
    <t>Make</t>
  </si>
  <si>
    <t>Function</t>
  </si>
  <si>
    <t>ACACIA PS</t>
  </si>
  <si>
    <t>POWERSTATION</t>
  </si>
  <si>
    <t xml:space="preserve"> </t>
  </si>
  <si>
    <t>OPEN CYCLE GAS TURBINE</t>
  </si>
  <si>
    <t>PEAK DEMAND</t>
  </si>
  <si>
    <t>ANKERLIG PS</t>
  </si>
  <si>
    <t>ARNOT PS</t>
  </si>
  <si>
    <t>COAL-FIRED</t>
  </si>
  <si>
    <t>BASE LOAD</t>
  </si>
  <si>
    <t>CAMDEN PS</t>
  </si>
  <si>
    <t>RETURN-TO-SERVICE</t>
  </si>
  <si>
    <t>DARLING PS</t>
  </si>
  <si>
    <t>FUTURE POWERSTATION</t>
  </si>
  <si>
    <t>WIND FARM</t>
  </si>
  <si>
    <t>DRAKENSBERG PS</t>
  </si>
  <si>
    <t>PUMPED STORAGE</t>
  </si>
  <si>
    <t>DUVHA PS</t>
  </si>
  <si>
    <t>GARIEP PS</t>
  </si>
  <si>
    <t>HYDROELECTRIC</t>
  </si>
  <si>
    <t>GOURIKWA PS</t>
  </si>
  <si>
    <t>GROOTVLEI PS</t>
  </si>
  <si>
    <t>HENDRINA PS</t>
  </si>
  <si>
    <t>HEX RIVER PS</t>
  </si>
  <si>
    <t>HIGHVELD PS</t>
  </si>
  <si>
    <t>INGAGANE PS</t>
  </si>
  <si>
    <t>INGULA P/S</t>
  </si>
  <si>
    <t>NEW BUILD</t>
  </si>
  <si>
    <t>KENDAL PS</t>
  </si>
  <si>
    <t>KLIPHEUWEL PS</t>
  </si>
  <si>
    <t>KOEBERG PS</t>
  </si>
  <si>
    <t>NUCLEAR</t>
  </si>
  <si>
    <t>KOMATI PS</t>
  </si>
  <si>
    <t>KRIEL PS</t>
  </si>
  <si>
    <t>KUSILE P/S</t>
  </si>
  <si>
    <t>LETHABO PS</t>
  </si>
  <si>
    <t>MAJUBA PS</t>
  </si>
  <si>
    <t>MATIMBA PS</t>
  </si>
  <si>
    <t>MATLA PS</t>
  </si>
  <si>
    <t>MEDUPI PS</t>
  </si>
  <si>
    <t>PALMIET PS</t>
  </si>
  <si>
    <t>PORT REX PS</t>
  </si>
  <si>
    <t>SALT RIVER PS</t>
  </si>
  <si>
    <t>TUBATSE PS</t>
  </si>
  <si>
    <t>TUTUKA PS</t>
  </si>
  <si>
    <t>VAAL PS</t>
  </si>
  <si>
    <t>VAN DER KLOOF PS</t>
  </si>
  <si>
    <t>WILGE PS</t>
  </si>
  <si>
    <t>max</t>
  </si>
  <si>
    <t>min</t>
  </si>
  <si>
    <t>range</t>
  </si>
  <si>
    <t>Lethabo</t>
  </si>
  <si>
    <t>B/C</t>
  </si>
  <si>
    <t>Water use</t>
  </si>
  <si>
    <t>l/kWh</t>
  </si>
  <si>
    <t>lethabo' like</t>
  </si>
  <si>
    <t>SATIM-W region</t>
  </si>
  <si>
    <t xml:space="preserve">SA Atlas of Climate and </t>
  </si>
  <si>
    <t>1)</t>
  </si>
  <si>
    <t>2)</t>
  </si>
  <si>
    <t>toncoal/ton water</t>
  </si>
  <si>
    <t>%</t>
  </si>
  <si>
    <t>ESTIMATED VOLUME OF WATER PURCHASED BY COLLIERIES. (THE GREEN HOUSE,2013)</t>
  </si>
  <si>
    <t>Mine type</t>
  </si>
  <si>
    <t>Value applied (Ml/Mt of processed coal)</t>
  </si>
  <si>
    <t>Central Basin underground (mine only)</t>
  </si>
  <si>
    <t>Central Basin opencast (mine only)</t>
  </si>
  <si>
    <t>Central Basin combined or unknown</t>
  </si>
  <si>
    <t>Central Basin wash plant only</t>
  </si>
  <si>
    <t>Waterberg mine and wash plant</t>
  </si>
  <si>
    <t>Central Basin average</t>
  </si>
  <si>
    <t>APPROVED DOMESTIC &amp; INDUSTRIAL - RAW WATER TARIFFS 2014/15 FY- CONSUMPTIVE CHARGES</t>
  </si>
  <si>
    <t>Scheme Description</t>
  </si>
  <si>
    <t xml:space="preserve">c/m3 </t>
  </si>
  <si>
    <t>olifants river (loskop dam)</t>
  </si>
  <si>
    <t>Tutuka</t>
  </si>
  <si>
    <t>Matla</t>
  </si>
  <si>
    <t>Matimba</t>
  </si>
  <si>
    <t>Majuba Wet</t>
  </si>
  <si>
    <t>Majuba Dry</t>
  </si>
  <si>
    <t>Kriel</t>
  </si>
  <si>
    <t>Kendal</t>
  </si>
  <si>
    <t>Hendrina</t>
  </si>
  <si>
    <t>Duvha</t>
  </si>
  <si>
    <t>Arnot</t>
  </si>
  <si>
    <t>Komati</t>
  </si>
  <si>
    <t>Grootvlei</t>
  </si>
  <si>
    <t>Camden</t>
  </si>
  <si>
    <t>Simple technologies</t>
  </si>
  <si>
    <t># units</t>
  </si>
  <si>
    <t>Output 2006</t>
  </si>
  <si>
    <t>Heat rate</t>
  </si>
  <si>
    <t>Heat rate or efficiency</t>
  </si>
  <si>
    <t>Sub-category TIMES</t>
  </si>
  <si>
    <t>Lookup row</t>
  </si>
  <si>
    <t>MW</t>
  </si>
  <si>
    <t>GWh</t>
  </si>
  <si>
    <t>Btu/kWh</t>
  </si>
  <si>
    <t>Units</t>
  </si>
  <si>
    <t xml:space="preserve">  </t>
  </si>
  <si>
    <t>Check</t>
  </si>
  <si>
    <t>Cost Quoted</t>
  </si>
  <si>
    <t>Distance Quoted</t>
  </si>
  <si>
    <t>Cost</t>
  </si>
  <si>
    <t>mtons</t>
  </si>
  <si>
    <t>km</t>
  </si>
  <si>
    <t>btonkm</t>
  </si>
  <si>
    <t>Total Cost</t>
  </si>
  <si>
    <t>R/ton</t>
  </si>
  <si>
    <t>R/tonkm</t>
  </si>
  <si>
    <t>bR</t>
  </si>
  <si>
    <t>Conveyor</t>
  </si>
  <si>
    <t>Rail</t>
  </si>
  <si>
    <t>Road</t>
  </si>
  <si>
    <t>Waterberg-Central Basin line upgrade</t>
  </si>
  <si>
    <t>MJkg</t>
  </si>
  <si>
    <t>R/MJ/kg</t>
  </si>
  <si>
    <t>Total</t>
  </si>
  <si>
    <t>Discount Rate</t>
  </si>
  <si>
    <t>Total Capital Cost</t>
  </si>
  <si>
    <t>mR</t>
  </si>
  <si>
    <t>Lead Time</t>
  </si>
  <si>
    <t>IDC</t>
  </si>
  <si>
    <t>Capacity</t>
  </si>
  <si>
    <t>mtpa</t>
  </si>
  <si>
    <t>Life</t>
  </si>
  <si>
    <t>Annualised Capital</t>
  </si>
  <si>
    <t>Capital Cost</t>
  </si>
  <si>
    <t>R/ta</t>
  </si>
  <si>
    <t>Distance</t>
  </si>
  <si>
    <t>Current Tarrif</t>
  </si>
  <si>
    <t>avg CV for low grade</t>
  </si>
  <si>
    <t>mR/PJ</t>
  </si>
  <si>
    <t>Region B</t>
  </si>
  <si>
    <t>Region C (Vaal Dam Vicinity)</t>
  </si>
  <si>
    <t>WSR</t>
  </si>
  <si>
    <t>B</t>
  </si>
  <si>
    <t>C</t>
  </si>
  <si>
    <t>AFA</t>
  </si>
  <si>
    <t>GWh expected (2014)</t>
  </si>
  <si>
    <t xml:space="preserve">Energy generated over last 3 yrs (2014?). </t>
  </si>
  <si>
    <t>c/m3</t>
  </si>
  <si>
    <t>DAW tariff 2014/15 FY</t>
  </si>
  <si>
    <t>2010 deflated</t>
  </si>
  <si>
    <t>Energy production weighted avg</t>
  </si>
  <si>
    <t>Table 21: COSTS FOR COAL MINE WATER TREATMENT IN SATIM-W.</t>
  </si>
  <si>
    <t>Convert From</t>
  </si>
  <si>
    <t>Convert To</t>
  </si>
  <si>
    <t>Investment cost R(x1000)/Mm3 (ZAR 2012)</t>
  </si>
  <si>
    <t>year</t>
  </si>
  <si>
    <t>UF-RO cost</t>
  </si>
  <si>
    <t>mZAR/Mm3</t>
  </si>
  <si>
    <t>mZAR</t>
  </si>
  <si>
    <t>FOM @ 3%</t>
  </si>
  <si>
    <t>Region A</t>
  </si>
  <si>
    <t xml:space="preserve">Year </t>
  </si>
  <si>
    <t>Irrigation</t>
  </si>
  <si>
    <t>Convert</t>
  </si>
  <si>
    <t xml:space="preserve">to </t>
  </si>
  <si>
    <t>Region Supply ID</t>
  </si>
  <si>
    <t>2010 DWA published tariff ?</t>
  </si>
  <si>
    <t>ORANGE RIVER (BOEGOEBERG DAM)-FROM THE RIVER</t>
  </si>
  <si>
    <t>ORANGE RIVER (KAKAMAS)- FROM THE RIVER 18.15</t>
  </si>
  <si>
    <t>Supply + Delivery</t>
  </si>
  <si>
    <r>
      <t>Net UWC (ZAR/m</t>
    </r>
    <r>
      <rPr>
        <vertAlign val="superscript"/>
        <sz val="11"/>
        <color theme="1"/>
        <rFont val="Calibri"/>
        <family val="2"/>
        <scheme val="minor"/>
      </rPr>
      <t>3</t>
    </r>
    <r>
      <rPr>
        <sz val="11"/>
        <color theme="1"/>
        <rFont val="Calibri"/>
        <family val="2"/>
        <scheme val="minor"/>
      </rPr>
      <t>)</t>
    </r>
  </si>
  <si>
    <r>
      <t>Additional System Supply (Mm</t>
    </r>
    <r>
      <rPr>
        <vertAlign val="superscript"/>
        <sz val="11"/>
        <color theme="1"/>
        <rFont val="Calibri"/>
        <family val="2"/>
        <scheme val="minor"/>
      </rPr>
      <t>3</t>
    </r>
    <r>
      <rPr>
        <sz val="11"/>
        <color theme="1"/>
        <rFont val="Calibri"/>
        <family val="2"/>
        <scheme val="minor"/>
      </rPr>
      <t>/a)</t>
    </r>
  </si>
  <si>
    <t>ID</t>
  </si>
  <si>
    <t>NetUWC</t>
  </si>
  <si>
    <t>Cumulative</t>
  </si>
  <si>
    <t>Yield</t>
  </si>
  <si>
    <t>Lephalale (Limpopo)</t>
  </si>
  <si>
    <t>A3</t>
  </si>
  <si>
    <t>A4</t>
  </si>
  <si>
    <t>A6</t>
  </si>
  <si>
    <t>B1</t>
  </si>
  <si>
    <t>B2</t>
  </si>
  <si>
    <t>B3</t>
  </si>
  <si>
    <t>B5</t>
  </si>
  <si>
    <t>Upper Olifants</t>
  </si>
  <si>
    <t>C1</t>
  </si>
  <si>
    <t>C2</t>
  </si>
  <si>
    <t>C3</t>
  </si>
  <si>
    <t>C4</t>
  </si>
  <si>
    <t>C5</t>
  </si>
  <si>
    <t>C7</t>
  </si>
  <si>
    <t>D1</t>
  </si>
  <si>
    <t>D2</t>
  </si>
  <si>
    <t>D3</t>
  </si>
  <si>
    <t>Vaal</t>
  </si>
  <si>
    <t>Hydraulic fracturing: road transport</t>
  </si>
  <si>
    <r>
      <t>WMIN-</t>
    </r>
    <r>
      <rPr>
        <sz val="11"/>
        <color rgb="FF000000"/>
        <rFont val="Calibri"/>
        <family val="2"/>
        <scheme val="minor"/>
      </rPr>
      <t>D1U2</t>
    </r>
  </si>
  <si>
    <r>
      <t>WMIN-</t>
    </r>
    <r>
      <rPr>
        <sz val="11"/>
        <color rgb="FF000000"/>
        <rFont val="Calibri"/>
        <family val="2"/>
        <scheme val="minor"/>
      </rPr>
      <t>D2U2</t>
    </r>
  </si>
  <si>
    <r>
      <t>WMIN-</t>
    </r>
    <r>
      <rPr>
        <sz val="11"/>
        <color rgb="FF000000"/>
        <rFont val="Calibri"/>
        <family val="2"/>
        <scheme val="minor"/>
      </rPr>
      <t>D3U2</t>
    </r>
  </si>
  <si>
    <t>Hydraulic fracturing: pipeline</t>
  </si>
  <si>
    <r>
      <t>WMIN-</t>
    </r>
    <r>
      <rPr>
        <sz val="11"/>
        <color rgb="FF000000"/>
        <rFont val="Calibri"/>
        <family val="2"/>
        <scheme val="minor"/>
      </rPr>
      <t>D1U3</t>
    </r>
  </si>
  <si>
    <r>
      <t>WMIN-</t>
    </r>
    <r>
      <rPr>
        <sz val="11"/>
        <color rgb="FF000000"/>
        <rFont val="Calibri"/>
        <family val="2"/>
        <scheme val="minor"/>
      </rPr>
      <t>D2U3</t>
    </r>
  </si>
  <si>
    <r>
      <t>WMIN-</t>
    </r>
    <r>
      <rPr>
        <sz val="11"/>
        <color rgb="FF000000"/>
        <rFont val="Calibri"/>
        <family val="2"/>
        <scheme val="minor"/>
      </rPr>
      <t>D3U3</t>
    </r>
  </si>
  <si>
    <t>Lower Orange - shale gas road transport</t>
  </si>
  <si>
    <t>Lower Orange - shale gas pipeline</t>
  </si>
  <si>
    <t>ZAR 2010 factor</t>
  </si>
  <si>
    <t>irate</t>
  </si>
  <si>
    <t>repay</t>
  </si>
  <si>
    <t>om rate</t>
  </si>
  <si>
    <t>adc rate</t>
  </si>
  <si>
    <t xml:space="preserve">life </t>
  </si>
  <si>
    <t>elc cost  (ZAR/kWh)</t>
  </si>
  <si>
    <t>Diesel cost</t>
  </si>
  <si>
    <t>Tanker fuel efficiency</t>
  </si>
  <si>
    <t>Tanker capacity</t>
  </si>
  <si>
    <t>CV of Diesel</t>
  </si>
  <si>
    <t>Load factor</t>
  </si>
  <si>
    <t>ZAR/L</t>
  </si>
  <si>
    <t>MJ/L</t>
  </si>
  <si>
    <t>Table 22</t>
  </si>
  <si>
    <t xml:space="preserve">·         Unless otherwise specified the annual maintenance cost (MC) was estimated at approximately 0.265% of the capital cost (DWA, 2010). </t>
  </si>
  <si>
    <t>Estimated unit water cost (UWC) for planned bulk water supply infrastructure to four regions critical for future power generation (Prices in Rand 2010)</t>
  </si>
  <si>
    <t>Water Supply Region</t>
  </si>
  <si>
    <r>
      <t>Scheme Yield (M.m</t>
    </r>
    <r>
      <rPr>
        <b/>
        <vertAlign val="superscript"/>
        <sz val="8"/>
        <color theme="1"/>
        <rFont val="Arial"/>
        <family val="2"/>
      </rPr>
      <t>3</t>
    </r>
    <r>
      <rPr>
        <b/>
        <sz val="8"/>
        <color theme="1"/>
        <rFont val="Arial"/>
        <family val="2"/>
      </rPr>
      <t>/a)</t>
    </r>
  </si>
  <si>
    <t>Energy Requirement</t>
  </si>
  <si>
    <t>Annual O&amp;M Cost</t>
  </si>
  <si>
    <t>CUC*</t>
  </si>
  <si>
    <r>
      <t>ADC</t>
    </r>
    <r>
      <rPr>
        <b/>
        <vertAlign val="superscript"/>
        <sz val="8"/>
        <color theme="1"/>
        <rFont val="Arial"/>
        <family val="2"/>
      </rPr>
      <t>$</t>
    </r>
  </si>
  <si>
    <t>OMC</t>
  </si>
  <si>
    <r>
      <t>EC</t>
    </r>
    <r>
      <rPr>
        <b/>
        <vertAlign val="superscript"/>
        <sz val="8"/>
        <color theme="1"/>
        <rFont val="Arial"/>
        <family val="2"/>
      </rPr>
      <t>#</t>
    </r>
  </si>
  <si>
    <r>
      <t>UWC (R/m</t>
    </r>
    <r>
      <rPr>
        <b/>
        <vertAlign val="superscript"/>
        <sz val="8"/>
        <color theme="1"/>
        <rFont val="Arial"/>
        <family val="2"/>
      </rPr>
      <t>3</t>
    </r>
    <r>
      <rPr>
        <b/>
        <sz val="8"/>
        <color theme="1"/>
        <rFont val="Arial"/>
        <family val="2"/>
      </rPr>
      <t>/a)</t>
    </r>
  </si>
  <si>
    <t>Net UWC (R/m3/a)</t>
  </si>
  <si>
    <t>Note</t>
  </si>
  <si>
    <t>TIMES</t>
  </si>
  <si>
    <r>
      <t>(kWh/m</t>
    </r>
    <r>
      <rPr>
        <b/>
        <vertAlign val="superscript"/>
        <sz val="8"/>
        <color theme="1"/>
        <rFont val="Arial"/>
        <family val="2"/>
      </rPr>
      <t>3</t>
    </r>
    <r>
      <rPr>
        <b/>
        <sz val="8"/>
        <color theme="1"/>
        <rFont val="Arial"/>
        <family val="2"/>
      </rPr>
      <t>)</t>
    </r>
  </si>
  <si>
    <r>
      <t>(R x 10</t>
    </r>
    <r>
      <rPr>
        <b/>
        <vertAlign val="superscript"/>
        <sz val="8"/>
        <color theme="1"/>
        <rFont val="Arial"/>
        <family val="2"/>
      </rPr>
      <t>6</t>
    </r>
    <r>
      <rPr>
        <b/>
        <sz val="8"/>
        <color theme="1"/>
        <rFont val="Arial"/>
        <family val="2"/>
      </rPr>
      <t>)</t>
    </r>
  </si>
  <si>
    <t>ACT_EFF</t>
  </si>
  <si>
    <t>NCAP_ILED</t>
  </si>
  <si>
    <t>NCAP_TLIFE</t>
  </si>
  <si>
    <t>ACT_BND</t>
  </si>
  <si>
    <t>NCAP_COST (mZAR/Mm3)</t>
  </si>
  <si>
    <t>A0</t>
  </si>
  <si>
    <t>Mokolo Croc Phase 1</t>
  </si>
  <si>
    <t>A1</t>
  </si>
  <si>
    <t>A2</t>
  </si>
  <si>
    <t>Reuse and transfer from Vaal</t>
  </si>
  <si>
    <t>Transfer from Vaal</t>
  </si>
  <si>
    <t>Transfer from Zambezi</t>
  </si>
  <si>
    <t>A5</t>
  </si>
  <si>
    <t>Desalination of seawater</t>
  </si>
  <si>
    <t xml:space="preserve">Existing </t>
  </si>
  <si>
    <t>B0</t>
  </si>
  <si>
    <t>Olifants Dam</t>
  </si>
  <si>
    <t>Use of acid mine drainage</t>
  </si>
  <si>
    <t>Transfer from Vaal River</t>
  </si>
  <si>
    <t>Transfer from Zambezi River</t>
  </si>
  <si>
    <t>B4</t>
  </si>
  <si>
    <t>Use of AMD</t>
  </si>
  <si>
    <t>Thukela-Vaal Transfer</t>
  </si>
  <si>
    <t>Orange-Vaal transfer</t>
  </si>
  <si>
    <t>Mzimvubu transfer scheme</t>
  </si>
  <si>
    <t>C6</t>
  </si>
  <si>
    <t>D0</t>
  </si>
  <si>
    <t>Lower Orange</t>
  </si>
  <si>
    <t>Boskraai Dam</t>
  </si>
  <si>
    <t>Mzimvubu kraai Transfer</t>
  </si>
  <si>
    <t>Notes:</t>
  </si>
  <si>
    <t>truck</t>
  </si>
  <si>
    <t>* Annual capital loan repayment over a period of 25 years at 12% interest</t>
  </si>
  <si>
    <r>
      <t>$</t>
    </r>
    <r>
      <rPr>
        <sz val="8"/>
        <color theme="1"/>
        <rFont val="Arial"/>
        <family val="2"/>
      </rPr>
      <t xml:space="preserve"> Assumes 30% depreciation portion and an average lifetime of 40 years</t>
    </r>
  </si>
  <si>
    <r>
      <t>#</t>
    </r>
    <r>
      <rPr>
        <sz val="8"/>
        <color theme="1"/>
        <rFont val="Arial"/>
        <family val="2"/>
      </rPr>
      <t xml:space="preserve"> Based on R0.50 /kWh electricity cost.</t>
    </r>
  </si>
  <si>
    <t>pipeline</t>
  </si>
  <si>
    <t>1 Requires additional cost of transfer to Lephalale</t>
  </si>
  <si>
    <r>
      <t>2 R5/m</t>
    </r>
    <r>
      <rPr>
        <vertAlign val="superscript"/>
        <sz val="8"/>
        <color theme="1"/>
        <rFont val="Arial"/>
        <family val="2"/>
      </rPr>
      <t>3</t>
    </r>
    <r>
      <rPr>
        <sz val="8"/>
        <color theme="1"/>
        <rFont val="Arial"/>
        <family val="2"/>
      </rPr>
      <t xml:space="preserve"> royalties for transfer from Zambezi</t>
    </r>
  </si>
  <si>
    <r>
      <t>3 Excludes R2/m</t>
    </r>
    <r>
      <rPr>
        <vertAlign val="superscript"/>
        <sz val="8"/>
        <color theme="1"/>
        <rFont val="Arial"/>
        <family val="2"/>
      </rPr>
      <t>3</t>
    </r>
    <r>
      <rPr>
        <sz val="8"/>
        <color theme="1"/>
        <rFont val="Arial"/>
        <family val="2"/>
      </rPr>
      <t xml:space="preserve"> water treatment cost</t>
    </r>
  </si>
  <si>
    <t>4 Additional cost of water from LHWPII</t>
  </si>
  <si>
    <t>5 Excludes cost for hydropower station</t>
  </si>
  <si>
    <t>Table 23</t>
  </si>
  <si>
    <t>Estimated unit water cost for delivery of water from bulk infrastructure supply scheme to power plant location. (ZAR 2010)</t>
  </si>
  <si>
    <t>Description of Final Delivery from Bulk water scheme to power plant</t>
  </si>
  <si>
    <r>
      <t>Annual Supply (M.m</t>
    </r>
    <r>
      <rPr>
        <b/>
        <vertAlign val="superscript"/>
        <sz val="8"/>
        <color theme="1"/>
        <rFont val="Arial"/>
        <family val="2"/>
      </rPr>
      <t>3</t>
    </r>
    <r>
      <rPr>
        <b/>
        <sz val="8"/>
        <color theme="1"/>
        <rFont val="Arial"/>
        <family val="2"/>
      </rPr>
      <t>)</t>
    </r>
  </si>
  <si>
    <t xml:space="preserve">Capital Cost </t>
  </si>
  <si>
    <t xml:space="preserve">O &amp; M Cost </t>
  </si>
  <si>
    <r>
      <t>Energy Requirement (kWh/m</t>
    </r>
    <r>
      <rPr>
        <b/>
        <vertAlign val="superscript"/>
        <sz val="8"/>
        <color theme="1"/>
        <rFont val="Arial"/>
        <family val="2"/>
      </rPr>
      <t>3</t>
    </r>
    <r>
      <rPr>
        <b/>
        <sz val="8"/>
        <color theme="1"/>
        <rFont val="Arial"/>
        <family val="2"/>
      </rPr>
      <t>)</t>
    </r>
  </si>
  <si>
    <r>
      <t>Fuel Cost (R x 10</t>
    </r>
    <r>
      <rPr>
        <b/>
        <vertAlign val="superscript"/>
        <sz val="8"/>
        <color theme="1"/>
        <rFont val="Arial"/>
        <family val="2"/>
      </rPr>
      <t>6</t>
    </r>
    <r>
      <rPr>
        <b/>
        <sz val="8"/>
        <color theme="1"/>
        <rFont val="Arial"/>
        <family val="2"/>
      </rPr>
      <t>)</t>
    </r>
  </si>
  <si>
    <t xml:space="preserve">CUC* </t>
  </si>
  <si>
    <r>
      <t>ADC</t>
    </r>
    <r>
      <rPr>
        <b/>
        <vertAlign val="superscript"/>
        <sz val="8"/>
        <color theme="1"/>
        <rFont val="Arial"/>
        <family val="2"/>
      </rPr>
      <t>$</t>
    </r>
    <r>
      <rPr>
        <b/>
        <sz val="8"/>
        <color theme="1"/>
        <rFont val="Arial"/>
        <family val="2"/>
      </rPr>
      <t xml:space="preserve"> </t>
    </r>
  </si>
  <si>
    <r>
      <t>(R x 10</t>
    </r>
    <r>
      <rPr>
        <b/>
        <vertAlign val="superscript"/>
        <sz val="8"/>
        <color theme="1"/>
        <rFont val="Arial"/>
        <family val="2"/>
      </rPr>
      <t>6</t>
    </r>
    <r>
      <rPr>
        <b/>
        <sz val="8"/>
        <color theme="1"/>
        <rFont val="Arial"/>
        <family val="2"/>
      </rPr>
      <t>/a)</t>
    </r>
  </si>
  <si>
    <t>Gravity pipeline from Lephalale</t>
  </si>
  <si>
    <t>Pipeline from Olifants Dam</t>
  </si>
  <si>
    <t>Reuse AMD - pipeline from dam in Upper Olifants</t>
  </si>
  <si>
    <t>Import Vaal Dam - pipeline from dam in Upper Olifants</t>
  </si>
  <si>
    <t>Zambezi water - pipeline from Mokopane</t>
  </si>
  <si>
    <t>CSP - Pipeline pumping directly from Orange River</t>
  </si>
  <si>
    <t>Hydraulic fracturing – road transport</t>
  </si>
  <si>
    <t>Hydraulic fracturing - pipeline</t>
  </si>
  <si>
    <t>Hydraulic fracturing - groundwater</t>
  </si>
  <si>
    <t>D4</t>
  </si>
  <si>
    <t>*Annual capital loan repayment over a period of 25 years at 12% interest</t>
  </si>
  <si>
    <r>
      <t>$</t>
    </r>
    <r>
      <rPr>
        <sz val="8"/>
        <color rgb="FF353D30"/>
        <rFont val="Arial"/>
        <family val="2"/>
      </rPr>
      <t>Assumes 30% depreciation portion and an average lifetime of 40 years</t>
    </r>
  </si>
  <si>
    <r>
      <t>#</t>
    </r>
    <r>
      <rPr>
        <sz val="8"/>
        <color rgb="FF353D30"/>
        <rFont val="Arial"/>
        <family val="2"/>
      </rPr>
      <t>Using R0.50 /kWh electricity cost.</t>
    </r>
  </si>
  <si>
    <t>ACT_COST</t>
  </si>
  <si>
    <t>mZAR/PJ</t>
  </si>
  <si>
    <t>ZAR 2010</t>
  </si>
  <si>
    <t>yrs</t>
  </si>
  <si>
    <t>elc</t>
  </si>
  <si>
    <t>diesel</t>
  </si>
  <si>
    <t>PRACT_FLO</t>
  </si>
  <si>
    <t xml:space="preserve">NCAP_COST </t>
  </si>
  <si>
    <t>NCAP_FOM</t>
  </si>
  <si>
    <t>U3WA-P1-D2</t>
  </si>
  <si>
    <t>Supply+Delivery</t>
  </si>
  <si>
    <t>Delivery</t>
  </si>
  <si>
    <t>Avg distance for return trip.</t>
  </si>
  <si>
    <t>U2WA-P1-D2</t>
  </si>
  <si>
    <t>U1WA-P1-D1</t>
  </si>
  <si>
    <t>WMIN-B0</t>
  </si>
  <si>
    <t>WMIN-B1</t>
  </si>
  <si>
    <t>WMIN-B2</t>
  </si>
  <si>
    <t>WMIN-B3</t>
  </si>
  <si>
    <t>WMIN-B4</t>
  </si>
  <si>
    <t>WMIN-B5</t>
  </si>
  <si>
    <t>WMIN-C1</t>
  </si>
  <si>
    <t>WMIN-C2</t>
  </si>
  <si>
    <t>WMIN-C3</t>
  </si>
  <si>
    <t>WMIN-C4</t>
  </si>
  <si>
    <t>WMIN-C5</t>
  </si>
  <si>
    <t>WMIN-C6</t>
  </si>
  <si>
    <t>WMIN-C7</t>
  </si>
  <si>
    <t>WMIN-D0</t>
  </si>
  <si>
    <t>WMIN-D1</t>
  </si>
  <si>
    <t>WMIN-D2</t>
  </si>
  <si>
    <t>WMIN-D3</t>
  </si>
  <si>
    <t>WMIN-C0</t>
  </si>
  <si>
    <t>WMIN-A0</t>
  </si>
  <si>
    <t>WMIN-A1</t>
  </si>
  <si>
    <t>WMIN-A3</t>
  </si>
  <si>
    <t>WMIN-A4</t>
  </si>
  <si>
    <t>WMIN-A5</t>
  </si>
  <si>
    <t>WMIN-A6</t>
  </si>
  <si>
    <t>MOGOL RIVER (MOKOLO DAM) MCWAP-1</t>
  </si>
  <si>
    <t>WRM</t>
  </si>
  <si>
    <t xml:space="preserve">Water charges </t>
  </si>
  <si>
    <t>WMIN-DK0</t>
  </si>
  <si>
    <t>PRC_NOFF:BOH</t>
  </si>
  <si>
    <t>Delivery modelled separatedly</t>
  </si>
  <si>
    <t>No associated delivery. Direct to Vaal dam?</t>
  </si>
  <si>
    <t>LHWP II (Polihali Dam)</t>
  </si>
  <si>
    <t>D</t>
  </si>
  <si>
    <t xml:space="preserve">cooling </t>
  </si>
  <si>
    <t>W</t>
  </si>
  <si>
    <t xml:space="preserve">Raw water use </t>
  </si>
  <si>
    <t>Boiler makeup</t>
  </si>
  <si>
    <t>Plant</t>
  </si>
  <si>
    <t>SATIM Category</t>
  </si>
  <si>
    <t>Net Capacity</t>
  </si>
  <si>
    <t>Cooling Type</t>
  </si>
  <si>
    <t>Raw water use</t>
  </si>
  <si>
    <t>Demin water use</t>
  </si>
  <si>
    <t>Water Supply ID</t>
  </si>
  <si>
    <t>Climatic Zone</t>
  </si>
  <si>
    <t>(l/kWh)</t>
  </si>
  <si>
    <t>Large Dry Existing</t>
  </si>
  <si>
    <t>Direct Dry (ACC)</t>
  </si>
  <si>
    <t>Hot interior</t>
  </si>
  <si>
    <t>Medupi</t>
  </si>
  <si>
    <t>Supercritical New</t>
  </si>
  <si>
    <t>Indirect-dry</t>
  </si>
  <si>
    <t>Cold interior</t>
  </si>
  <si>
    <t>Large Existing</t>
  </si>
  <si>
    <t>Wet closed cycle</t>
  </si>
  <si>
    <t>Small Existing</t>
  </si>
  <si>
    <t>Kusile</t>
  </si>
  <si>
    <t>Small existing</t>
  </si>
  <si>
    <r>
      <t>Majuba Wet</t>
    </r>
    <r>
      <rPr>
        <b/>
        <vertAlign val="superscript"/>
        <sz val="10"/>
        <color rgb="FF000000"/>
        <rFont val="Calibri"/>
        <family val="2"/>
        <scheme val="minor"/>
      </rPr>
      <t>1</t>
    </r>
  </si>
  <si>
    <t>3 units: Wet cooled</t>
  </si>
  <si>
    <t>3 units: Direct Dry (ACC)</t>
  </si>
  <si>
    <r>
      <t>Grootvlei</t>
    </r>
    <r>
      <rPr>
        <b/>
        <vertAlign val="superscript"/>
        <sz val="10"/>
        <color rgb="FF000000"/>
        <rFont val="Calibri"/>
        <family val="2"/>
        <scheme val="minor"/>
      </rPr>
      <t>2</t>
    </r>
  </si>
  <si>
    <t>Wet/Dry</t>
  </si>
  <si>
    <t>WA-H1</t>
  </si>
  <si>
    <t>WA-P1</t>
  </si>
  <si>
    <t>Max deviation</t>
  </si>
  <si>
    <t>Net Capacity
Eskom (2014)</t>
  </si>
  <si>
    <t>Efficiency @ 2010
Eskom (2014)</t>
  </si>
  <si>
    <t xml:space="preserve">Max unit capacity
</t>
  </si>
  <si>
    <t>Total Cap before 2010
IRP</t>
  </si>
  <si>
    <t>Using Eskom (2014) efficiencies with IRP capacities
{email eskom to clarify}</t>
  </si>
  <si>
    <t>Efficiency
in SATIM</t>
  </si>
  <si>
    <t>ETCLEPFW-C-E</t>
  </si>
  <si>
    <t>Coal PF Eskom Wet Existing</t>
  </si>
  <si>
    <t>Coal PF Eskom Dry  Existing</t>
  </si>
  <si>
    <t>Coal PF Eskom Existing Hybrid</t>
  </si>
  <si>
    <t>H</t>
  </si>
  <si>
    <t>Remove ACT_COST?</t>
  </si>
  <si>
    <t>ETCLESCW-B-N</t>
  </si>
  <si>
    <t>NCAP_COST</t>
  </si>
  <si>
    <t>ETCLESCD-B-N</t>
  </si>
  <si>
    <t>Supercritical Coal Wet Cooled WSR-B</t>
  </si>
  <si>
    <t>Supercritical Coal Dry Cooled WSR-B</t>
  </si>
  <si>
    <t>raw</t>
  </si>
  <si>
    <t>demin</t>
  </si>
  <si>
    <t>ETCLESCD-C-N</t>
  </si>
  <si>
    <t>SATIM-IND-Mining-COAL.xls</t>
  </si>
  <si>
    <t>refer to:</t>
  </si>
  <si>
    <t>ETCLESCW-A-N</t>
  </si>
  <si>
    <t>Supercritical Coal Wet Cooled WSR-A</t>
  </si>
  <si>
    <t>Mean Temp</t>
  </si>
  <si>
    <t>oC</t>
  </si>
  <si>
    <t>ETCLESCW-C-N</t>
  </si>
  <si>
    <t>SATIM</t>
  </si>
  <si>
    <t>CSP Parabolic Trough (EPRI,2012)</t>
  </si>
  <si>
    <t>CSP Central Receiver (EPRI,2012)</t>
  </si>
  <si>
    <t>ERSOLTC03D-D-N</t>
  </si>
  <si>
    <t>ERSOLTT00D-D-N</t>
  </si>
  <si>
    <t>ERSOLTT03D-D-N</t>
  </si>
  <si>
    <t>ERSOLTT09D-D-N</t>
  </si>
  <si>
    <t>ERSOLTT00W-D-N</t>
  </si>
  <si>
    <t>ERSOLTT03W-D-N</t>
  </si>
  <si>
    <t>ERSOLTT09W-D-N</t>
  </si>
  <si>
    <t>Solar Parabolic Trough 0 storage Wet</t>
  </si>
  <si>
    <t>Solar Parabolic Trough 03 hrs storage Wet</t>
  </si>
  <si>
    <t>Solar Parabolic Trough 06 hrs storage Wet</t>
  </si>
  <si>
    <t>Solar Parabolic Trough 09 hrs storage Wet</t>
  </si>
  <si>
    <t>Solar Central Receiver 03 hrs storage Wet</t>
  </si>
  <si>
    <t>Solar Central Receiver 06 hrs storage Wet</t>
  </si>
  <si>
    <t>Solar Central Receiver 09 hrs storage Wet</t>
  </si>
  <si>
    <t>Solar Central Receiver 12 hrs storage Wet</t>
  </si>
  <si>
    <t>ERSOLTC03W-D-N</t>
  </si>
  <si>
    <t>ERSOLTC09W-D-N</t>
  </si>
  <si>
    <t>ERSOLTC12W-D-N</t>
  </si>
  <si>
    <t>ERSOLTT06W-D-N</t>
  </si>
  <si>
    <t>ERSOLTC06W-D-N</t>
  </si>
  <si>
    <t>ERSOLTT06D-D-N</t>
  </si>
  <si>
    <t>ERSOLTC06D-D-N</t>
  </si>
  <si>
    <t>ERSOLTC09D-D-N</t>
  </si>
  <si>
    <t>ERSOLTC12D-D-N</t>
  </si>
  <si>
    <t>Solar Central Receiver 03 hrs storage Dry</t>
  </si>
  <si>
    <t>Solar Parabolic Trough 0 storage Dry</t>
  </si>
  <si>
    <t>Solar Parabolic Trough 3 storage Dry</t>
  </si>
  <si>
    <t>Solar Parabolic Trough 6 storage Dry</t>
  </si>
  <si>
    <t>Solar Parabolic Trough 9 storage Dry</t>
  </si>
  <si>
    <t>Solar Central Receiver 06 hrs storage Dry</t>
  </si>
  <si>
    <t>Solar Central Receiver 09 hrs storage Dry</t>
  </si>
  <si>
    <t>Solar Central Receiver 12 hrs storage Dry</t>
  </si>
  <si>
    <t>ETGIHCCD-D-N</t>
  </si>
  <si>
    <t>Power Plant</t>
  </si>
  <si>
    <t>Raw</t>
  </si>
  <si>
    <t>OCGT</t>
  </si>
  <si>
    <t>NGCC-Dry</t>
  </si>
  <si>
    <t>NGCC-Wet</t>
  </si>
  <si>
    <t>Combined Cycle Gas Turbine Shale Dry: WSR-D2 (Wet NOx)</t>
  </si>
  <si>
    <t>Open Cycle Gas Turbine Shale Dry: WSR-D2 (Wet NOx)</t>
  </si>
  <si>
    <t>raw with FDG</t>
  </si>
  <si>
    <t>WA-P1-x</t>
  </si>
  <si>
    <t>WA-H1-x</t>
  </si>
  <si>
    <t>ZAR (2012)</t>
  </si>
  <si>
    <t>ZAR (2010)</t>
  </si>
  <si>
    <t>WET</t>
  </si>
  <si>
    <t>Semi-DRY</t>
  </si>
  <si>
    <t>FDG efficiency penalty</t>
  </si>
  <si>
    <t>water withdrawal</t>
  </si>
  <si>
    <t xml:space="preserve">FDG </t>
  </si>
  <si>
    <t>NEW</t>
  </si>
  <si>
    <t>UCTLCLEIN-B-E</t>
  </si>
  <si>
    <t>Refinery CTL Existing WSR-B</t>
  </si>
  <si>
    <t>EXIST</t>
  </si>
  <si>
    <t>Refinery 1 (CTL)</t>
  </si>
  <si>
    <t>Coal Calorific Value (Synfuels)</t>
  </si>
  <si>
    <t>GJ/ton</t>
  </si>
  <si>
    <t>SynfuelS:</t>
  </si>
  <si>
    <t xml:space="preserve">water usage </t>
  </si>
  <si>
    <t>m3/GJ or Mm3/PJ</t>
  </si>
  <si>
    <t>Coal Material Input</t>
  </si>
  <si>
    <t>Total Output</t>
  </si>
  <si>
    <t>Coal usage per unit product</t>
  </si>
  <si>
    <t>EXISTING</t>
  </si>
  <si>
    <t>WA-P1-A</t>
  </si>
  <si>
    <t>WA-H1-A</t>
  </si>
  <si>
    <t>raw with FGD</t>
  </si>
  <si>
    <t>ETCLEPFSS-B-E</t>
  </si>
  <si>
    <t>Sasol SSF: WSR-B</t>
  </si>
  <si>
    <t>water volume per product (energy)</t>
  </si>
  <si>
    <t>TOPIN</t>
  </si>
  <si>
    <t>TOPOUT</t>
  </si>
  <si>
    <t>units</t>
  </si>
  <si>
    <t>PWRCLE-A</t>
  </si>
  <si>
    <t>ELCC</t>
  </si>
  <si>
    <t>PWRENV</t>
  </si>
  <si>
    <t>R</t>
  </si>
  <si>
    <t>PWRCME-R</t>
  </si>
  <si>
    <t>raw-seawater</t>
  </si>
  <si>
    <t>raw-seawater with FGD-seawater</t>
  </si>
  <si>
    <t xml:space="preserve">Supercritical Coal Wet Cooled Open Cycle Seawater  WSR-R </t>
  </si>
  <si>
    <t>ETCMESCO-R-N</t>
  </si>
  <si>
    <t>BOH</t>
  </si>
  <si>
    <r>
      <t>Mean Temp (</t>
    </r>
    <r>
      <rPr>
        <b/>
        <vertAlign val="superscript"/>
        <sz val="11"/>
        <color theme="1"/>
        <rFont val="Calibri"/>
        <family val="2"/>
        <scheme val="minor"/>
      </rPr>
      <t>o</t>
    </r>
    <r>
      <rPr>
        <b/>
        <sz val="11"/>
        <color theme="1"/>
        <rFont val="Calibri"/>
        <family val="2"/>
        <scheme val="minor"/>
      </rPr>
      <t>C)</t>
    </r>
  </si>
  <si>
    <t>TIMES Name</t>
  </si>
  <si>
    <t>MINCLE3-B</t>
  </si>
  <si>
    <t>Extraction of Coal - Dual Product - exports</t>
  </si>
  <si>
    <t>ELC</t>
  </si>
  <si>
    <t>WA-P1-B</t>
  </si>
  <si>
    <t>ODS</t>
  </si>
  <si>
    <t>CME</t>
  </si>
  <si>
    <t>CH4SF</t>
  </si>
  <si>
    <t>kt/PJ</t>
  </si>
  <si>
    <t>VARIABLE_TS</t>
  </si>
  <si>
    <t>VARIABLE_TID</t>
  </si>
  <si>
    <t>PRC_ACTFLO</t>
  </si>
  <si>
    <t xml:space="preserve">Supercritical Coal Dry Cooled </t>
  </si>
  <si>
    <t>Supercritical Coal Wet Cooled</t>
  </si>
  <si>
    <t>WA-H1-B</t>
  </si>
  <si>
    <t>PWRCLE-B</t>
  </si>
  <si>
    <t>PRC_RESID</t>
  </si>
  <si>
    <t>EWR</t>
  </si>
  <si>
    <t>Major User Group</t>
  </si>
  <si>
    <r>
      <t>Annual Water Requirement (M.m</t>
    </r>
    <r>
      <rPr>
        <b/>
        <vertAlign val="superscript"/>
        <sz val="9"/>
        <color theme="1"/>
        <rFont val="Arial"/>
        <family val="2"/>
      </rPr>
      <t>3</t>
    </r>
    <r>
      <rPr>
        <b/>
        <sz val="9"/>
        <color theme="1"/>
        <rFont val="Arial"/>
        <family val="2"/>
      </rPr>
      <t>/a)</t>
    </r>
  </si>
  <si>
    <t>Rand Water</t>
  </si>
  <si>
    <t>Mittal Steel</t>
  </si>
  <si>
    <t xml:space="preserve">ESKOM </t>
  </si>
  <si>
    <t>SASOL (Sasolburg)</t>
  </si>
  <si>
    <t>Midvaal Water Company</t>
  </si>
  <si>
    <t>Sediberg Water</t>
  </si>
  <si>
    <t>Other towns and industries</t>
  </si>
  <si>
    <t>Vaalharts/Lower Vaal Irrigation</t>
  </si>
  <si>
    <t>Other irrigation</t>
  </si>
  <si>
    <t>Wetland/River Losses</t>
  </si>
  <si>
    <t>Table 8 Summary of water requirement for Vaal system</t>
  </si>
  <si>
    <t>Management Zone</t>
  </si>
  <si>
    <r>
      <t>Irrigation (M.m</t>
    </r>
    <r>
      <rPr>
        <b/>
        <vertAlign val="superscript"/>
        <sz val="9"/>
        <color theme="1"/>
        <rFont val="Arial"/>
        <family val="2"/>
      </rPr>
      <t>3</t>
    </r>
    <r>
      <rPr>
        <b/>
        <sz val="9"/>
        <color theme="1"/>
        <rFont val="Arial"/>
        <family val="2"/>
      </rPr>
      <t>/a)</t>
    </r>
  </si>
  <si>
    <r>
      <t>Domestic &amp; Industrial (M.m</t>
    </r>
    <r>
      <rPr>
        <b/>
        <vertAlign val="superscript"/>
        <sz val="9"/>
        <color theme="1"/>
        <rFont val="Arial"/>
        <family val="2"/>
      </rPr>
      <t>3</t>
    </r>
    <r>
      <rPr>
        <b/>
        <sz val="9"/>
        <color theme="1"/>
        <rFont val="Arial"/>
        <family val="2"/>
      </rPr>
      <t>/a)</t>
    </r>
  </si>
  <si>
    <r>
      <t>Mining (M.m</t>
    </r>
    <r>
      <rPr>
        <b/>
        <vertAlign val="superscript"/>
        <sz val="9"/>
        <color theme="1"/>
        <rFont val="Arial"/>
        <family val="2"/>
      </rPr>
      <t>3</t>
    </r>
    <r>
      <rPr>
        <b/>
        <sz val="9"/>
        <color theme="1"/>
        <rFont val="Arial"/>
        <family val="2"/>
      </rPr>
      <t>/a)</t>
    </r>
  </si>
  <si>
    <r>
      <t>Power Generation (M.m</t>
    </r>
    <r>
      <rPr>
        <b/>
        <vertAlign val="superscript"/>
        <sz val="9"/>
        <color theme="1"/>
        <rFont val="Arial"/>
        <family val="2"/>
      </rPr>
      <t>3</t>
    </r>
    <r>
      <rPr>
        <b/>
        <sz val="9"/>
        <color theme="1"/>
        <rFont val="Arial"/>
        <family val="2"/>
      </rPr>
      <t>/a)</t>
    </r>
  </si>
  <si>
    <t>Total Requirements</t>
  </si>
  <si>
    <r>
      <t>(M.m</t>
    </r>
    <r>
      <rPr>
        <b/>
        <vertAlign val="superscript"/>
        <sz val="9"/>
        <color theme="1"/>
        <rFont val="Arial"/>
        <family val="2"/>
      </rPr>
      <t>3</t>
    </r>
    <r>
      <rPr>
        <b/>
        <sz val="9"/>
        <color theme="1"/>
        <rFont val="Arial"/>
        <family val="2"/>
      </rPr>
      <t>/a)</t>
    </r>
  </si>
  <si>
    <r>
      <t>Total Available Resource (M.m</t>
    </r>
    <r>
      <rPr>
        <b/>
        <vertAlign val="superscript"/>
        <sz val="9"/>
        <color theme="1"/>
        <rFont val="Arial"/>
        <family val="2"/>
      </rPr>
      <t>3</t>
    </r>
    <r>
      <rPr>
        <b/>
        <sz val="9"/>
        <color theme="1"/>
        <rFont val="Arial"/>
        <family val="2"/>
      </rPr>
      <t>/a)</t>
    </r>
  </si>
  <si>
    <t>Middle Olifants</t>
  </si>
  <si>
    <t>Lower Olifants</t>
  </si>
  <si>
    <t>Table 5 Summary of Water Requirements (2010) in the Olifants System (Aurecon, 2011)</t>
  </si>
  <si>
    <t>Domestic/Urban Demand</t>
  </si>
  <si>
    <t>Operating requirements</t>
  </si>
  <si>
    <t>River Mouth Environmental requirement</t>
  </si>
  <si>
    <t>Table 10 Orange River System demand</t>
  </si>
  <si>
    <t>Existing plants in B/C grouped by coal supply region</t>
  </si>
  <si>
    <t>Eskom</t>
  </si>
  <si>
    <t>IPPs</t>
  </si>
  <si>
    <t>Coal Mining (power generation)</t>
  </si>
  <si>
    <t>Exxaro Projects</t>
  </si>
  <si>
    <t>SASOL (Mafutha 1)</t>
  </si>
  <si>
    <t>Municipality</t>
  </si>
  <si>
    <t>Table 9 Lephalale water requirements per major user group</t>
  </si>
  <si>
    <t>Region C</t>
  </si>
  <si>
    <t>Region D</t>
  </si>
  <si>
    <t>Other</t>
  </si>
  <si>
    <r>
      <t>Total Water Resource (M.m</t>
    </r>
    <r>
      <rPr>
        <b/>
        <vertAlign val="superscript"/>
        <sz val="9"/>
        <color theme="1"/>
        <rFont val="Arial"/>
        <family val="2"/>
      </rPr>
      <t>3</t>
    </r>
    <r>
      <rPr>
        <b/>
        <sz val="9"/>
        <color theme="1"/>
        <rFont val="Arial"/>
        <family val="2"/>
      </rPr>
      <t>/a)</t>
    </r>
  </si>
  <si>
    <r>
      <t>Water Requirement (M.m</t>
    </r>
    <r>
      <rPr>
        <b/>
        <vertAlign val="superscript"/>
        <sz val="9"/>
        <color theme="1"/>
        <rFont val="Arial"/>
        <family val="2"/>
      </rPr>
      <t>3</t>
    </r>
    <r>
      <rPr>
        <b/>
        <sz val="9"/>
        <color theme="1"/>
        <rFont val="Arial"/>
        <family val="2"/>
      </rPr>
      <t>/a)</t>
    </r>
  </si>
  <si>
    <r>
      <t>EWR (M.m</t>
    </r>
    <r>
      <rPr>
        <b/>
        <vertAlign val="superscript"/>
        <sz val="9"/>
        <color theme="1"/>
        <rFont val="Arial"/>
        <family val="2"/>
      </rPr>
      <t>3</t>
    </r>
    <r>
      <rPr>
        <b/>
        <sz val="9"/>
        <color theme="1"/>
        <rFont val="Arial"/>
        <family val="2"/>
      </rPr>
      <t>/a)</t>
    </r>
  </si>
  <si>
    <r>
      <t>Water Balance (M.m</t>
    </r>
    <r>
      <rPr>
        <b/>
        <vertAlign val="superscript"/>
        <sz val="9"/>
        <color theme="1"/>
        <rFont val="Arial"/>
        <family val="2"/>
      </rPr>
      <t>3</t>
    </r>
    <r>
      <rPr>
        <b/>
        <sz val="9"/>
        <color theme="1"/>
        <rFont val="Arial"/>
        <family val="2"/>
      </rPr>
      <t>/a)</t>
    </r>
  </si>
  <si>
    <t>Table 6 Olifants 2030 Water Balance (Aurecon, 2011)</t>
  </si>
  <si>
    <t>Non-energy water demands</t>
  </si>
  <si>
    <t>Commodities</t>
  </si>
  <si>
    <t>TIMES name</t>
  </si>
  <si>
    <t>ELCDEMOTH</t>
  </si>
  <si>
    <t>Electricty demand non-Energy: non-Agriculture</t>
  </si>
  <si>
    <t>Electricty demand Export</t>
  </si>
  <si>
    <t>ELCDEMXPT</t>
  </si>
  <si>
    <t>DAYNITE</t>
  </si>
  <si>
    <t>ANNUAL</t>
  </si>
  <si>
    <t>Z</t>
  </si>
  <si>
    <t>DMDOTHELC-Z</t>
  </si>
  <si>
    <t>DMDOTHWAT-A</t>
  </si>
  <si>
    <t>Non-energy non-agriculture water demand:region A (Lephalele)</t>
  </si>
  <si>
    <t>E</t>
  </si>
  <si>
    <t>WATDEMOTH-A</t>
  </si>
  <si>
    <t>Dummy non-Energy national elec service demand</t>
  </si>
  <si>
    <t>Region R</t>
  </si>
  <si>
    <t>REGION1</t>
  </si>
  <si>
    <t>*</t>
  </si>
  <si>
    <t>Parameter</t>
  </si>
  <si>
    <t>Agriculture</t>
  </si>
  <si>
    <t>Commerce</t>
  </si>
  <si>
    <t>Industry</t>
  </si>
  <si>
    <t>Residential</t>
  </si>
  <si>
    <t>Transport</t>
  </si>
  <si>
    <t>COM_PROJ</t>
  </si>
  <si>
    <t>WATDEMOTH-B</t>
  </si>
  <si>
    <t>Type</t>
  </si>
  <si>
    <t>Table 5  Olifants System 2010 Water Requirements</t>
  </si>
  <si>
    <t>Non energy subtotal</t>
  </si>
  <si>
    <t>WATDEMOTH-C</t>
  </si>
  <si>
    <t>WA-P1-C</t>
  </si>
  <si>
    <t>DMDOTHWAT-C</t>
  </si>
  <si>
    <t>DMDOTHWAT-B</t>
  </si>
  <si>
    <t>WATDEMOTH-D</t>
  </si>
  <si>
    <t>UPSWA-P1-D</t>
  </si>
  <si>
    <t>Commercial</t>
  </si>
  <si>
    <t>Existing Infrastructure</t>
  </si>
  <si>
    <t>WT-1H1-A</t>
  </si>
  <si>
    <t>Pretreatment UF-RO</t>
  </si>
  <si>
    <t>WA1-A</t>
  </si>
  <si>
    <t>WA0-A</t>
  </si>
  <si>
    <t>Sasol Infrachem (Upper Vaal): WSR-C</t>
  </si>
  <si>
    <t>ETCLEPFSI-C-E</t>
  </si>
  <si>
    <t>PWRCLE-C</t>
  </si>
  <si>
    <t>ETGASGT-C-N</t>
  </si>
  <si>
    <t>Open Cycle Gas Turbine - Inland: WSR-C (Wet NOx)</t>
  </si>
  <si>
    <t>WA-H1-C</t>
  </si>
  <si>
    <t>Combined Cycle Gas Turbine - Inland -WSR-C</t>
  </si>
  <si>
    <t>ETGASCC-C-N</t>
  </si>
  <si>
    <t>EFF</t>
  </si>
  <si>
    <t>Supercritical Coal Dry Cooled  -no FGD</t>
  </si>
  <si>
    <t>Supercritical Coal Dry Cooled with FGD</t>
  </si>
  <si>
    <t>ETCLESCD-A-N</t>
  </si>
  <si>
    <t>ETCLESCD-A-NF</t>
  </si>
  <si>
    <t>Downloaded from StatsSA: CPI headline index Dec 2012 = 100) in 2013</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</si>
  <si>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</si>
  <si>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</si>
  <si>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</si>
  <si>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</si>
  <si>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</si>
  <si>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</si>
  <si>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</si>
  <si>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</si>
  <si>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</si>
  <si>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</si>
  <si>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</si>
  <si>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</si>
  <si>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</si>
  <si>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</si>
  <si>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</si>
  <si>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</si>
  <si>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</si>
  <si>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</si>
  <si>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</si>
  <si>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</si>
  <si>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</si>
  <si>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</si>
  <si>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</si>
  <si>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</si>
  <si>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</si>
  <si>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</si>
  <si>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4,2</t>
  </si>
  <si>
    <t>4,3</t>
  </si>
  <si>
    <t>4,1</t>
  </si>
  <si>
    <t>4,4</t>
  </si>
  <si>
    <t>4,5</t>
  </si>
  <si>
    <t>4,6</t>
  </si>
  <si>
    <t>4,8</t>
  </si>
  <si>
    <t>4,9</t>
  </si>
  <si>
    <t>5,0</t>
  </si>
  <si>
    <t>4,7</t>
  </si>
  <si>
    <t>5,1</t>
  </si>
  <si>
    <t>5,2</t>
  </si>
  <si>
    <t>5,3</t>
  </si>
  <si>
    <t>5,4</t>
  </si>
  <si>
    <t>5,5</t>
  </si>
  <si>
    <t>5,7</t>
  </si>
  <si>
    <t>5,8</t>
  </si>
  <si>
    <t>5,9</t>
  </si>
  <si>
    <t>6,0</t>
  </si>
  <si>
    <t>6,1</t>
  </si>
  <si>
    <t>6,2</t>
  </si>
  <si>
    <t>6,3</t>
  </si>
  <si>
    <t>6,5</t>
  </si>
  <si>
    <t>6,6</t>
  </si>
  <si>
    <t>6,7</t>
  </si>
  <si>
    <t>6,9</t>
  </si>
  <si>
    <t>7,0</t>
  </si>
  <si>
    <t>7,1</t>
  </si>
  <si>
    <t>7,2</t>
  </si>
  <si>
    <t>7,3</t>
  </si>
  <si>
    <t>7,4</t>
  </si>
  <si>
    <t>7,5</t>
  </si>
  <si>
    <t>7,7</t>
  </si>
  <si>
    <t>7,8</t>
  </si>
  <si>
    <t>7,9</t>
  </si>
  <si>
    <t>8,0</t>
  </si>
  <si>
    <t>8,1</t>
  </si>
  <si>
    <t>8,2</t>
  </si>
  <si>
    <t>8,3</t>
  </si>
  <si>
    <t>8,4</t>
  </si>
  <si>
    <t>8,5</t>
  </si>
  <si>
    <t>8,7</t>
  </si>
  <si>
    <t>8,8</t>
  </si>
  <si>
    <t>8,9</t>
  </si>
  <si>
    <t>9,0</t>
  </si>
  <si>
    <t>9,1</t>
  </si>
  <si>
    <t>9,2</t>
  </si>
  <si>
    <t>9,3</t>
  </si>
  <si>
    <t>9,4</t>
  </si>
  <si>
    <t>9,5</t>
  </si>
  <si>
    <t>9,8</t>
  </si>
  <si>
    <t>10,1</t>
  </si>
  <si>
    <t>10,2</t>
  </si>
  <si>
    <t>10,3</t>
  </si>
  <si>
    <t>10,5</t>
  </si>
  <si>
    <t>10,6</t>
  </si>
  <si>
    <t>10,7</t>
  </si>
  <si>
    <t>10,9</t>
  </si>
  <si>
    <t>11,1</t>
  </si>
  <si>
    <t>11,4</t>
  </si>
  <si>
    <t>11,5</t>
  </si>
  <si>
    <t>11,7</t>
  </si>
  <si>
    <t>11,9</t>
  </si>
  <si>
    <t>12,1</t>
  </si>
  <si>
    <t>12,3</t>
  </si>
  <si>
    <t>12,5</t>
  </si>
  <si>
    <t>12,7</t>
  </si>
  <si>
    <t>12,9</t>
  </si>
  <si>
    <t>13,0</t>
  </si>
  <si>
    <t>13,1</t>
  </si>
  <si>
    <t>13,3</t>
  </si>
  <si>
    <t>13,5</t>
  </si>
  <si>
    <t>13,7</t>
  </si>
  <si>
    <t>13,9</t>
  </si>
  <si>
    <t>14,0</t>
  </si>
  <si>
    <t>14,1</t>
  </si>
  <si>
    <t>14,2</t>
  </si>
  <si>
    <t>14,4</t>
  </si>
  <si>
    <t>14,7</t>
  </si>
  <si>
    <t>14,8</t>
  </si>
  <si>
    <t>15,0</t>
  </si>
  <si>
    <t>15,1</t>
  </si>
  <si>
    <t>15,2</t>
  </si>
  <si>
    <t>15,5</t>
  </si>
  <si>
    <t>15,6</t>
  </si>
  <si>
    <t>15,8</t>
  </si>
  <si>
    <t>15,9</t>
  </si>
  <si>
    <t>16,1</t>
  </si>
  <si>
    <t>16,3</t>
  </si>
  <si>
    <t>16,5</t>
  </si>
  <si>
    <t>16,7</t>
  </si>
  <si>
    <t>16,8</t>
  </si>
  <si>
    <t>17,0</t>
  </si>
  <si>
    <t>17,2</t>
  </si>
  <si>
    <t>17,4</t>
  </si>
  <si>
    <t>17,7</t>
  </si>
  <si>
    <t>17,9</t>
  </si>
  <si>
    <t>18,2</t>
  </si>
  <si>
    <t>18,3</t>
  </si>
  <si>
    <t>18,5</t>
  </si>
  <si>
    <t>18,8</t>
  </si>
  <si>
    <t>18,9</t>
  </si>
  <si>
    <t>19,1</t>
  </si>
  <si>
    <t>19,3</t>
  </si>
  <si>
    <t>19,6</t>
  </si>
  <si>
    <t>18,4</t>
  </si>
  <si>
    <t>19,8</t>
  </si>
  <si>
    <t>20,0</t>
  </si>
  <si>
    <t>20,3</t>
  </si>
  <si>
    <t>20,4</t>
  </si>
  <si>
    <t>20,7</t>
  </si>
  <si>
    <t>20,8</t>
  </si>
  <si>
    <t>21,0</t>
  </si>
  <si>
    <t>21,3</t>
  </si>
  <si>
    <t>21,6</t>
  </si>
  <si>
    <t>21,8</t>
  </si>
  <si>
    <t>22,3</t>
  </si>
  <si>
    <t>22,4</t>
  </si>
  <si>
    <t>22,7</t>
  </si>
  <si>
    <t>23,0</t>
  </si>
  <si>
    <t>23,1</t>
  </si>
  <si>
    <t>23,5</t>
  </si>
  <si>
    <t>23,8</t>
  </si>
  <si>
    <t>24,0</t>
  </si>
  <si>
    <t>24,3</t>
  </si>
  <si>
    <t>24,6</t>
  </si>
  <si>
    <t>25,0</t>
  </si>
  <si>
    <t>25,4</t>
  </si>
  <si>
    <t>25,7</t>
  </si>
  <si>
    <t>26,0</t>
  </si>
  <si>
    <t>26,4</t>
  </si>
  <si>
    <t>26,6</t>
  </si>
  <si>
    <t>26,8</t>
  </si>
  <si>
    <t>27,2</t>
  </si>
  <si>
    <t>27,3</t>
  </si>
  <si>
    <t>27,6</t>
  </si>
  <si>
    <t>27,9</t>
  </si>
  <si>
    <t>28,2</t>
  </si>
  <si>
    <t>28,3</t>
  </si>
  <si>
    <t>28,4</t>
  </si>
  <si>
    <t>28,6</t>
  </si>
  <si>
    <t>27,7</t>
  </si>
  <si>
    <t>28,9</t>
  </si>
  <si>
    <t>29,0</t>
  </si>
  <si>
    <t>29,4</t>
  </si>
  <si>
    <t>30,1</t>
  </si>
  <si>
    <t>30,2</t>
  </si>
  <si>
    <t>30,4</t>
  </si>
  <si>
    <t>30,6</t>
  </si>
  <si>
    <t>30,8</t>
  </si>
  <si>
    <t>30,9</t>
  </si>
  <si>
    <t>31,1</t>
  </si>
  <si>
    <t>31,2</t>
  </si>
  <si>
    <t>31,3</t>
  </si>
  <si>
    <t>30,3</t>
  </si>
  <si>
    <t>31,7</t>
  </si>
  <si>
    <t>31,8</t>
  </si>
  <si>
    <t>32,0</t>
  </si>
  <si>
    <t>32,2</t>
  </si>
  <si>
    <t>32,4</t>
  </si>
  <si>
    <t>32,6</t>
  </si>
  <si>
    <t>33,1</t>
  </si>
  <si>
    <t>33,6</t>
  </si>
  <si>
    <t>34,0</t>
  </si>
  <si>
    <t>34,2</t>
  </si>
  <si>
    <t>34,3</t>
  </si>
  <si>
    <t>33,0</t>
  </si>
  <si>
    <t>34,8</t>
  </si>
  <si>
    <t>35,0</t>
  </si>
  <si>
    <t>35,4</t>
  </si>
  <si>
    <t>35,8</t>
  </si>
  <si>
    <t>35,9</t>
  </si>
  <si>
    <t>36,1</t>
  </si>
  <si>
    <t>36,2</t>
  </si>
  <si>
    <t>36,3</t>
  </si>
  <si>
    <t>36,5</t>
  </si>
  <si>
    <t>36,7</t>
  </si>
  <si>
    <t>37,2</t>
  </si>
  <si>
    <t>37,3</t>
  </si>
  <si>
    <t>37,5</t>
  </si>
  <si>
    <t>37,8</t>
  </si>
  <si>
    <t>38,0</t>
  </si>
  <si>
    <t>38,4</t>
  </si>
  <si>
    <t>38,7</t>
  </si>
  <si>
    <t>38,8</t>
  </si>
  <si>
    <t>39,2</t>
  </si>
  <si>
    <t>39,6</t>
  </si>
  <si>
    <t>39,8</t>
  </si>
  <si>
    <t>40,2</t>
  </si>
  <si>
    <t>38,5</t>
  </si>
  <si>
    <t>40,6</t>
  </si>
  <si>
    <t>40,9</t>
  </si>
  <si>
    <t>41,1</t>
  </si>
  <si>
    <t>41,5</t>
  </si>
  <si>
    <t>41,7</t>
  </si>
  <si>
    <t>41,8</t>
  </si>
  <si>
    <t>42,2</t>
  </si>
  <si>
    <t>42,5</t>
  </si>
  <si>
    <t>42,6</t>
  </si>
  <si>
    <t>41,9</t>
  </si>
  <si>
    <t>43,0</t>
  </si>
  <si>
    <t>43,1</t>
  </si>
  <si>
    <t>43,4</t>
  </si>
  <si>
    <t>43,6</t>
  </si>
  <si>
    <t>43,8</t>
  </si>
  <si>
    <t>44,0</t>
  </si>
  <si>
    <t>45,0</t>
  </si>
  <si>
    <t>45,5</t>
  </si>
  <si>
    <t>46,3</t>
  </si>
  <si>
    <t>46,5</t>
  </si>
  <si>
    <t>44,8</t>
  </si>
  <si>
    <t>46,8</t>
  </si>
  <si>
    <t>46,9</t>
  </si>
  <si>
    <t>47,1</t>
  </si>
  <si>
    <t>47,0</t>
  </si>
  <si>
    <t>47,3</t>
  </si>
  <si>
    <t>47,4</t>
  </si>
  <si>
    <t>47,5</t>
  </si>
  <si>
    <t>48,1</t>
  </si>
  <si>
    <t>47,9</t>
  </si>
  <si>
    <t>48,4</t>
  </si>
  <si>
    <t>49,0</t>
  </si>
  <si>
    <t>49,3</t>
  </si>
  <si>
    <t>49,6</t>
  </si>
  <si>
    <t>50,0</t>
  </si>
  <si>
    <t>50,2</t>
  </si>
  <si>
    <t>50,4</t>
  </si>
  <si>
    <t>50,6</t>
  </si>
  <si>
    <t>50,7</t>
  </si>
  <si>
    <t>50,8</t>
  </si>
  <si>
    <t>51,5</t>
  </si>
  <si>
    <t>51,6</t>
  </si>
  <si>
    <t>51,9</t>
  </si>
  <si>
    <t>52,2</t>
  </si>
  <si>
    <t>52,4</t>
  </si>
  <si>
    <t>52,6</t>
  </si>
  <si>
    <t>52,5</t>
  </si>
  <si>
    <t>52,9</t>
  </si>
  <si>
    <t>53,1</t>
  </si>
  <si>
    <t>54,1</t>
  </si>
  <si>
    <t>54,6</t>
  </si>
  <si>
    <t>55,2</t>
  </si>
  <si>
    <t>56,0</t>
  </si>
  <si>
    <t>56,4</t>
  </si>
  <si>
    <t>56,8</t>
  </si>
  <si>
    <t>57,7</t>
  </si>
  <si>
    <t>57,9</t>
  </si>
  <si>
    <t>58,6</t>
  </si>
  <si>
    <t>59,4</t>
  </si>
  <si>
    <t>59,7</t>
  </si>
  <si>
    <t>57,2</t>
  </si>
  <si>
    <t>60,3</t>
  </si>
  <si>
    <t>60,2</t>
  </si>
  <si>
    <t>60,9</t>
  </si>
  <si>
    <t>61,0</t>
  </si>
  <si>
    <t>60,7</t>
  </si>
  <si>
    <t>59,9</t>
  </si>
  <si>
    <t>60,5</t>
  </si>
  <si>
    <t>60,4</t>
  </si>
  <si>
    <t>61,1</t>
  </si>
  <si>
    <t>61,2</t>
  </si>
  <si>
    <t>61,4</t>
  </si>
  <si>
    <t>61,6</t>
  </si>
  <si>
    <t>61,8</t>
  </si>
  <si>
    <t>62,1</t>
  </si>
  <si>
    <t>62,0</t>
  </si>
  <si>
    <t>62,2</t>
  </si>
  <si>
    <t>62,3</t>
  </si>
  <si>
    <t>62,9</t>
  </si>
  <si>
    <t>63,2</t>
  </si>
  <si>
    <t>63,1</t>
  </si>
  <si>
    <t>63,7</t>
  </si>
  <si>
    <t>63,9</t>
  </si>
  <si>
    <t>64,2</t>
  </si>
  <si>
    <t>63,4</t>
  </si>
  <si>
    <t>64,6</t>
  </si>
  <si>
    <t>64,7</t>
  </si>
  <si>
    <t>65,0</t>
  </si>
  <si>
    <t>65,4</t>
  </si>
  <si>
    <t>65,7</t>
  </si>
  <si>
    <t>66,2</t>
  </si>
  <si>
    <t>66,9</t>
  </si>
  <si>
    <t>67,4</t>
  </si>
  <si>
    <t>67,6</t>
  </si>
  <si>
    <t>67,7</t>
  </si>
  <si>
    <t>68,0</t>
  </si>
  <si>
    <t>66,4</t>
  </si>
  <si>
    <t>68,5</t>
  </si>
  <si>
    <t>68,4</t>
  </si>
  <si>
    <t>69,0</t>
  </si>
  <si>
    <t>69,9</t>
  </si>
  <si>
    <t>70,3</t>
  </si>
  <si>
    <t>70,9</t>
  </si>
  <si>
    <t>71,6</t>
  </si>
  <si>
    <t>71,9</t>
  </si>
  <si>
    <t>72,5</t>
  </si>
  <si>
    <t>73,1</t>
  </si>
  <si>
    <t>73,4</t>
  </si>
  <si>
    <t>74,0</t>
  </si>
  <si>
    <t>71,1</t>
  </si>
  <si>
    <t>74,8</t>
  </si>
  <si>
    <t>75,1</t>
  </si>
  <si>
    <t>76,3</t>
  </si>
  <si>
    <t>77,7</t>
  </si>
  <si>
    <t>78,5</t>
  </si>
  <si>
    <t>79,6</t>
  </si>
  <si>
    <t>81,2</t>
  </si>
  <si>
    <t>81,8</t>
  </si>
  <si>
    <t>81,9</t>
  </si>
  <si>
    <t>82,0</t>
  </si>
  <si>
    <t>81,1</t>
  </si>
  <si>
    <t>79,3</t>
  </si>
  <si>
    <t>81,4</t>
  </si>
  <si>
    <t>82,3</t>
  </si>
  <si>
    <t>83,4</t>
  </si>
  <si>
    <t>83,8</t>
  </si>
  <si>
    <t>84,1</t>
  </si>
  <si>
    <t>84,5</t>
  </si>
  <si>
    <t>85,4</t>
  </si>
  <si>
    <t>85,6</t>
  </si>
  <si>
    <t>86,0</t>
  </si>
  <si>
    <t>86,2</t>
  </si>
  <si>
    <t>84,6</t>
  </si>
  <si>
    <t>86,4</t>
  </si>
  <si>
    <t>87,0</t>
  </si>
  <si>
    <t>87,7</t>
  </si>
  <si>
    <t>87,8</t>
  </si>
  <si>
    <t>88,0</t>
  </si>
  <si>
    <t>88,6</t>
  </si>
  <si>
    <t>88,7</t>
  </si>
  <si>
    <t>88,9</t>
  </si>
  <si>
    <t>89,0</t>
  </si>
  <si>
    <t>89,2</t>
  </si>
  <si>
    <t>88,2</t>
  </si>
  <si>
    <t>89,6</t>
  </si>
  <si>
    <t>90,2</t>
  </si>
  <si>
    <t>91,3</t>
  </si>
  <si>
    <t>91,6</t>
  </si>
  <si>
    <t>92,0</t>
  </si>
  <si>
    <t>92,4</t>
  </si>
  <si>
    <t>93,2</t>
  </si>
  <si>
    <t>93,4</t>
  </si>
  <si>
    <t>93,8</t>
  </si>
  <si>
    <t>94,2</t>
  </si>
  <si>
    <t>94,5</t>
  </si>
  <si>
    <t>94,6</t>
  </si>
  <si>
    <t>92,6</t>
  </si>
  <si>
    <t>95,2</t>
  </si>
  <si>
    <t>95,7</t>
  </si>
  <si>
    <t>96,8</t>
  </si>
  <si>
    <t>97,2</t>
  </si>
  <si>
    <t>97,5</t>
  </si>
  <si>
    <t>97,8</t>
  </si>
  <si>
    <t>98,0</t>
  </si>
  <si>
    <t>98,9</t>
  </si>
  <si>
    <t>99,5</t>
  </si>
  <si>
    <t>99,8</t>
  </si>
  <si>
    <t>100,0</t>
  </si>
  <si>
    <t>100,3</t>
  </si>
  <si>
    <t>101,3</t>
  </si>
  <si>
    <t>102,5</t>
  </si>
  <si>
    <t>102,9</t>
  </si>
  <si>
    <t>102,6</t>
  </si>
  <si>
    <t>104,0</t>
  </si>
  <si>
    <t>104,3</t>
  </si>
  <si>
    <t>104,8</t>
  </si>
  <si>
    <t>105,0</t>
  </si>
  <si>
    <t>105,1</t>
  </si>
  <si>
    <t>105,4</t>
  </si>
  <si>
    <t>103,4</t>
  </si>
  <si>
    <t>Supercritical Coal Wet Cooled with FGD</t>
  </si>
  <si>
    <t>Total liquid fuel demand</t>
  </si>
  <si>
    <t>ODS*</t>
  </si>
  <si>
    <t>OGS*</t>
  </si>
  <si>
    <t>OKE*</t>
  </si>
  <si>
    <t>OLP*</t>
  </si>
  <si>
    <t>OHF*</t>
  </si>
  <si>
    <t>OAG*</t>
  </si>
  <si>
    <t>RUN11</t>
  </si>
  <si>
    <t>Reference with shale</t>
  </si>
  <si>
    <t>Bushkoppies</t>
  </si>
  <si>
    <t>Full</t>
  </si>
  <si>
    <t>demands</t>
  </si>
  <si>
    <t>South</t>
  </si>
  <si>
    <t>WC/WDM</t>
  </si>
  <si>
    <t>Reductions</t>
  </si>
  <si>
    <t>Demands</t>
  </si>
  <si>
    <t>with</t>
  </si>
  <si>
    <t>Ennerdale</t>
  </si>
  <si>
    <t>Goudkoppies</t>
  </si>
  <si>
    <t>Olifantsvlei</t>
  </si>
  <si>
    <t>JOHANNESBURG MUNICIPALITY - SUMMARY TABLE - SCENARIO C</t>
  </si>
  <si>
    <t>JOHANNESBURG MUNICIPALITY - SUMMARY TABLE - SCENARIO B</t>
  </si>
  <si>
    <t>Secunda raw water p/a (Ras,2011)</t>
  </si>
  <si>
    <t>SASOL (Secunda)</t>
  </si>
  <si>
    <t>irrigation</t>
  </si>
  <si>
    <t xml:space="preserve">Mokolo dam </t>
  </si>
  <si>
    <t>(Mm3/a)</t>
  </si>
  <si>
    <t xml:space="preserve">Aurecon/DWA data </t>
  </si>
  <si>
    <t xml:space="preserve">Conversion factor from </t>
  </si>
  <si>
    <t>MJ/t.km</t>
  </si>
  <si>
    <t>MJ/m3</t>
  </si>
  <si>
    <t>Truck tranport energy cost estimate</t>
  </si>
  <si>
    <t>t.km with load factor</t>
  </si>
  <si>
    <t>total MJ</t>
  </si>
  <si>
    <t>Truck transport  efficiency</t>
  </si>
  <si>
    <t>NCAP_FOM (mZAR/Mm3/a)</t>
  </si>
  <si>
    <t>Majuba added to WSR-C</t>
  </si>
  <si>
    <t>water use</t>
  </si>
  <si>
    <t>slope:</t>
  </si>
  <si>
    <t>Tcf</t>
  </si>
  <si>
    <t>MINGIH-D2</t>
  </si>
  <si>
    <t>Extraction of Gas Indigenous Shale: WSR-D2 (Karoo)</t>
  </si>
  <si>
    <t>WA-P1X-D2</t>
  </si>
  <si>
    <t>GIH</t>
  </si>
  <si>
    <t>ACT_CUM</t>
  </si>
  <si>
    <t>Boilers (Fischer-Tropsch) synfuel</t>
  </si>
  <si>
    <t>Boilers (synfuel power generation)</t>
  </si>
  <si>
    <t xml:space="preserve">Crude oil refinery avg water uasge </t>
  </si>
  <si>
    <t>Boilers</t>
  </si>
  <si>
    <t>cooling and other</t>
  </si>
  <si>
    <t>Synfuel</t>
  </si>
  <si>
    <t>Crude oil</t>
  </si>
  <si>
    <t>Average plant efficiency</t>
  </si>
  <si>
    <t>Annual estimate of total</t>
  </si>
  <si>
    <t xml:space="preserve"> Industry weighted average</t>
  </si>
  <si>
    <t>Crude oil industry - refineries 2.3 &amp; 4</t>
  </si>
  <si>
    <t>SWI (m3/t) of feedstock</t>
  </si>
  <si>
    <t>SWI per unit energy product</t>
  </si>
  <si>
    <t>Avg 2006 total refineries output (TJ)</t>
  </si>
  <si>
    <t>Refinery Crude Oil Inland Existing: WSR-C</t>
  </si>
  <si>
    <t>UREFOCRIN-C-E</t>
  </si>
  <si>
    <t>Water and wastewater management in the oil refining and re-refining industry-NATSURV 15 (CSIR,2005) [wrc] {TT-180-05.pdf}</t>
  </si>
  <si>
    <t>Final Environmental Impact Report for the Proposed Gas Engine Power Plant [SASOLBURG, 2011]</t>
  </si>
  <si>
    <t>Specific Water Intake (SWI) of feedstock (m3/tonne)</t>
  </si>
  <si>
    <t>Percent of total intake:</t>
  </si>
  <si>
    <t xml:space="preserve">SASOLBURG Gas reciprocating engines </t>
  </si>
  <si>
    <t>l/MJ</t>
  </si>
  <si>
    <t>l/PJ</t>
  </si>
  <si>
    <t>ETCLEPFM-C-E</t>
  </si>
  <si>
    <t>Subcritical Coal PF Munic Existing: WSR:C</t>
  </si>
  <si>
    <t>Existing</t>
  </si>
  <si>
    <t>New</t>
  </si>
  <si>
    <t>MINCLE2-C</t>
  </si>
  <si>
    <t>MINCLE1-C</t>
  </si>
  <si>
    <t>Outputs Workbook: FINAL</t>
  </si>
  <si>
    <t>Refined products pipeline from Waterberg</t>
  </si>
  <si>
    <t>????</t>
  </si>
  <si>
    <t>Sasol SSF: WSR-B (gas turbines)</t>
  </si>
  <si>
    <t>?????</t>
  </si>
  <si>
    <t>Sasol Infrachem (Upper Vaal): WSR-C (gas turbines)</t>
  </si>
  <si>
    <t>ETGASCCSS-B-N</t>
  </si>
  <si>
    <t>Combined Cycle Gas Turbine - Sasol: WSR-B</t>
  </si>
  <si>
    <t>Lower Orange - CSP pipeline</t>
  </si>
  <si>
    <t>Could syncrude be transported to secunda instead of refined products?</t>
  </si>
  <si>
    <t>Est of  pipeline distance from Grootgeluk to JHB:</t>
  </si>
  <si>
    <t>(mil)R/Mlitre/km</t>
  </si>
  <si>
    <t>ESTIMATED</t>
  </si>
  <si>
    <t>Inv cost (2010 ZAR) NMPP Phase1</t>
  </si>
  <si>
    <t>MJ/L (LHV)</t>
  </si>
  <si>
    <t>Petrol</t>
  </si>
  <si>
    <t>Diesel</t>
  </si>
  <si>
    <t>Model share</t>
  </si>
  <si>
    <t>(mil)R/PJ</t>
  </si>
  <si>
    <t>(mil)R/MJ</t>
  </si>
  <si>
    <t>Inv cost (2010 ZAR) CTL waterberg pipline</t>
  </si>
  <si>
    <t>FOM</t>
  </si>
  <si>
    <t>(mil)R/PJ/a</t>
  </si>
  <si>
    <t>UCTLCLEIN-N-A</t>
  </si>
  <si>
    <t>Refinery CTL New: Waterberg Region: WSR-A</t>
  </si>
  <si>
    <t>Non-energy water demand: WSR-A (Lephalale)</t>
  </si>
  <si>
    <t>Municipality- adjusted</t>
  </si>
  <si>
    <t>Exxaro Projects-base year adjustment</t>
  </si>
  <si>
    <t>IRRIGATION DEMANDS</t>
  </si>
  <si>
    <t>Upper Orange Irrigation</t>
  </si>
  <si>
    <t>From Gariep only</t>
  </si>
  <si>
    <t>From Vanderkloof (RSA)</t>
  </si>
  <si>
    <t>From Vanderkloof (Namibia) 1</t>
  </si>
  <si>
    <t>Orange River System</t>
  </si>
  <si>
    <t>Total Domestic / Urban Demands</t>
  </si>
  <si>
    <t>LESOTHO HIGHLANDS TRANSFERS</t>
  </si>
  <si>
    <t>Total Transfer Katse to Vaal Dam</t>
  </si>
  <si>
    <t>Total Orange River Demand</t>
  </si>
  <si>
    <t>TOTAL DOMESTIC AND IRRIGATION DEMANDS</t>
  </si>
  <si>
    <t>River requirement</t>
  </si>
  <si>
    <t>Lesotho Highlands Transfer: Katse Dam to Vaal Dam</t>
  </si>
  <si>
    <t>Non-energy water demand:region A (Lephalele)</t>
  </si>
  <si>
    <t>SATIM-W</t>
  </si>
  <si>
    <t>31536 PJ = 8760 TWh</t>
  </si>
  <si>
    <t>ETCLDFBD-B-N</t>
  </si>
  <si>
    <t>Fluidised Bed Combustion Coal-DRY: WSR:B</t>
  </si>
  <si>
    <t>Water fractional shares by model region.</t>
  </si>
  <si>
    <t>WSR-A</t>
  </si>
  <si>
    <t>Calibration year fractional share</t>
  </si>
  <si>
    <t>GDP demand elasticity</t>
  </si>
  <si>
    <t>base</t>
  </si>
  <si>
    <t>Greenshoots</t>
  </si>
  <si>
    <t>Value Added by Sector in 2007 Rands</t>
  </si>
  <si>
    <t>SO Moderate</t>
  </si>
  <si>
    <t>Weathering the Storm</t>
  </si>
  <si>
    <t>SO Low</t>
  </si>
  <si>
    <t>Code</t>
  </si>
  <si>
    <t>GDP comparisons</t>
  </si>
  <si>
    <t xml:space="preserve">d0: gdp                                                    </t>
  </si>
  <si>
    <t>Growth</t>
  </si>
  <si>
    <t>tsGDP</t>
  </si>
  <si>
    <t>sim1</t>
  </si>
  <si>
    <t>sim2</t>
  </si>
  <si>
    <t>sim3</t>
  </si>
  <si>
    <t>sim4</t>
  </si>
  <si>
    <t xml:space="preserve">d1: Agriculture                                            </t>
  </si>
  <si>
    <t>tsAGR</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</si>
  <si>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</si>
  <si>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</si>
  <si>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</si>
  <si>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</si>
  <si>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</si>
  <si>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</si>
  <si>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</si>
  <si>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</si>
  <si>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</si>
  <si>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</si>
  <si>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</si>
  <si>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</si>
  <si>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</si>
  <si>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</si>
  <si>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</si>
  <si>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</si>
  <si>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</si>
  <si>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</si>
  <si>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</si>
  <si>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</si>
  <si>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</si>
  <si>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</si>
  <si>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</si>
  <si>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</si>
  <si>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</si>
  <si>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</si>
  <si>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</si>
  <si>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</si>
  <si>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</si>
  <si>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</si>
  <si>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</si>
  <si>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</si>
  <si>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</si>
  <si>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</si>
  <si>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 xml:space="preserve">d2: Commerce                                               </t>
  </si>
  <si>
    <t>tsCOM</t>
  </si>
  <si>
    <t xml:space="preserve">d3: Industry - Mining                                      </t>
  </si>
  <si>
    <t>tsIMI</t>
  </si>
  <si>
    <t xml:space="preserve">d3: Industry - Food and Beverages                          </t>
  </si>
  <si>
    <t>tsIFB</t>
  </si>
  <si>
    <t xml:space="preserve">d3: Industry - Pulp and Paper                              </t>
  </si>
  <si>
    <t>tsIPP</t>
  </si>
  <si>
    <t xml:space="preserve">d3: Industry - Chemicals                                   </t>
  </si>
  <si>
    <t>tsICP</t>
  </si>
  <si>
    <t xml:space="preserve">d3: Industry - Non Metallic Minerals                       </t>
  </si>
  <si>
    <t>tsINM</t>
  </si>
  <si>
    <t xml:space="preserve">d3: Industry - Iron and Steel                              </t>
  </si>
  <si>
    <t>tsIIS</t>
  </si>
  <si>
    <t xml:space="preserve">d3: Industry - Non Ferous Metals                           </t>
  </si>
  <si>
    <t>tsINF</t>
  </si>
  <si>
    <t xml:space="preserve">d3: Industry - Other                                       </t>
  </si>
  <si>
    <t>tsIOT</t>
  </si>
  <si>
    <t xml:space="preserve">d7: Freight                                                </t>
  </si>
  <si>
    <t>tsTRA</t>
  </si>
  <si>
    <t xml:space="preserve">d4: Population by SATIM income group                       </t>
  </si>
  <si>
    <t>tsPOP</t>
  </si>
  <si>
    <t>hhd-le</t>
  </si>
  <si>
    <t>hhd-me</t>
  </si>
  <si>
    <t>hhd-he</t>
  </si>
  <si>
    <t xml:space="preserve">d5: Household Income by CGE income group                   </t>
  </si>
  <si>
    <t>tsRES</t>
  </si>
  <si>
    <t>ent-n</t>
  </si>
  <si>
    <t>ent-e</t>
  </si>
  <si>
    <t>hhd-0</t>
  </si>
  <si>
    <t>hhd-1</t>
  </si>
  <si>
    <t>hhd-2</t>
  </si>
  <si>
    <t>hhd-3</t>
  </si>
  <si>
    <t>hhd-4</t>
  </si>
  <si>
    <t>hhd-5</t>
  </si>
  <si>
    <t>hhd-6</t>
  </si>
  <si>
    <t>hhd-7</t>
  </si>
  <si>
    <t>hhd-8</t>
  </si>
  <si>
    <t>hhd-91</t>
  </si>
  <si>
    <t>hhd-92</t>
  </si>
  <si>
    <t>hhd-93</t>
  </si>
  <si>
    <t>hhd-94</t>
  </si>
  <si>
    <t>hhd-95</t>
  </si>
  <si>
    <t>d6: Household Income by SATIM income group in the base year</t>
  </si>
  <si>
    <t>HFORE2007</t>
  </si>
  <si>
    <t>hhd-ln</t>
  </si>
  <si>
    <t>hhd-mn</t>
  </si>
  <si>
    <t>hhd-hn</t>
  </si>
  <si>
    <t>High Income Calculation</t>
  </si>
  <si>
    <t>Populayion labels</t>
  </si>
  <si>
    <t>Income labels</t>
  </si>
  <si>
    <t>Household Income</t>
  </si>
  <si>
    <t>BY Income by Satim Group</t>
  </si>
  <si>
    <t>Per person income in BY</t>
  </si>
  <si>
    <t>Total Income</t>
  </si>
  <si>
    <t>High Income Group Average Income</t>
  </si>
  <si>
    <t>WSR-B</t>
  </si>
  <si>
    <t>other</t>
  </si>
  <si>
    <t>ETCLEPFD-B-E</t>
  </si>
  <si>
    <t>Coal PF Eskom Dry Existing: WSR-B</t>
  </si>
  <si>
    <t>ETCLEPFW-B-ES</t>
  </si>
  <si>
    <t>x (L/kWh)</t>
  </si>
  <si>
    <t>c (T)</t>
  </si>
  <si>
    <t>Wet FGD:</t>
  </si>
  <si>
    <t>ZZ debug</t>
  </si>
  <si>
    <t>C0</t>
  </si>
  <si>
    <t>WMIN-B0-UX</t>
  </si>
  <si>
    <t>Vaal eskom transfer</t>
  </si>
  <si>
    <t>B0-UX</t>
  </si>
  <si>
    <t>ZZWMIN debug</t>
  </si>
  <si>
    <t>WA0A</t>
  </si>
  <si>
    <t>WA0-D</t>
  </si>
  <si>
    <t>WA0-B</t>
  </si>
  <si>
    <t>Item1</t>
  </si>
  <si>
    <t>Commodity</t>
  </si>
  <si>
    <t>DEM-WAT-OTH-A</t>
  </si>
  <si>
    <t>DEM-WAT-OTH-B</t>
  </si>
  <si>
    <t>DEM-WAT-OTH-C</t>
  </si>
  <si>
    <t>DEM-WAT-OTH-D</t>
  </si>
  <si>
    <t>SATIM-W_20150318fa01</t>
  </si>
  <si>
    <t>MDB name</t>
  </si>
  <si>
    <t>edits</t>
  </si>
  <si>
    <t xml:space="preserve">Add nominal NCAP_ILED for pipelines in WSR-D
Alter flo-share for Shale gas delivery types
</t>
  </si>
  <si>
    <t>Vaal river water transfers and EWR</t>
  </si>
  <si>
    <t>stipulation</t>
  </si>
  <si>
    <t>Constraint factor</t>
  </si>
  <si>
    <t>SATIM-W_20150318fa02</t>
  </si>
  <si>
    <t>RHS</t>
  </si>
  <si>
    <t>RHS unit</t>
  </si>
  <si>
    <t>Yield/capacity 'C0</t>
  </si>
  <si>
    <t>description</t>
  </si>
  <si>
    <t>C1 activity</t>
  </si>
  <si>
    <t>Return flows from Vaal to Lephalale</t>
  </si>
  <si>
    <t>LHWP II (Polihali Dam) in place</t>
  </si>
  <si>
    <t>Scheme</t>
  </si>
  <si>
    <t>C0-&gt;A3</t>
  </si>
  <si>
    <t>C0-&gt;B3</t>
  </si>
  <si>
    <t>transfer to olifants</t>
  </si>
  <si>
    <t>test run</t>
  </si>
  <si>
    <t>SATIM-W_20150320fa01</t>
  </si>
  <si>
    <t>Link transfers to region A&amp; B from region C (Vaal):
- Add EWR (130Mm3) as constraint linked to 'C1.
-Transfer of return flows ('A3) to Region A from 'C0;
- transfer from 'C0 to Region B ('B3)
(requires the use of flo_eff to link the flow of water commodities)</t>
  </si>
  <si>
    <t>Re-import 'SUP and 'TS10 into base for Supply Sector only model</t>
  </si>
  <si>
    <t>D0-&gt;D1</t>
  </si>
  <si>
    <t>EWR Vaal</t>
  </si>
  <si>
    <t>EWR: Orange</t>
  </si>
  <si>
    <t>MCWAP1</t>
  </si>
  <si>
    <t>Exxaro pipeline redundant when Phase 1 at full capacity.</t>
  </si>
  <si>
    <t>A0-&gt;A1</t>
  </si>
  <si>
    <t>Phase 1a</t>
  </si>
  <si>
    <t>Phase 1b</t>
  </si>
  <si>
    <t xml:space="preserve">Mokolo Croc Phase 2 pipeline </t>
  </si>
  <si>
    <t>U2WAT-A</t>
  </si>
  <si>
    <t>MCWAP2</t>
  </si>
  <si>
    <t>constraint to prevent P2 starting before P1</t>
  </si>
  <si>
    <t>Retrofit difficulty factor</t>
  </si>
  <si>
    <t>WMINA6</t>
  </si>
  <si>
    <t>Climate scenarios</t>
  </si>
  <si>
    <t>Dry</t>
  </si>
  <si>
    <t>Climate Scenario</t>
  </si>
  <si>
    <r>
      <t>Scheme Yield (M.m</t>
    </r>
    <r>
      <rPr>
        <b/>
        <vertAlign val="superscript"/>
        <sz val="8"/>
        <color theme="1"/>
        <rFont val="Arial"/>
        <family val="2"/>
      </rPr>
      <t>3</t>
    </r>
    <r>
      <rPr>
        <b/>
        <sz val="8"/>
        <color theme="1"/>
        <rFont val="Arial"/>
        <family val="2"/>
      </rPr>
      <t>/a)
2010</t>
    </r>
  </si>
  <si>
    <r>
      <t>Scheme Yield (M.m</t>
    </r>
    <r>
      <rPr>
        <b/>
        <vertAlign val="superscript"/>
        <sz val="8"/>
        <color theme="1"/>
        <rFont val="Arial"/>
        <family val="2"/>
      </rPr>
      <t>3</t>
    </r>
    <r>
      <rPr>
        <b/>
        <sz val="8"/>
        <color theme="1"/>
        <rFont val="Arial"/>
        <family val="2"/>
      </rPr>
      <t>/a)
2050</t>
    </r>
  </si>
  <si>
    <t>ZAR 2010
factor</t>
  </si>
  <si>
    <t>mZAR/Mm3/a</t>
  </si>
  <si>
    <t>Climate Adj
2050</t>
  </si>
  <si>
    <t>CAP_BND</t>
  </si>
  <si>
    <t>eps</t>
  </si>
  <si>
    <t>WMIN0-A2</t>
  </si>
  <si>
    <t>Crocodile river</t>
  </si>
  <si>
    <t>Vaal Dam</t>
  </si>
  <si>
    <t>Boskraai Dam Phase 2 (full yield)</t>
  </si>
  <si>
    <t>WMIN-D4</t>
  </si>
  <si>
    <t>Constraints</t>
  </si>
  <si>
    <t>MAXA-WMINC0</t>
  </si>
  <si>
    <t>MAXA-WMIND0</t>
  </si>
  <si>
    <t>WMIN-A1: Exxaro pipeline redundant when Phase 1 at full capacity.</t>
  </si>
  <si>
    <t>MAXA-WMINA0</t>
  </si>
  <si>
    <t>WMIN-A2: constraint to prevent A2 starting before A1</t>
  </si>
  <si>
    <t>MINC-WMINA1-U2</t>
  </si>
  <si>
    <t>A1-&gt;A2</t>
  </si>
  <si>
    <t>SUPWAT5</t>
  </si>
  <si>
    <t>Boskraai</t>
  </si>
  <si>
    <t>Catchment</t>
  </si>
  <si>
    <t>Lesotho</t>
  </si>
  <si>
    <t>Supply regions</t>
  </si>
  <si>
    <t>Orange-Vaal</t>
  </si>
  <si>
    <t>Cost milZAR</t>
  </si>
  <si>
    <t>2012 ZAR</t>
  </si>
  <si>
    <t>TIMES order</t>
  </si>
  <si>
    <t>ETGIHGT-D-N</t>
  </si>
  <si>
    <t>raw adjusted: (- HQ)</t>
  </si>
  <si>
    <t>Phase2 (full yield)</t>
  </si>
  <si>
    <t>Phase 1 (55%)</t>
  </si>
  <si>
    <t xml:space="preserve">m3/MWh </t>
  </si>
  <si>
    <t>LB1</t>
  </si>
  <si>
    <t>LB2</t>
  </si>
  <si>
    <t>LP</t>
  </si>
  <si>
    <t xml:space="preserve">Air Quality </t>
  </si>
  <si>
    <t>Existing CTL</t>
  </si>
  <si>
    <t>Water consumption should be linked to consumption of coal and sulphur concentration.</t>
  </si>
  <si>
    <t>new-supercritical</t>
  </si>
  <si>
    <t>retro-subcritical</t>
  </si>
  <si>
    <t>FGD (EPRI-eskom)</t>
  </si>
  <si>
    <t>no-FGD (EPRI-eskom)</t>
  </si>
  <si>
    <t>FGD-retro (Eskom)</t>
  </si>
  <si>
    <t>sum</t>
  </si>
  <si>
    <t>FGD retro</t>
  </si>
  <si>
    <t>invest(mZAR2013)</t>
  </si>
  <si>
    <t>Pipeline capacity</t>
  </si>
  <si>
    <t>Pipeline Cost</t>
  </si>
  <si>
    <t>Mm3/PJ feedstock coal</t>
  </si>
  <si>
    <t>Emissions</t>
  </si>
  <si>
    <t>Technology (% removal efficiency)</t>
  </si>
  <si>
    <t>CAPEX (R/kW)</t>
  </si>
  <si>
    <t>OPEX (R/kW)</t>
  </si>
  <si>
    <t>PM</t>
  </si>
  <si>
    <t>FFP</t>
  </si>
  <si>
    <t>2 514</t>
  </si>
  <si>
    <t>156*</t>
  </si>
  <si>
    <r>
      <t>NO</t>
    </r>
    <r>
      <rPr>
        <sz val="6.5"/>
        <color theme="1"/>
        <rFont val="Calibri"/>
        <family val="2"/>
        <scheme val="minor"/>
      </rPr>
      <t>x</t>
    </r>
  </si>
  <si>
    <t>LNB (30%)</t>
  </si>
  <si>
    <t>LNB+OFA (40%)</t>
  </si>
  <si>
    <t>1 269</t>
  </si>
  <si>
    <t>SCR (90%)</t>
  </si>
  <si>
    <t>2 562</t>
  </si>
  <si>
    <t>SCNR (50%)</t>
  </si>
  <si>
    <r>
      <t>SO</t>
    </r>
    <r>
      <rPr>
        <sz val="6.5"/>
        <color theme="1"/>
        <rFont val="Calibri"/>
        <family val="2"/>
        <scheme val="minor"/>
      </rPr>
      <t>2</t>
    </r>
  </si>
  <si>
    <t>In-­‐Duct (30%)</t>
  </si>
  <si>
    <t>1 364</t>
  </si>
  <si>
    <t>Semi-­‐dry FGD (90%)</t>
  </si>
  <si>
    <t>5 508</t>
  </si>
  <si>
    <t>Wet FGD (90%)</t>
  </si>
  <si>
    <t>5 964</t>
  </si>
  <si>
    <r>
      <t>Alternative baseline abatement unit cost estimates of PM, NO</t>
    </r>
    <r>
      <rPr>
        <b/>
        <sz val="8"/>
        <color theme="1"/>
        <rFont val="Calibri"/>
        <family val="2"/>
        <scheme val="minor"/>
      </rPr>
      <t xml:space="preserve">x </t>
    </r>
    <r>
      <rPr>
        <b/>
        <sz val="12"/>
        <color theme="1"/>
        <rFont val="Calibri"/>
        <family val="2"/>
        <scheme val="minor"/>
      </rPr>
      <t>and SO</t>
    </r>
    <r>
      <rPr>
        <b/>
        <sz val="8"/>
        <color theme="1"/>
        <rFont val="Calibri"/>
        <family val="2"/>
        <scheme val="minor"/>
      </rPr>
      <t>2 - 2014ZAR</t>
    </r>
  </si>
  <si>
    <t>A REVIEW OF ABATEMENT COST ESTIMATES FOR PMNOx and SO2 CONTROL AT ESKOM COALFIRED POWER STATIONS FINAL REPORT- iliso (de wit2013) fgd</t>
  </si>
  <si>
    <t>avg utlisation</t>
  </si>
  <si>
    <t>avg eff</t>
  </si>
  <si>
    <t>WFGD</t>
  </si>
  <si>
    <t>Wet:Semi-dry ratio</t>
  </si>
  <si>
    <t>semi-dry</t>
  </si>
  <si>
    <t>semi-dry CFB-FGD</t>
  </si>
  <si>
    <t>coal power plant:  (2012 ZAR)</t>
  </si>
  <si>
    <t>FGD retrofit (Semi-Dry)</t>
  </si>
  <si>
    <t>OM mR/PJ/yr</t>
  </si>
  <si>
    <t>capacity to activity</t>
  </si>
  <si>
    <t>CAPEX (R/MW)</t>
  </si>
  <si>
    <t>OM (R/MW/yr)</t>
  </si>
  <si>
    <t>?</t>
  </si>
  <si>
    <t>2010ZAR</t>
  </si>
  <si>
    <t>2014ZAR?</t>
  </si>
  <si>
    <t>mR/PJ/a</t>
  </si>
  <si>
    <t>CAPEX (2010 ZAR) mR/PJ/a</t>
  </si>
  <si>
    <t>Note that costs are estimated from that given for Power Plants !</t>
  </si>
  <si>
    <t>annualised FOM</t>
  </si>
  <si>
    <t>crf</t>
  </si>
  <si>
    <t>CTL plant life</t>
  </si>
  <si>
    <t>mR/PJ/yr</t>
  </si>
  <si>
    <t>FGD type:</t>
  </si>
  <si>
    <t>New CTL</t>
  </si>
  <si>
    <t>CRF</t>
  </si>
  <si>
    <t>Plant Life</t>
  </si>
  <si>
    <t>utlisation</t>
  </si>
  <si>
    <t>MES year</t>
  </si>
  <si>
    <t>Poullikkas et al. (2013)</t>
  </si>
  <si>
    <t xml:space="preserve"> litre  to US gallon </t>
  </si>
  <si>
    <t>trough</t>
  </si>
  <si>
    <t>tower</t>
  </si>
  <si>
    <t>Abengoa</t>
  </si>
  <si>
    <t>0.712 -0.835</t>
  </si>
  <si>
    <t xml:space="preserve">Abengoa </t>
  </si>
  <si>
    <t xml:space="preserve">MW </t>
  </si>
  <si>
    <t>Central Receiver</t>
  </si>
  <si>
    <t>MWh_e</t>
  </si>
  <si>
    <t>Mirror washing</t>
  </si>
  <si>
    <t>mirror area</t>
  </si>
  <si>
    <t>litres/m2/year</t>
  </si>
  <si>
    <t>Boiler (est. from Medupi)</t>
  </si>
  <si>
    <t>Nrel website</t>
  </si>
  <si>
    <t>abengoa presentation</t>
  </si>
  <si>
    <t>Epri to Eskom (2012)</t>
  </si>
  <si>
    <t>Medupi WTP for boiler demin production</t>
  </si>
  <si>
    <t>2010 ZAR/m3</t>
  </si>
  <si>
    <t>water quality (TDS)</t>
  </si>
  <si>
    <t>Pj/Mm3</t>
  </si>
  <si>
    <t>OM1 (fixed)</t>
  </si>
  <si>
    <t>OM2 (fixed)</t>
  </si>
  <si>
    <t>2010 ZAR (2012)</t>
  </si>
  <si>
    <t>Annualised FOM (2010mZAR/Mm3)</t>
  </si>
  <si>
    <t>Annualised FOM (2010mZAR/Mt)</t>
  </si>
  <si>
    <t>MJ/kg = PJ/Mt</t>
  </si>
  <si>
    <t>Mm3 (water) per PJ (coal)</t>
  </si>
  <si>
    <t>l/t (coal)</t>
  </si>
  <si>
    <t>mine production life</t>
  </si>
  <si>
    <t>PJ (elc) / Mm3</t>
  </si>
  <si>
    <t>Annualised FOM 2010mZAR/PJ(coal)</t>
  </si>
  <si>
    <t>abengoa est from anna</t>
  </si>
  <si>
    <t>CF</t>
  </si>
  <si>
    <t>Total VOM PJ(elc)/PJ(coal)</t>
  </si>
  <si>
    <t>VOM PJ(elc)/PJ(coal)</t>
  </si>
  <si>
    <t>2010mZAR/Mm3</t>
  </si>
  <si>
    <t xml:space="preserve">Capital as an annualised FOM </t>
  </si>
  <si>
    <t>RO:Croc</t>
  </si>
  <si>
    <t>RO:Mok-Croc mix</t>
  </si>
  <si>
    <t>RO:Mok (existing: embedded cost)</t>
  </si>
  <si>
    <t>VOM1  (avg) materials &amp;labour</t>
  </si>
  <si>
    <t>VOM2</t>
  </si>
  <si>
    <t>Marginal cost (mZAR/Mm3)</t>
  </si>
  <si>
    <t>Marginal to Mokolo</t>
  </si>
  <si>
    <t>ESKOM2008 Water quality-Medupi_calcs "WTP-Cost-Croc"</t>
  </si>
  <si>
    <t>refer to .xls :</t>
  </si>
  <si>
    <t xml:space="preserve">Conversion factor </t>
  </si>
  <si>
    <t>from:</t>
  </si>
  <si>
    <t>to:</t>
  </si>
  <si>
    <t>capbnds</t>
  </si>
  <si>
    <t>MIP DESAL option  estimate for 20 Mm3/a pipeline by inflating unit cap cost by 20%</t>
  </si>
  <si>
    <t>A6B</t>
  </si>
  <si>
    <t>Desalination of seawater MIP</t>
  </si>
  <si>
    <t>MIP</t>
  </si>
  <si>
    <t>Shale gas WTP (from Table 22 Task2 report)</t>
  </si>
  <si>
    <t>energy (kWh/m3)</t>
  </si>
  <si>
    <t>Annualised FOM</t>
  </si>
  <si>
    <t>Plant life</t>
  </si>
  <si>
    <t>Inv Cost mZAR/PJ</t>
  </si>
  <si>
    <t>FOM mZAR/PJ</t>
  </si>
  <si>
    <t>Raw water use net of demin</t>
  </si>
  <si>
    <t>Raw water use net of demin with Wet FGD</t>
  </si>
  <si>
    <t>Upper Vaal</t>
  </si>
  <si>
    <t>Boskraai Dam (50%)</t>
  </si>
  <si>
    <t>Boskraai Dam (full yield)</t>
  </si>
  <si>
    <t>Boskraai Dam (55%)</t>
  </si>
  <si>
    <t>B0-X</t>
  </si>
  <si>
    <t xml:space="preserve">Mokolo Croc. Phase 2 pipeline </t>
  </si>
  <si>
    <t>Mokolo Phase 1</t>
  </si>
  <si>
    <t>Case study Table</t>
  </si>
  <si>
    <r>
      <t>Scheme Yield (M.m</t>
    </r>
    <r>
      <rPr>
        <b/>
        <vertAlign val="superscript"/>
        <sz val="8"/>
        <color rgb="FF000000"/>
        <rFont val="Arial"/>
        <family val="2"/>
      </rPr>
      <t>3</t>
    </r>
    <r>
      <rPr>
        <b/>
        <sz val="8"/>
        <color rgb="FF000000"/>
        <rFont val="Arial"/>
        <family val="2"/>
      </rPr>
      <t>/a)</t>
    </r>
  </si>
  <si>
    <r>
      <t>ADC</t>
    </r>
    <r>
      <rPr>
        <b/>
        <vertAlign val="superscript"/>
        <sz val="8"/>
        <color rgb="FF000000"/>
        <rFont val="Arial"/>
        <family val="2"/>
      </rPr>
      <t>$</t>
    </r>
  </si>
  <si>
    <r>
      <t>EC</t>
    </r>
    <r>
      <rPr>
        <b/>
        <vertAlign val="superscript"/>
        <sz val="8"/>
        <color rgb="FF000000"/>
        <rFont val="Arial"/>
        <family val="2"/>
      </rPr>
      <t>#</t>
    </r>
  </si>
  <si>
    <r>
      <t>UWC (R/m</t>
    </r>
    <r>
      <rPr>
        <b/>
        <vertAlign val="superscript"/>
        <sz val="8"/>
        <color rgb="FF000000"/>
        <rFont val="Arial"/>
        <family val="2"/>
      </rPr>
      <t>3</t>
    </r>
    <r>
      <rPr>
        <b/>
        <sz val="8"/>
        <color rgb="FF000000"/>
        <rFont val="Arial"/>
        <family val="2"/>
      </rPr>
      <t>/a)</t>
    </r>
  </si>
  <si>
    <r>
      <t>(kWh/m</t>
    </r>
    <r>
      <rPr>
        <b/>
        <vertAlign val="superscript"/>
        <sz val="8"/>
        <color rgb="FF000000"/>
        <rFont val="Arial"/>
        <family val="2"/>
      </rPr>
      <t>3</t>
    </r>
    <r>
      <rPr>
        <b/>
        <sz val="8"/>
        <color rgb="FF000000"/>
        <rFont val="Arial"/>
        <family val="2"/>
      </rPr>
      <t>)</t>
    </r>
  </si>
  <si>
    <r>
      <t>(R x 10</t>
    </r>
    <r>
      <rPr>
        <b/>
        <vertAlign val="superscript"/>
        <sz val="8"/>
        <color rgb="FF000000"/>
        <rFont val="Arial"/>
        <family val="2"/>
      </rPr>
      <t>6</t>
    </r>
    <r>
      <rPr>
        <b/>
        <sz val="8"/>
        <color rgb="FF000000"/>
        <rFont val="Arial"/>
        <family val="2"/>
      </rPr>
      <t>)</t>
    </r>
  </si>
  <si>
    <t>Upper</t>
  </si>
  <si>
    <t>Olifants</t>
  </si>
  <si>
    <t>Lower</t>
  </si>
  <si>
    <t>Orange</t>
  </si>
  <si>
    <t>$ Assumes 30% depreciation portion and an average lifetime of 40 years</t>
  </si>
  <si>
    <t># Based on R0.90 /kWh electricity cost.</t>
  </si>
  <si>
    <r>
      <t>2 R5/m</t>
    </r>
    <r>
      <rPr>
        <vertAlign val="superscript"/>
        <sz val="8"/>
        <color rgb="FF000000"/>
        <rFont val="Arial"/>
        <family val="2"/>
      </rPr>
      <t>3</t>
    </r>
    <r>
      <rPr>
        <sz val="8"/>
        <color rgb="FF000000"/>
        <rFont val="Arial"/>
        <family val="2"/>
      </rPr>
      <t xml:space="preserve"> royalties for transfer from Zambezi</t>
    </r>
  </si>
  <si>
    <r>
      <t>3 Excludes R2/m</t>
    </r>
    <r>
      <rPr>
        <vertAlign val="superscript"/>
        <sz val="8"/>
        <color rgb="FF000000"/>
        <rFont val="Arial"/>
        <family val="2"/>
      </rPr>
      <t>3</t>
    </r>
    <r>
      <rPr>
        <sz val="8"/>
        <color rgb="FF000000"/>
        <rFont val="Arial"/>
        <family val="2"/>
      </rPr>
      <t xml:space="preserve"> water treatment cost</t>
    </r>
  </si>
  <si>
    <t>Boskraai Dam  (55%)</t>
  </si>
  <si>
    <t>Waterberg (Limpopo)</t>
  </si>
  <si>
    <t>urban:C</t>
  </si>
  <si>
    <t>yr:</t>
  </si>
  <si>
    <t>urban dmd</t>
  </si>
  <si>
    <t>URBAN_B</t>
  </si>
  <si>
    <t>Total inc. FGD(wet)</t>
  </si>
  <si>
    <t>raw with FGD in 2020</t>
  </si>
  <si>
    <t>Total w/o FGD</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</si>
</sst>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6" formatCode="&quot;R&quot;\ #,##0;[Red]&quot;R&quot;\ \-#,##0"/>
    <numFmt numFmtId="8" formatCode="&quot;R&quot;\ #,##0.00;[Red]&quot;R&quot;\ \-#,##0.00"/>
    <numFmt numFmtId="43" formatCode="_ * #,##0.00_ ;_ * \-#,##0.00_ ;_ * &quot;-&quot;??_ ;_ @_ "/>
    <numFmt numFmtId="164" formatCode="[$£-809]#,##0.000;[Red]&quot;-&quot;[$£-809]#,##0.000"/>
    <numFmt numFmtId="165" formatCode="_(&quot;$&quot;* #,##0.00_);_(&quot;$&quot;* \(#,##0.00\);_(&quot;$&quot;* &quot;-&quot;??_);_(@_)"/>
    <numFmt numFmtId="166" formatCode="&quot;R&quot;\ #,##0.00"/>
    <numFmt numFmtId="167" formatCode="&quot;R&quot;\ #,##0.0;[Red]&quot;R&quot;\ \-#,##0.0"/>
    <numFmt numFmtId="168" formatCode="_(* #,##0.00_);_(* \(#,##0.00\);_(* &quot;-&quot;??_);_(@_)"/>
    <numFmt numFmtId="169" formatCode="_ * #,##0_ ;_ * \-#,##0_ ;_ * &quot;-&quot;??_ ;_ @_ "/>
    <numFmt numFmtId="170" formatCode="0.000"/>
    <numFmt numFmtId="171" formatCode="0.0"/>
    <numFmt numFmtId="172" formatCode="0.0%"/>
    <numFmt numFmtId="173" formatCode="_(* #,##0_);_(* \(#,##0\);_(* &quot;-&quot;??_);_(@_)"/>
    <numFmt numFmtId="174" formatCode="0.00000"/>
    <numFmt numFmtId="175" formatCode="0.0000"/>
    <numFmt numFmtId="176" formatCode="_-* #,##0.00_-;\-* #,##0.00_-;_-* &quot;-&quot;??_-;_-@_-"/>
    <numFmt numFmtId="177" formatCode="[$£-809]#,##0.00;[Red]&quot;-&quot;[$£-809]#,##0.00"/>
    <numFmt numFmtId="178" formatCode="\ _-* #,##0.00_-;\-* #,##0.00_-;_-&quot; &quot;_-;_@\ _-"/>
    <numFmt numFmtId="179" formatCode="0.0000000"/>
    <numFmt numFmtId="180" formatCode="0.000000"/>
    <numFmt numFmtId="181" formatCode="0.000E+00"/>
    <numFmt numFmtId="182" formatCode="&quot;R&quot;\ #,##0.000;[Red]&quot;R&quot;\ \-#,##0.000"/>
    <numFmt numFmtId="183" formatCode="0.0000000000000000"/>
    <numFmt numFmtId="184" formatCode="\ _-* #,##0.0000_-;\-* #,##0.0000_-;_-&quot; &quot;_-;_@\ _-"/>
  </numFmts>
  <fonts count="85" x14ac:knownFonts="1">
    <font>
      <sz val="11"/>
      <color theme="1"/>
      <name val="Calibri"/>
      <family val="2"/>
      <scheme val="minor"/>
    </font>
    <font>
      <b/>
      <sz val="11"/>
      <color theme="1"/>
      <name val="Calibri"/>
      <family val="2"/>
      <scheme val="minor"/>
    </font>
    <font>
      <sz val="11"/>
      <color theme="1"/>
      <name val="Calibri"/>
      <family val="2"/>
      <scheme val="minor"/>
    </font>
    <font>
      <sz val="9"/>
      <color indexed="81"/>
      <name val="Tahoma"/>
      <family val="2"/>
    </font>
    <font>
      <b/>
      <sz val="11"/>
      <color rgb="FFFF0000"/>
      <name val="Calibri"/>
      <family val="2"/>
      <scheme val="minor"/>
    </font>
    <font>
      <i/>
      <sz val="9"/>
      <color indexed="81"/>
      <name val="Tahoma"/>
      <family val="2"/>
    </font>
    <font>
      <sz val="10"/>
      <name val="Arial"/>
      <family val="2"/>
    </font>
    <font>
      <sz val="11"/>
      <color rgb="FF0070C0"/>
      <name val="Calibri"/>
      <family val="2"/>
      <scheme val="minor"/>
    </font>
    <font>
      <b/>
      <sz val="11"/>
      <color rgb="FF0070C0"/>
      <name val="Calibri"/>
      <family val="2"/>
      <scheme val="minor"/>
    </font>
    <font>
      <sz val="10"/>
      <name val="Arial"/>
      <family val="2"/>
    </font>
    <font>
      <b/>
      <sz val="8"/>
      <name val="Arial"/>
      <family val="2"/>
    </font>
    <font>
      <sz val="8"/>
      <name val="Arial"/>
      <family val="2"/>
    </font>
    <font>
      <b/>
      <sz val="9"/>
      <color indexed="81"/>
      <name val="Tahoma"/>
      <family val="2"/>
    </font>
    <font>
      <b/>
      <sz val="11"/>
      <color rgb="FFFFFFFF"/>
      <name val="Calibri"/>
      <family val="2"/>
      <scheme val="minor"/>
    </font>
    <font>
      <sz val="10"/>
      <color theme="1"/>
      <name val="Calibri"/>
      <family val="2"/>
      <scheme val="minor"/>
    </font>
    <font>
      <sz val="11"/>
      <color rgb="FF000000"/>
      <name val="Calibri"/>
      <family val="2"/>
      <scheme val="minor"/>
    </font>
    <font>
      <b/>
      <sz val="11"/>
      <color theme="1"/>
      <name val="Calibri"/>
      <family val="2"/>
    </font>
    <font>
      <b/>
      <sz val="11"/>
      <color rgb="FF3F3F3F"/>
      <name val="Calibri"/>
      <family val="2"/>
      <scheme val="minor"/>
    </font>
    <font>
      <sz val="9"/>
      <color theme="1"/>
      <name val="Calibri"/>
      <family val="2"/>
      <scheme val="minor"/>
    </font>
    <font>
      <sz val="11"/>
      <color rgb="FF006100"/>
      <name val="Calibri"/>
      <family val="2"/>
      <scheme val="minor"/>
    </font>
    <font>
      <sz val="11"/>
      <color indexed="8"/>
      <name val="Calibri"/>
      <family val="2"/>
    </font>
    <font>
      <sz val="9"/>
      <color rgb="FF576170"/>
      <name val="Arial"/>
      <family val="2"/>
    </font>
    <font>
      <b/>
      <sz val="11"/>
      <color indexed="56"/>
      <name val="Calibri"/>
      <family val="2"/>
      <scheme val="minor"/>
    </font>
    <font>
      <b/>
      <u/>
      <sz val="11"/>
      <color indexed="56"/>
      <name val="Calibri"/>
      <family val="2"/>
      <scheme val="minor"/>
    </font>
    <font>
      <b/>
      <sz val="11"/>
      <color indexed="56"/>
      <name val="Arial"/>
      <family val="2"/>
    </font>
    <font>
      <sz val="8"/>
      <color rgb="FF00B050"/>
      <name val="Arial"/>
      <family val="2"/>
    </font>
    <font>
      <b/>
      <sz val="8"/>
      <color rgb="FF00B050"/>
      <name val="Arial"/>
      <family val="2"/>
    </font>
    <font>
      <sz val="11"/>
      <color theme="1"/>
      <name val="Arial"/>
      <family val="2"/>
    </font>
    <font>
      <sz val="11"/>
      <color rgb="FFFF0000"/>
      <name val="Calibri"/>
      <family val="2"/>
      <scheme val="minor"/>
    </font>
    <font>
      <vertAlign val="superscript"/>
      <sz val="11"/>
      <color theme="1"/>
      <name val="Calibri"/>
      <family val="2"/>
      <scheme val="minor"/>
    </font>
    <font>
      <sz val="10"/>
      <color rgb="FF000000"/>
      <name val="Calibri"/>
      <family val="2"/>
      <scheme val="minor"/>
    </font>
    <font>
      <b/>
      <u/>
      <sz val="10"/>
      <color theme="1"/>
      <name val="Arial"/>
      <family val="2"/>
    </font>
    <font>
      <b/>
      <sz val="8"/>
      <color theme="1"/>
      <name val="Arial"/>
      <family val="2"/>
    </font>
    <font>
      <b/>
      <vertAlign val="superscript"/>
      <sz val="8"/>
      <color theme="1"/>
      <name val="Arial"/>
      <family val="2"/>
    </font>
    <font>
      <sz val="8"/>
      <color theme="1"/>
      <name val="Arial"/>
      <family val="2"/>
    </font>
    <font>
      <sz val="8"/>
      <color rgb="FFFF0000"/>
      <name val="Arial"/>
      <family val="2"/>
    </font>
    <font>
      <strike/>
      <sz val="11"/>
      <color theme="1"/>
      <name val="Calibri"/>
      <family val="2"/>
      <scheme val="minor"/>
    </font>
    <font>
      <vertAlign val="superscript"/>
      <sz val="8"/>
      <color theme="1"/>
      <name val="Arial"/>
      <family val="2"/>
    </font>
    <font>
      <b/>
      <sz val="10"/>
      <color theme="1"/>
      <name val="Arial"/>
      <family val="2"/>
    </font>
    <font>
      <sz val="8"/>
      <color rgb="FF353D30"/>
      <name val="Arial"/>
      <family val="2"/>
    </font>
    <font>
      <vertAlign val="superscript"/>
      <sz val="8"/>
      <color rgb="FF353D30"/>
      <name val="Arial"/>
      <family val="2"/>
    </font>
    <font>
      <sz val="11"/>
      <color theme="0" tint="-0.249977111117893"/>
      <name val="Calibri"/>
      <family val="2"/>
      <scheme val="minor"/>
    </font>
    <font>
      <strike/>
      <sz val="11"/>
      <color theme="0" tint="-0.249977111117893"/>
      <name val="Calibri"/>
      <family val="2"/>
      <scheme val="minor"/>
    </font>
    <font>
      <sz val="11"/>
      <color theme="0" tint="-0.499984740745262"/>
      <name val="Calibri"/>
      <family val="2"/>
      <scheme val="minor"/>
    </font>
    <font>
      <sz val="8"/>
      <color theme="0" tint="-0.249977111117893"/>
      <name val="Arial"/>
      <family val="2"/>
    </font>
    <font>
      <sz val="11"/>
      <name val="Calibri"/>
      <family val="2"/>
      <scheme val="minor"/>
    </font>
    <font>
      <b/>
      <sz val="11"/>
      <name val="Calibri"/>
      <family val="2"/>
      <scheme val="minor"/>
    </font>
    <font>
      <sz val="11"/>
      <color rgb="FFFF0000"/>
      <name val="Calibri"/>
      <family val="2"/>
    </font>
    <font>
      <sz val="9"/>
      <color rgb="FFFF0000"/>
      <name val="Arial"/>
      <family val="2"/>
    </font>
    <font>
      <b/>
      <sz val="10"/>
      <color rgb="FF000000"/>
      <name val="Calibri"/>
      <family val="2"/>
      <scheme val="minor"/>
    </font>
    <font>
      <b/>
      <vertAlign val="superscript"/>
      <sz val="10"/>
      <color rgb="FF000000"/>
      <name val="Calibri"/>
      <family val="2"/>
      <scheme val="minor"/>
    </font>
    <font>
      <sz val="11"/>
      <color theme="3" tint="0.39997558519241921"/>
      <name val="Calibri"/>
      <family val="2"/>
      <scheme val="minor"/>
    </font>
    <font>
      <sz val="11"/>
      <color rgb="FF00B0F0"/>
      <name val="Calibri"/>
      <family val="2"/>
      <scheme val="minor"/>
    </font>
    <font>
      <b/>
      <vertAlign val="superscript"/>
      <sz val="11"/>
      <color theme="1"/>
      <name val="Calibri"/>
      <family val="2"/>
      <scheme val="minor"/>
    </font>
    <font>
      <sz val="10"/>
      <name val="Calibri"/>
      <family val="2"/>
      <scheme val="minor"/>
    </font>
    <font>
      <sz val="10"/>
      <color rgb="FFFF0000"/>
      <name val="Calibri"/>
      <family val="2"/>
      <scheme val="minor"/>
    </font>
    <font>
      <sz val="9"/>
      <color theme="1"/>
      <name val="Arial"/>
      <family val="2"/>
    </font>
    <font>
      <b/>
      <sz val="9"/>
      <color theme="1"/>
      <name val="Arial"/>
      <family val="2"/>
    </font>
    <font>
      <b/>
      <vertAlign val="superscript"/>
      <sz val="9"/>
      <color theme="1"/>
      <name val="Arial"/>
      <family val="2"/>
    </font>
    <font>
      <b/>
      <sz val="9"/>
      <color rgb="FF353D30"/>
      <name val="Arial"/>
      <family val="2"/>
    </font>
    <font>
      <sz val="10"/>
      <color theme="1"/>
      <name val="Arial"/>
      <family val="2"/>
    </font>
    <font>
      <sz val="11"/>
      <color rgb="FF3F3F76"/>
      <name val="Calibri"/>
      <family val="2"/>
      <scheme val="minor"/>
    </font>
    <font>
      <b/>
      <sz val="11"/>
      <color rgb="FFC00000"/>
      <name val="Calibri"/>
      <family val="2"/>
      <scheme val="minor"/>
    </font>
    <font>
      <sz val="11"/>
      <color rgb="FF00B050"/>
      <name val="Calibri"/>
      <family val="2"/>
      <scheme val="minor"/>
    </font>
    <font>
      <b/>
      <sz val="11"/>
      <color rgb="FF00B050"/>
      <name val="Calibri"/>
      <family val="2"/>
      <scheme val="minor"/>
    </font>
    <font>
      <i/>
      <sz val="11"/>
      <color theme="1"/>
      <name val="Calibri"/>
      <family val="2"/>
      <scheme val="minor"/>
    </font>
    <font>
      <sz val="8"/>
      <color indexed="81"/>
      <name val="Tahoma"/>
      <family val="2"/>
    </font>
    <font>
      <sz val="11"/>
      <color rgb="FF252525"/>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theme="0" tint="-0.34998626667073579"/>
      <name val="Calibri"/>
      <family val="2"/>
      <scheme val="minor"/>
    </font>
    <font>
      <strike/>
      <sz val="8"/>
      <color theme="1"/>
      <name val="Arial"/>
      <family val="2"/>
    </font>
    <font>
      <sz val="11"/>
      <color rgb="FFC00000"/>
      <name val="Calibri"/>
      <family val="2"/>
      <scheme val="minor"/>
    </font>
    <font>
      <b/>
      <sz val="9.5"/>
      <color theme="1"/>
      <name val="Calibri"/>
      <family val="2"/>
      <scheme val="minor"/>
    </font>
    <font>
      <sz val="9.5"/>
      <color theme="1"/>
      <name val="Calibri"/>
      <family val="2"/>
      <scheme val="minor"/>
    </font>
    <font>
      <sz val="6.5"/>
      <color theme="1"/>
      <name val="Calibri"/>
      <family val="2"/>
      <scheme val="minor"/>
    </font>
    <font>
      <b/>
      <sz val="8"/>
      <color theme="1"/>
      <name val="Calibri"/>
      <family val="2"/>
      <scheme val="minor"/>
    </font>
    <font>
      <b/>
      <sz val="12"/>
      <color theme="1"/>
      <name val="Calibri"/>
      <family val="2"/>
      <scheme val="minor"/>
    </font>
    <font>
      <b/>
      <sz val="11"/>
      <color theme="9" tint="-0.249977111117893"/>
      <name val="Calibri"/>
      <family val="2"/>
      <scheme val="minor"/>
    </font>
    <font>
      <sz val="11"/>
      <color theme="9" tint="-0.249977111117893"/>
      <name val="Calibri"/>
      <family val="2"/>
      <scheme val="minor"/>
    </font>
    <font>
      <b/>
      <sz val="8"/>
      <color rgb="FF000000"/>
      <name val="Arial"/>
      <family val="2"/>
    </font>
    <font>
      <b/>
      <vertAlign val="superscript"/>
      <sz val="8"/>
      <color rgb="FF000000"/>
      <name val="Arial"/>
      <family val="2"/>
    </font>
    <font>
      <sz val="8"/>
      <color rgb="FF000000"/>
      <name val="Arial"/>
      <family val="2"/>
    </font>
    <font>
      <vertAlign val="superscript"/>
      <sz val="8"/>
      <color rgb="FF000000"/>
      <name val="Arial"/>
      <family val="2"/>
    </font>
  </fonts>
  <fills count="36">
    <fill>
      <patternFill patternType="none"/>
    </fill>
    <fill>
      <patternFill patternType="gray125"/>
    </fill>
    <fill>
      <patternFill patternType="lightGray">
        <bgColor theme="0" tint="-0.249977111117893"/>
      </patternFill>
    </fill>
    <fill>
      <patternFill patternType="solid">
        <fgColor rgb="FFFFC000"/>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indexed="41"/>
        <bgColor indexed="64"/>
      </patternFill>
    </fill>
    <fill>
      <patternFill patternType="solid">
        <fgColor theme="7" tint="0.79998168889431442"/>
        <bgColor indexed="64"/>
      </patternFill>
    </fill>
    <fill>
      <patternFill patternType="solid">
        <fgColor rgb="FF4F81BD"/>
        <bgColor indexed="64"/>
      </patternFill>
    </fill>
    <fill>
      <patternFill patternType="solid">
        <fgColor rgb="FFF2F2F2"/>
      </patternFill>
    </fill>
    <fill>
      <patternFill patternType="solid">
        <fgColor rgb="FFC6EFCE"/>
      </patternFill>
    </fill>
    <fill>
      <patternFill patternType="solid">
        <fgColor theme="9"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C4E58E"/>
        <bgColor indexed="64"/>
      </patternFill>
    </fill>
    <fill>
      <patternFill patternType="solid">
        <fgColor rgb="FFE7F4D1"/>
        <bgColor indexed="64"/>
      </patternFill>
    </fill>
    <fill>
      <patternFill patternType="solid">
        <fgColor theme="9" tint="0.79998168889431442"/>
        <bgColor indexed="64"/>
      </patternFill>
    </fill>
    <fill>
      <patternFill patternType="solid">
        <fgColor rgb="FFFFCC99"/>
      </patternFill>
    </fill>
    <fill>
      <patternFill patternType="solid">
        <fgColor theme="3" tint="0.799981688894314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C7CE"/>
      </patternFill>
    </fill>
    <fill>
      <patternFill patternType="solid">
        <fgColor theme="6" tint="0.79998168889431442"/>
        <bgColor indexed="64"/>
      </patternFill>
    </fill>
    <fill>
      <patternFill patternType="solid">
        <fgColor theme="1" tint="0.14999847407452621"/>
        <bgColor indexed="64"/>
      </patternFill>
    </fill>
    <fill>
      <patternFill patternType="solid">
        <fgColor theme="5"/>
        <bgColor indexed="64"/>
      </patternFill>
    </fill>
    <fill>
      <patternFill patternType="solid">
        <fgColor theme="6" tint="0.39997558519241921"/>
        <bgColor indexed="64"/>
      </patternFill>
    </fill>
    <fill>
      <patternFill patternType="solid">
        <fgColor rgb="FFBFBFBF"/>
        <bgColor indexed="64"/>
      </patternFill>
    </fill>
    <fill>
      <patternFill patternType="solid">
        <fgColor rgb="FF8DB4E2"/>
        <bgColor indexed="64"/>
      </patternFill>
    </fill>
    <fill>
      <patternFill patternType="solid">
        <fgColor rgb="FFFFFFFF"/>
        <bgColor indexed="64"/>
      </patternFill>
    </fill>
  </fills>
  <borders count="6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right/>
      <top style="medium">
        <color indexed="64"/>
      </top>
      <bottom style="medium">
        <color indexed="64"/>
      </bottom>
      <diagonal/>
    </border>
    <border>
      <left style="thick">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rgb="FF4F81BD"/>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style="medium">
        <color rgb="FF4F81BD"/>
      </right>
      <top style="medium">
        <color rgb="FF4F81BD"/>
      </top>
      <bottom style="medium">
        <color rgb="FF4F81BD"/>
      </bottom>
      <diagonal/>
    </border>
    <border>
      <left style="medium">
        <color rgb="FF4F81BD"/>
      </left>
      <right/>
      <top/>
      <bottom/>
      <diagonal/>
    </border>
    <border>
      <left/>
      <right style="medium">
        <color rgb="FF4F81BD"/>
      </right>
      <top/>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auto="1"/>
      </left>
      <right style="thin">
        <color auto="1"/>
      </right>
      <top style="medium">
        <color indexed="64"/>
      </top>
      <bottom style="double">
        <color indexed="64"/>
      </bottom>
      <diagonal/>
    </border>
    <border>
      <left style="medium">
        <color rgb="FFBABFB7"/>
      </left>
      <right/>
      <top/>
      <bottom/>
      <diagonal/>
    </border>
    <border>
      <left style="medium">
        <color indexed="64"/>
      </left>
      <right style="medium">
        <color indexed="64"/>
      </right>
      <top style="medium">
        <color indexed="64"/>
      </top>
      <bottom/>
      <diagonal/>
    </border>
    <border>
      <left style="medium">
        <color rgb="FFBABFB7"/>
      </left>
      <right/>
      <top/>
      <bottom style="medium">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rgb="FF4F81BD"/>
      </top>
      <bottom style="medium">
        <color rgb="FF4F81BD"/>
      </bottom>
      <diagonal/>
    </border>
    <border>
      <left/>
      <right/>
      <top style="thin">
        <color indexed="64"/>
      </top>
      <bottom/>
      <diagonal/>
    </border>
    <border>
      <left style="thin">
        <color auto="1"/>
      </left>
      <right style="thin">
        <color auto="1"/>
      </right>
      <top style="thin">
        <color auto="1"/>
      </top>
      <bottom style="medium">
        <color indexed="64"/>
      </bottom>
      <diagonal/>
    </border>
    <border>
      <left style="thin">
        <color indexed="64"/>
      </left>
      <right/>
      <top/>
      <bottom/>
      <diagonal/>
    </border>
    <border>
      <left style="medium">
        <color rgb="FFBABFB7"/>
      </left>
      <right style="medium">
        <color rgb="FFBABFB7"/>
      </right>
      <top/>
      <bottom style="medium">
        <color rgb="FFBABFB7"/>
      </bottom>
      <diagonal/>
    </border>
    <border>
      <left style="medium">
        <color rgb="FFBABFB7"/>
      </left>
      <right style="medium">
        <color rgb="FFBABFB7"/>
      </right>
      <top style="medium">
        <color rgb="FFBABFB7"/>
      </top>
      <bottom/>
      <diagonal/>
    </border>
    <border>
      <left/>
      <right style="medium">
        <color rgb="FFBABFB7"/>
      </right>
      <top style="medium">
        <color rgb="FFBABFB7"/>
      </top>
      <bottom style="medium">
        <color rgb="FFBABFB7"/>
      </bottom>
      <diagonal/>
    </border>
    <border>
      <left/>
      <right/>
      <top style="medium">
        <color rgb="FFBABFB7"/>
      </top>
      <bottom style="medium">
        <color rgb="FFBABFB7"/>
      </bottom>
      <diagonal/>
    </border>
    <border>
      <left/>
      <right style="medium">
        <color rgb="FFBABFB7"/>
      </right>
      <top/>
      <bottom style="medium">
        <color rgb="FFBABFB7"/>
      </bottom>
      <diagonal/>
    </border>
    <border>
      <left style="medium">
        <color rgb="FFBABFB7"/>
      </left>
      <right/>
      <top style="medium">
        <color rgb="FFBABFB7"/>
      </top>
      <bottom style="medium">
        <color rgb="FFBABFB7"/>
      </bottom>
      <diagonal/>
    </border>
    <border>
      <left/>
      <right style="medium">
        <color rgb="FFBABFB7"/>
      </right>
      <top style="medium">
        <color rgb="FFBABFB7"/>
      </top>
      <bottom/>
      <diagonal/>
    </border>
    <border>
      <left style="medium">
        <color rgb="FFBABFB7"/>
      </left>
      <right style="medium">
        <color rgb="FFBABFB7"/>
      </right>
      <top/>
      <bottom/>
      <diagonal/>
    </border>
    <border>
      <left style="medium">
        <color rgb="FFBABFB7"/>
      </left>
      <right style="medium">
        <color rgb="FFBABFB7"/>
      </right>
      <top style="medium">
        <color rgb="FFBABFB7"/>
      </top>
      <bottom style="medium">
        <color rgb="FFBABFB7"/>
      </bottom>
      <diagonal/>
    </border>
    <border>
      <left/>
      <right style="medium">
        <color rgb="FFBABFB7"/>
      </right>
      <top/>
      <bottom/>
      <diagonal/>
    </border>
    <border>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auto="1"/>
      </left>
      <right style="thin">
        <color auto="1"/>
      </right>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right/>
      <top/>
      <bottom style="medium">
        <color rgb="FF000000"/>
      </bottom>
      <diagonal/>
    </border>
    <border>
      <left style="medium">
        <color rgb="FFBABFB7"/>
      </left>
      <right/>
      <top style="medium">
        <color indexed="64"/>
      </top>
      <bottom/>
      <diagonal/>
    </border>
  </borders>
  <cellStyleXfs count="30">
    <xf numFmtId="0" fontId="0" fillId="0" borderId="0"/>
    <xf numFmtId="0" fontId="2" fillId="0" borderId="0"/>
    <xf numFmtId="164" fontId="6" fillId="0" borderId="0"/>
    <xf numFmtId="0" fontId="9"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168" fontId="2" fillId="0" borderId="0" applyFont="0" applyFill="0" applyBorder="0" applyAlignment="0" applyProtection="0"/>
    <xf numFmtId="0" fontId="2" fillId="0" borderId="0"/>
    <xf numFmtId="164" fontId="2" fillId="0" borderId="0"/>
    <xf numFmtId="43" fontId="2" fillId="0" borderId="0" applyFont="0" applyFill="0" applyBorder="0" applyAlignment="0" applyProtection="0"/>
    <xf numFmtId="9" fontId="2" fillId="0" borderId="0" applyFont="0" applyFill="0" applyBorder="0" applyAlignment="0" applyProtection="0"/>
    <xf numFmtId="0" fontId="17" fillId="10" borderId="21" applyNumberFormat="0" applyAlignment="0" applyProtection="0"/>
    <xf numFmtId="0" fontId="19" fillId="11" borderId="0" applyNumberFormat="0" applyBorder="0" applyAlignment="0" applyProtection="0"/>
    <xf numFmtId="168" fontId="20" fillId="0" borderId="0" applyFont="0" applyFill="0" applyBorder="0" applyAlignment="0" applyProtection="0"/>
    <xf numFmtId="0" fontId="22" fillId="0" borderId="0" applyNumberFormat="0" applyFill="0" applyBorder="0" applyAlignment="0" applyProtection="0"/>
    <xf numFmtId="9" fontId="2" fillId="0" borderId="0" applyFont="0" applyFill="0" applyBorder="0" applyAlignment="0" applyProtection="0"/>
    <xf numFmtId="164" fontId="2" fillId="0" borderId="0"/>
    <xf numFmtId="176" fontId="6" fillId="0" borderId="0" applyFont="0" applyFill="0" applyBorder="0" applyAlignment="0" applyProtection="0"/>
    <xf numFmtId="0" fontId="61" fillId="23" borderId="46" applyNumberFormat="0" applyAlignment="0" applyProtection="0"/>
    <xf numFmtId="0" fontId="2" fillId="0" borderId="0"/>
    <xf numFmtId="0" fontId="68" fillId="0" borderId="48" applyNumberFormat="0" applyFill="0" applyAlignment="0" applyProtection="0"/>
    <xf numFmtId="0" fontId="70" fillId="28" borderId="0" applyNumberFormat="0" applyBorder="0" applyAlignment="0" applyProtection="0"/>
    <xf numFmtId="0" fontId="69" fillId="0" borderId="49" applyNumberFormat="0" applyFill="0" applyAlignment="0" applyProtection="0"/>
    <xf numFmtId="0" fontId="2" fillId="0" borderId="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cellStyleXfs>
  <cellXfs count="803">
    <xf numFmtId="0" fontId="0" fillId="0" borderId="0" xfId="0"/>
    <xf numFmtId="6" fontId="0" fillId="0" borderId="0" xfId="0" applyNumberFormat="1"/>
    <xf numFmtId="8" fontId="0" fillId="0" borderId="0" xfId="0" applyNumberFormat="1"/>
    <xf numFmtId="2" fontId="0" fillId="0" borderId="0" xfId="0" applyNumberFormat="1"/>
    <xf numFmtId="0" fontId="0" fillId="0" borderId="0" xfId="0" applyAlignment="1">
      <alignment horizontal="left"/>
    </xf>
    <xf numFmtId="0" fontId="1" fillId="0" borderId="0" xfId="0" applyFont="1"/>
    <xf numFmtId="0" fontId="0" fillId="2" borderId="0" xfId="0" applyFill="1"/>
    <xf numFmtId="0" fontId="0" fillId="2" borderId="0" xfId="0" applyFill="1" applyAlignment="1">
      <alignment horizontal="right"/>
    </xf>
    <xf numFmtId="0" fontId="0" fillId="0" borderId="0" xfId="0" applyAlignment="1">
      <alignment horizontal="right"/>
    </xf>
    <xf numFmtId="0" fontId="0" fillId="0" borderId="0" xfId="0" applyFill="1"/>
    <xf numFmtId="0" fontId="0" fillId="4" borderId="0" xfId="0" applyFill="1"/>
    <xf numFmtId="0" fontId="0" fillId="5" borderId="0" xfId="0" applyFill="1"/>
    <xf numFmtId="0" fontId="4" fillId="6" borderId="1" xfId="0" applyFont="1" applyFill="1" applyBorder="1"/>
    <xf numFmtId="0" fontId="4" fillId="6" borderId="2" xfId="0" applyFont="1" applyFill="1" applyBorder="1"/>
    <xf numFmtId="0" fontId="7" fillId="0" borderId="0" xfId="0" applyFont="1"/>
    <xf numFmtId="0" fontId="8" fillId="6" borderId="3" xfId="0" applyFont="1" applyFill="1" applyBorder="1" applyAlignment="1">
      <alignment horizontal="center"/>
    </xf>
    <xf numFmtId="0" fontId="8" fillId="6" borderId="4" xfId="0" applyFont="1" applyFill="1" applyBorder="1" applyAlignment="1">
      <alignment horizontal="center"/>
    </xf>
    <xf numFmtId="0" fontId="8" fillId="6" borderId="5" xfId="0" applyFont="1" applyFill="1" applyBorder="1" applyAlignment="1">
      <alignment horizontal="center"/>
    </xf>
    <xf numFmtId="0" fontId="8" fillId="6" borderId="6" xfId="0" applyFont="1" applyFill="1" applyBorder="1" applyAlignment="1">
      <alignment horizontal="center"/>
    </xf>
    <xf numFmtId="0" fontId="8" fillId="6" borderId="7" xfId="0" applyFont="1" applyFill="1" applyBorder="1" applyAlignment="1">
      <alignment horizontal="center"/>
    </xf>
    <xf numFmtId="0" fontId="8" fillId="6" borderId="8" xfId="0" applyFont="1" applyFill="1" applyBorder="1" applyAlignment="1">
      <alignment horizontal="center"/>
    </xf>
    <xf numFmtId="0" fontId="11" fillId="0" borderId="9" xfId="3" applyFont="1" applyBorder="1"/>
    <xf numFmtId="166" fontId="11" fillId="0" borderId="9" xfId="4" applyNumberFormat="1" applyFont="1" applyBorder="1"/>
    <xf numFmtId="0" fontId="10" fillId="7" borderId="1" xfId="3" applyFont="1" applyFill="1" applyBorder="1"/>
    <xf numFmtId="0" fontId="10" fillId="7" borderId="11" xfId="3" applyFont="1" applyFill="1" applyBorder="1"/>
    <xf numFmtId="0" fontId="10" fillId="7" borderId="2" xfId="3" applyFont="1" applyFill="1" applyBorder="1"/>
    <xf numFmtId="0" fontId="1" fillId="6" borderId="0" xfId="0" applyFont="1" applyFill="1"/>
    <xf numFmtId="2" fontId="1" fillId="0" borderId="0" xfId="0" applyNumberFormat="1" applyFont="1"/>
    <xf numFmtId="167" fontId="0" fillId="0" borderId="0" xfId="0" applyNumberFormat="1"/>
    <xf numFmtId="0" fontId="11" fillId="0" borderId="9" xfId="3" applyFont="1" applyBorder="1"/>
    <xf numFmtId="0" fontId="11" fillId="0" borderId="10" xfId="3" applyFont="1" applyBorder="1"/>
    <xf numFmtId="166" fontId="11" fillId="0" borderId="9" xfId="4" applyNumberFormat="1" applyFont="1" applyBorder="1"/>
    <xf numFmtId="0" fontId="11" fillId="0" borderId="9" xfId="3" applyFont="1" applyBorder="1"/>
    <xf numFmtId="166" fontId="11" fillId="0" borderId="9" xfId="4" applyNumberFormat="1" applyFont="1" applyBorder="1"/>
    <xf numFmtId="0" fontId="11" fillId="0" borderId="10" xfId="3" applyFont="1" applyBorder="1"/>
    <xf numFmtId="0" fontId="10" fillId="7" borderId="1" xfId="3" applyFont="1" applyFill="1" applyBorder="1"/>
    <xf numFmtId="0" fontId="10" fillId="7" borderId="11" xfId="3" applyFont="1" applyFill="1" applyBorder="1"/>
    <xf numFmtId="0" fontId="10" fillId="7" borderId="2" xfId="3" applyFont="1" applyFill="1" applyBorder="1"/>
    <xf numFmtId="6" fontId="1" fillId="0" borderId="0" xfId="0" applyNumberFormat="1" applyFont="1"/>
    <xf numFmtId="8" fontId="1" fillId="0" borderId="0" xfId="0" applyNumberFormat="1" applyFont="1"/>
    <xf numFmtId="0" fontId="0" fillId="8" borderId="0" xfId="0" applyFill="1"/>
    <xf numFmtId="2" fontId="0" fillId="8" borderId="0" xfId="0" applyNumberFormat="1" applyFill="1"/>
    <xf numFmtId="6" fontId="0" fillId="8" borderId="0" xfId="0" applyNumberFormat="1" applyFill="1"/>
    <xf numFmtId="8" fontId="0" fillId="8" borderId="0" xfId="0" applyNumberFormat="1" applyFill="1"/>
    <xf numFmtId="6" fontId="1" fillId="0" borderId="0" xfId="0" applyNumberFormat="1" applyFont="1" applyAlignment="1">
      <alignment horizontal="left" indent="2"/>
    </xf>
    <xf numFmtId="0" fontId="0" fillId="0" borderId="0" xfId="0" applyFont="1"/>
    <xf numFmtId="0" fontId="0" fillId="4" borderId="0" xfId="0" applyFont="1" applyFill="1" applyAlignment="1">
      <alignment horizontal="center"/>
    </xf>
    <xf numFmtId="2" fontId="0" fillId="4" borderId="0" xfId="0" applyNumberFormat="1" applyFont="1" applyFill="1" applyAlignment="1">
      <alignment horizontal="center"/>
    </xf>
    <xf numFmtId="8" fontId="0" fillId="4" borderId="0" xfId="0" applyNumberFormat="1" applyFont="1" applyFill="1" applyAlignment="1">
      <alignment horizontal="center"/>
    </xf>
    <xf numFmtId="2" fontId="0" fillId="4" borderId="0" xfId="0" applyNumberFormat="1" applyFill="1"/>
    <xf numFmtId="6" fontId="0" fillId="4" borderId="0" xfId="0" applyNumberFormat="1" applyFill="1"/>
    <xf numFmtId="2" fontId="0" fillId="4" borderId="0" xfId="0" applyNumberFormat="1" applyFill="1" applyAlignment="1">
      <alignment horizontal="left" indent="2"/>
    </xf>
    <xf numFmtId="8" fontId="0" fillId="4" borderId="0" xfId="0" applyNumberFormat="1" applyFill="1"/>
    <xf numFmtId="1" fontId="0" fillId="0" borderId="0" xfId="0" applyNumberFormat="1"/>
    <xf numFmtId="0" fontId="0" fillId="6" borderId="0" xfId="0" applyFill="1"/>
    <xf numFmtId="0" fontId="0" fillId="0" borderId="3" xfId="0" applyBorder="1"/>
    <xf numFmtId="0" fontId="0" fillId="0" borderId="4" xfId="0" applyBorder="1"/>
    <xf numFmtId="0" fontId="0" fillId="0" borderId="5" xfId="0" applyBorder="1"/>
    <xf numFmtId="0" fontId="0" fillId="0" borderId="13" xfId="0" applyBorder="1"/>
    <xf numFmtId="0" fontId="0" fillId="0" borderId="0" xfId="0" applyBorder="1"/>
    <xf numFmtId="0" fontId="0" fillId="0" borderId="14" xfId="0" applyBorder="1"/>
    <xf numFmtId="0" fontId="0" fillId="0" borderId="6" xfId="0" applyBorder="1"/>
    <xf numFmtId="0" fontId="0" fillId="0" borderId="7" xfId="0" applyBorder="1"/>
    <xf numFmtId="0" fontId="0" fillId="0" borderId="8" xfId="0" applyBorder="1"/>
    <xf numFmtId="0" fontId="6" fillId="0" borderId="0" xfId="6"/>
    <xf numFmtId="0" fontId="13" fillId="9" borderId="15" xfId="0" applyFont="1" applyFill="1" applyBorder="1" applyAlignment="1">
      <alignment horizontal="center" vertical="center" wrapText="1"/>
    </xf>
    <xf numFmtId="0" fontId="13" fillId="9" borderId="16" xfId="0" applyFont="1" applyFill="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43" fontId="0" fillId="0" borderId="0" xfId="0" applyNumberFormat="1"/>
    <xf numFmtId="0" fontId="1" fillId="0" borderId="1" xfId="0" applyFont="1" applyBorder="1"/>
    <xf numFmtId="0" fontId="1" fillId="0" borderId="11" xfId="0" applyFont="1" applyBorder="1" applyAlignment="1">
      <alignment horizontal="left"/>
    </xf>
    <xf numFmtId="0" fontId="1" fillId="0" borderId="2" xfId="0" applyFont="1" applyBorder="1" applyAlignment="1">
      <alignment horizontal="right"/>
    </xf>
    <xf numFmtId="9" fontId="0" fillId="0" borderId="0" xfId="12" applyFont="1"/>
    <xf numFmtId="169" fontId="1" fillId="0" borderId="0" xfId="11" applyNumberFormat="1" applyFont="1"/>
    <xf numFmtId="0" fontId="13" fillId="9" borderId="17" xfId="0" applyFont="1" applyFill="1" applyBorder="1" applyAlignment="1">
      <alignment horizontal="center" vertical="center" wrapText="1"/>
    </xf>
    <xf numFmtId="0" fontId="13" fillId="9" borderId="18" xfId="0" applyFont="1" applyFill="1" applyBorder="1" applyAlignment="1">
      <alignment horizontal="center" vertical="center" wrapText="1"/>
    </xf>
    <xf numFmtId="0" fontId="15" fillId="0" borderId="0" xfId="0" applyFont="1" applyAlignment="1">
      <alignment horizontal="justify" vertical="center"/>
    </xf>
    <xf numFmtId="3" fontId="0" fillId="0" borderId="0" xfId="0" applyNumberFormat="1"/>
    <xf numFmtId="170" fontId="0" fillId="0" borderId="0" xfId="0" applyNumberFormat="1"/>
    <xf numFmtId="171" fontId="0" fillId="0" borderId="0" xfId="0" applyNumberFormat="1"/>
    <xf numFmtId="0" fontId="1"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9" fontId="0" fillId="0" borderId="0" xfId="12" applyFont="1" applyAlignment="1">
      <alignment horizontal="center"/>
    </xf>
    <xf numFmtId="0" fontId="0" fillId="0" borderId="0" xfId="0" quotePrefix="1"/>
    <xf numFmtId="9" fontId="1" fillId="0" borderId="0" xfId="12" applyFont="1"/>
    <xf numFmtId="172" fontId="17" fillId="10" borderId="21" xfId="13" applyNumberFormat="1"/>
    <xf numFmtId="11" fontId="0" fillId="0" borderId="0" xfId="0" applyNumberFormat="1"/>
    <xf numFmtId="0" fontId="0" fillId="0" borderId="0" xfId="0" applyAlignment="1">
      <alignment horizontal="center"/>
    </xf>
    <xf numFmtId="0" fontId="18" fillId="0" borderId="0" xfId="0" applyFont="1" applyAlignment="1">
      <alignment horizontal="center" vertical="center"/>
    </xf>
    <xf numFmtId="0" fontId="22" fillId="0" borderId="0" xfId="16" applyBorder="1" applyAlignment="1">
      <alignment horizontal="center" vertical="center" wrapText="1"/>
    </xf>
    <xf numFmtId="0" fontId="25" fillId="0" borderId="22" xfId="1" applyFont="1" applyFill="1" applyBorder="1" applyAlignment="1">
      <alignment vertical="top" wrapText="1"/>
    </xf>
    <xf numFmtId="0" fontId="26" fillId="0" borderId="22" xfId="1" applyFont="1" applyFill="1" applyBorder="1" applyAlignment="1" applyProtection="1">
      <alignment vertical="top" wrapText="1"/>
      <protection locked="0"/>
    </xf>
    <xf numFmtId="0" fontId="22" fillId="0" borderId="23" xfId="16" applyBorder="1" applyAlignment="1">
      <alignment horizontal="center" vertical="center" wrapText="1"/>
    </xf>
    <xf numFmtId="172" fontId="2" fillId="0" borderId="23" xfId="17" applyNumberFormat="1" applyBorder="1"/>
    <xf numFmtId="0" fontId="27" fillId="0" borderId="23" xfId="1" applyFont="1" applyBorder="1"/>
    <xf numFmtId="0" fontId="1" fillId="0" borderId="0" xfId="0" applyFont="1" applyAlignment="1">
      <alignment horizontal="center"/>
    </xf>
    <xf numFmtId="9" fontId="0" fillId="0" borderId="0" xfId="0" applyNumberFormat="1"/>
    <xf numFmtId="0" fontId="25" fillId="0" borderId="0" xfId="1" applyFont="1" applyFill="1" applyBorder="1" applyAlignment="1">
      <alignment vertical="top" wrapText="1"/>
    </xf>
    <xf numFmtId="0" fontId="22" fillId="0" borderId="0" xfId="16" applyFill="1" applyBorder="1" applyAlignment="1">
      <alignment horizontal="center" vertical="center" wrapText="1"/>
    </xf>
    <xf numFmtId="0" fontId="1" fillId="0" borderId="0" xfId="0" applyFont="1" applyAlignment="1">
      <alignment horizontal="right"/>
    </xf>
    <xf numFmtId="0" fontId="17" fillId="10" borderId="21" xfId="13"/>
    <xf numFmtId="3" fontId="0" fillId="0" borderId="0" xfId="0" applyNumberFormat="1" applyFont="1"/>
    <xf numFmtId="0" fontId="0" fillId="0" borderId="0" xfId="0" applyAlignment="1">
      <alignment horizontal="center"/>
    </xf>
    <xf numFmtId="174" fontId="0" fillId="3" borderId="0" xfId="0" applyNumberFormat="1" applyFill="1" applyAlignment="1">
      <alignment horizontal="center"/>
    </xf>
    <xf numFmtId="2" fontId="0" fillId="0" borderId="0" xfId="0" applyNumberFormat="1" applyFill="1"/>
    <xf numFmtId="0" fontId="30" fillId="0" borderId="0" xfId="0" applyFont="1"/>
    <xf numFmtId="0" fontId="14" fillId="0" borderId="0" xfId="0" applyFont="1"/>
    <xf numFmtId="0" fontId="17" fillId="10" borderId="21" xfId="13" applyAlignment="1">
      <alignment horizontal="center"/>
    </xf>
    <xf numFmtId="172" fontId="0" fillId="0" borderId="0" xfId="0" applyNumberFormat="1" applyAlignment="1">
      <alignment horizontal="center"/>
    </xf>
    <xf numFmtId="9"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vertical="center"/>
    </xf>
    <xf numFmtId="0" fontId="32" fillId="13" borderId="0" xfId="0" applyFont="1" applyFill="1" applyAlignment="1">
      <alignment horizontal="center" vertical="center" wrapText="1"/>
    </xf>
    <xf numFmtId="0" fontId="32" fillId="13" borderId="9" xfId="0" applyFont="1" applyFill="1" applyBorder="1" applyAlignment="1">
      <alignment horizontal="center" vertical="center" wrapText="1"/>
    </xf>
    <xf numFmtId="0" fontId="0" fillId="0" borderId="27" xfId="0" applyBorder="1"/>
    <xf numFmtId="0" fontId="0" fillId="0" borderId="0" xfId="0" applyFont="1" applyBorder="1"/>
    <xf numFmtId="0" fontId="34" fillId="0" borderId="0" xfId="0" applyFont="1" applyAlignment="1">
      <alignment horizontal="center" vertical="center"/>
    </xf>
    <xf numFmtId="0" fontId="34" fillId="0" borderId="0" xfId="0" applyFont="1" applyAlignment="1">
      <alignment horizontal="center" vertical="center" wrapText="1"/>
    </xf>
    <xf numFmtId="2" fontId="34" fillId="0" borderId="0" xfId="0" applyNumberFormat="1" applyFont="1" applyBorder="1" applyAlignment="1">
      <alignment horizontal="center" vertical="center"/>
    </xf>
    <xf numFmtId="1" fontId="34" fillId="0" borderId="0" xfId="0" applyNumberFormat="1" applyFont="1" applyAlignment="1">
      <alignment horizontal="center" vertical="center"/>
    </xf>
    <xf numFmtId="171" fontId="34" fillId="0" borderId="0" xfId="0" applyNumberFormat="1" applyFont="1" applyAlignment="1">
      <alignment horizontal="center" vertical="center"/>
    </xf>
    <xf numFmtId="2" fontId="34" fillId="0" borderId="0" xfId="0" applyNumberFormat="1" applyFont="1" applyAlignment="1">
      <alignment horizontal="center" vertical="center"/>
    </xf>
    <xf numFmtId="2" fontId="0" fillId="12" borderId="25" xfId="0" applyNumberFormat="1" applyFill="1" applyBorder="1"/>
    <xf numFmtId="2" fontId="0" fillId="12" borderId="28" xfId="0" applyNumberFormat="1" applyFill="1" applyBorder="1"/>
    <xf numFmtId="0" fontId="34" fillId="0" borderId="7" xfId="0" applyFont="1" applyBorder="1" applyAlignment="1">
      <alignment horizontal="center" vertical="center"/>
    </xf>
    <xf numFmtId="0" fontId="34" fillId="0" borderId="7" xfId="0" applyFont="1" applyBorder="1" applyAlignment="1">
      <alignment horizontal="center" vertical="center" wrapText="1"/>
    </xf>
    <xf numFmtId="2" fontId="34" fillId="0" borderId="7" xfId="0" applyNumberFormat="1" applyFont="1" applyBorder="1" applyAlignment="1">
      <alignment horizontal="center" vertical="center"/>
    </xf>
    <xf numFmtId="1" fontId="34" fillId="0" borderId="7" xfId="0" applyNumberFormat="1" applyFont="1" applyBorder="1" applyAlignment="1">
      <alignment horizontal="center" vertical="center"/>
    </xf>
    <xf numFmtId="0" fontId="0" fillId="12" borderId="29" xfId="0" applyFill="1" applyBorder="1"/>
    <xf numFmtId="0" fontId="0" fillId="12" borderId="28" xfId="0" applyFont="1" applyFill="1" applyBorder="1"/>
    <xf numFmtId="0" fontId="0" fillId="0" borderId="0" xfId="0" applyFont="1" applyBorder="1" applyAlignment="1">
      <alignment horizontal="center"/>
    </xf>
    <xf numFmtId="0" fontId="34" fillId="0" borderId="0" xfId="0" applyFont="1" applyBorder="1" applyAlignment="1">
      <alignment horizontal="center" vertical="center"/>
    </xf>
    <xf numFmtId="0" fontId="35" fillId="0" borderId="0" xfId="0" applyFont="1" applyBorder="1" applyAlignment="1">
      <alignment horizontal="center" vertical="center" wrapText="1"/>
    </xf>
    <xf numFmtId="1" fontId="35" fillId="0" borderId="0" xfId="0" applyNumberFormat="1" applyFont="1" applyAlignment="1">
      <alignment horizontal="center" vertical="center"/>
    </xf>
    <xf numFmtId="0" fontId="34" fillId="0" borderId="0" xfId="0" applyFont="1" applyBorder="1" applyAlignment="1">
      <alignment horizontal="center" vertical="center" wrapText="1"/>
    </xf>
    <xf numFmtId="0" fontId="36" fillId="0" borderId="0" xfId="0" applyFont="1" applyAlignment="1">
      <alignment horizontal="center"/>
    </xf>
    <xf numFmtId="0" fontId="36" fillId="0" borderId="0" xfId="0" applyFont="1"/>
    <xf numFmtId="2" fontId="0" fillId="12" borderId="29" xfId="0" applyNumberFormat="1" applyFill="1" applyBorder="1"/>
    <xf numFmtId="0" fontId="35" fillId="0" borderId="0" xfId="0" applyFont="1" applyAlignment="1">
      <alignment horizontal="center" vertical="center" wrapText="1"/>
    </xf>
    <xf numFmtId="0" fontId="0" fillId="0" borderId="0" xfId="0" applyFill="1" applyBorder="1"/>
    <xf numFmtId="0" fontId="0" fillId="0" borderId="0" xfId="0" applyBorder="1" applyAlignment="1">
      <alignment horizontal="center"/>
    </xf>
    <xf numFmtId="0" fontId="34" fillId="0" borderId="4" xfId="0" applyFont="1" applyBorder="1" applyAlignment="1">
      <alignment vertical="center" wrapText="1"/>
    </xf>
    <xf numFmtId="0" fontId="34" fillId="0" borderId="4" xfId="0" applyFont="1" applyBorder="1" applyAlignment="1">
      <alignment vertical="center"/>
    </xf>
    <xf numFmtId="0" fontId="27" fillId="0" borderId="0" xfId="0" applyFont="1" applyAlignment="1">
      <alignment vertical="center"/>
    </xf>
    <xf numFmtId="0" fontId="34" fillId="0" borderId="0" xfId="0" applyFont="1" applyAlignment="1">
      <alignment vertical="center" wrapText="1"/>
    </xf>
    <xf numFmtId="0" fontId="34" fillId="0" borderId="0" xfId="0" applyFont="1" applyAlignment="1">
      <alignment vertical="center"/>
    </xf>
    <xf numFmtId="0" fontId="38" fillId="15" borderId="0" xfId="0" applyFont="1" applyFill="1"/>
    <xf numFmtId="0" fontId="0" fillId="15" borderId="0" xfId="0" applyFill="1"/>
    <xf numFmtId="0" fontId="32" fillId="0" borderId="11" xfId="0" applyFont="1" applyBorder="1" applyAlignment="1">
      <alignment horizontal="center" vertical="center"/>
    </xf>
    <xf numFmtId="0" fontId="34" fillId="0" borderId="11" xfId="0" applyFont="1" applyBorder="1" applyAlignment="1">
      <alignment horizontal="center" vertical="center" wrapText="1"/>
    </xf>
    <xf numFmtId="0" fontId="34" fillId="0" borderId="11" xfId="0" applyFont="1" applyBorder="1" applyAlignment="1">
      <alignment horizontal="center" vertical="center"/>
    </xf>
    <xf numFmtId="171" fontId="34" fillId="0" borderId="11" xfId="0" applyNumberFormat="1" applyFont="1" applyBorder="1" applyAlignment="1">
      <alignment horizontal="center" vertical="center"/>
    </xf>
    <xf numFmtId="2" fontId="34" fillId="0" borderId="11" xfId="0" applyNumberFormat="1" applyFont="1" applyBorder="1" applyAlignment="1">
      <alignment horizontal="center" vertical="center"/>
    </xf>
    <xf numFmtId="0" fontId="27" fillId="0" borderId="11" xfId="0" applyFont="1" applyBorder="1" applyAlignment="1">
      <alignment vertical="center"/>
    </xf>
    <xf numFmtId="0" fontId="39" fillId="0" borderId="11" xfId="0" applyFont="1" applyBorder="1" applyAlignment="1">
      <alignment horizontal="center" vertical="center"/>
    </xf>
    <xf numFmtId="2" fontId="39" fillId="0" borderId="11" xfId="0" applyNumberFormat="1" applyFont="1" applyBorder="1" applyAlignment="1">
      <alignment horizontal="center" vertical="center"/>
    </xf>
    <xf numFmtId="0" fontId="39" fillId="0" borderId="0" xfId="0" applyFont="1" applyAlignment="1">
      <alignment horizontal="center" vertical="center"/>
    </xf>
    <xf numFmtId="2" fontId="39" fillId="0" borderId="0" xfId="0" applyNumberFormat="1" applyFont="1" applyAlignment="1">
      <alignment horizontal="center" vertical="center"/>
    </xf>
    <xf numFmtId="171" fontId="34" fillId="0" borderId="7" xfId="0" applyNumberFormat="1" applyFont="1" applyBorder="1" applyAlignment="1">
      <alignment horizontal="center" vertical="center"/>
    </xf>
    <xf numFmtId="0" fontId="27" fillId="0" borderId="7" xfId="0" applyFont="1" applyBorder="1" applyAlignment="1">
      <alignment vertical="center"/>
    </xf>
    <xf numFmtId="0" fontId="39" fillId="0" borderId="7" xfId="0" applyFont="1" applyBorder="1" applyAlignment="1">
      <alignment horizontal="center" vertical="center"/>
    </xf>
    <xf numFmtId="2" fontId="39" fillId="0" borderId="7" xfId="0" applyNumberFormat="1" applyFont="1" applyBorder="1" applyAlignment="1">
      <alignment horizontal="center" vertical="center"/>
    </xf>
    <xf numFmtId="0" fontId="39" fillId="0" borderId="0" xfId="0" applyFont="1" applyAlignment="1">
      <alignment vertical="center"/>
    </xf>
    <xf numFmtId="0" fontId="40" fillId="0" borderId="0" xfId="0" applyFont="1" applyAlignment="1">
      <alignment vertical="center"/>
    </xf>
    <xf numFmtId="49" fontId="32" fillId="13" borderId="9" xfId="0" applyNumberFormat="1" applyFont="1" applyFill="1" applyBorder="1" applyAlignment="1">
      <alignment horizontal="center" vertical="center" wrapText="1"/>
    </xf>
    <xf numFmtId="0" fontId="0" fillId="0" borderId="0" xfId="0" applyAlignment="1">
      <alignment horizontal="center"/>
    </xf>
    <xf numFmtId="0" fontId="32" fillId="13" borderId="0" xfId="0" applyFont="1" applyFill="1" applyAlignment="1">
      <alignment horizontal="center" vertical="center" wrapText="1"/>
    </xf>
    <xf numFmtId="0" fontId="32" fillId="13" borderId="7" xfId="0" applyFont="1" applyFill="1" applyBorder="1" applyAlignment="1">
      <alignment horizontal="center" vertical="center" wrapText="1"/>
    </xf>
    <xf numFmtId="0" fontId="28" fillId="0" borderId="0" xfId="0" applyFont="1" applyAlignment="1">
      <alignment horizontal="center"/>
    </xf>
    <xf numFmtId="2" fontId="0" fillId="0" borderId="0" xfId="0" applyNumberFormat="1" applyFont="1" applyBorder="1" applyAlignment="1">
      <alignment horizontal="center"/>
    </xf>
    <xf numFmtId="2" fontId="0" fillId="0" borderId="0" xfId="0" applyNumberFormat="1" applyBorder="1" applyAlignment="1">
      <alignment horizontal="center"/>
    </xf>
    <xf numFmtId="2" fontId="0" fillId="0" borderId="0" xfId="0" applyNumberFormat="1" applyFill="1" applyBorder="1"/>
    <xf numFmtId="0" fontId="0" fillId="0" borderId="0" xfId="0" applyFill="1" applyBorder="1" applyAlignment="1">
      <alignment horizontal="center"/>
    </xf>
    <xf numFmtId="0" fontId="0" fillId="0" borderId="0" xfId="0" applyFill="1" applyAlignment="1">
      <alignment horizontal="center"/>
    </xf>
    <xf numFmtId="0" fontId="0" fillId="0" borderId="27" xfId="0" applyFill="1" applyBorder="1"/>
    <xf numFmtId="170" fontId="41" fillId="0" borderId="0" xfId="0" applyNumberFormat="1" applyFont="1" applyFill="1"/>
    <xf numFmtId="0" fontId="41" fillId="0" borderId="0" xfId="0" applyFont="1" applyFill="1"/>
    <xf numFmtId="2" fontId="41" fillId="0" borderId="0" xfId="0" applyNumberFormat="1" applyFont="1" applyFill="1" applyBorder="1"/>
    <xf numFmtId="2" fontId="41" fillId="0" borderId="0" xfId="0" applyNumberFormat="1" applyFont="1" applyFill="1"/>
    <xf numFmtId="2" fontId="42" fillId="0" borderId="0" xfId="0" applyNumberFormat="1" applyFont="1" applyFill="1"/>
    <xf numFmtId="0" fontId="42" fillId="0" borderId="0" xfId="0" applyFont="1" applyFill="1"/>
    <xf numFmtId="0" fontId="41" fillId="0" borderId="0" xfId="0" applyFont="1" applyFill="1" applyAlignment="1">
      <alignment horizontal="center"/>
    </xf>
    <xf numFmtId="0" fontId="43" fillId="0" borderId="0" xfId="0" applyFont="1" applyFill="1"/>
    <xf numFmtId="0" fontId="44" fillId="0" borderId="0" xfId="0" applyFont="1" applyAlignment="1">
      <alignment horizontal="center" vertical="center" wrapText="1"/>
    </xf>
    <xf numFmtId="171" fontId="34" fillId="0" borderId="0" xfId="0" applyNumberFormat="1" applyFont="1" applyAlignment="1">
      <alignment vertical="center"/>
    </xf>
    <xf numFmtId="171" fontId="34" fillId="0" borderId="7" xfId="0" applyNumberFormat="1" applyFont="1" applyBorder="1" applyAlignment="1">
      <alignment vertical="center"/>
    </xf>
    <xf numFmtId="171" fontId="34" fillId="0" borderId="0" xfId="0" applyNumberFormat="1" applyFont="1" applyBorder="1" applyAlignment="1">
      <alignment vertical="center"/>
    </xf>
    <xf numFmtId="0" fontId="0" fillId="12" borderId="9" xfId="0" applyFont="1" applyFill="1" applyBorder="1"/>
    <xf numFmtId="2" fontId="0" fillId="12" borderId="9" xfId="0" applyNumberFormat="1" applyFill="1" applyBorder="1"/>
    <xf numFmtId="0" fontId="0" fillId="0" borderId="22" xfId="0" applyBorder="1"/>
    <xf numFmtId="0" fontId="23" fillId="0" borderId="22" xfId="16" applyFont="1" applyBorder="1" applyAlignment="1">
      <alignment horizontal="center" vertical="center" wrapText="1"/>
    </xf>
    <xf numFmtId="0" fontId="22" fillId="0" borderId="22" xfId="16" applyBorder="1" applyAlignment="1">
      <alignment horizontal="center" vertical="center" wrapText="1"/>
    </xf>
    <xf numFmtId="172" fontId="2" fillId="0" borderId="22" xfId="17" applyNumberFormat="1" applyBorder="1"/>
    <xf numFmtId="171" fontId="34" fillId="0" borderId="0" xfId="0" applyNumberFormat="1" applyFont="1" applyFill="1" applyAlignment="1">
      <alignment horizontal="center" vertical="center"/>
    </xf>
    <xf numFmtId="2" fontId="35" fillId="0" borderId="0" xfId="0" applyNumberFormat="1" applyFont="1" applyFill="1" applyAlignment="1">
      <alignment horizontal="center" vertical="center"/>
    </xf>
    <xf numFmtId="170" fontId="0" fillId="0" borderId="0" xfId="0" applyNumberFormat="1" applyFill="1" applyBorder="1" applyAlignment="1">
      <alignment horizontal="center"/>
    </xf>
    <xf numFmtId="2" fontId="39" fillId="0" borderId="11" xfId="0" applyNumberFormat="1" applyFont="1" applyFill="1" applyBorder="1" applyAlignment="1">
      <alignment horizontal="center" vertical="center"/>
    </xf>
    <xf numFmtId="2" fontId="39" fillId="0" borderId="0" xfId="0" applyNumberFormat="1" applyFont="1" applyFill="1" applyAlignment="1">
      <alignment horizontal="center" vertical="center"/>
    </xf>
    <xf numFmtId="2" fontId="39" fillId="0" borderId="7" xfId="0" applyNumberFormat="1" applyFont="1" applyFill="1" applyBorder="1" applyAlignment="1">
      <alignment horizontal="center" vertical="center"/>
    </xf>
    <xf numFmtId="175" fontId="39" fillId="0" borderId="0" xfId="0" applyNumberFormat="1" applyFont="1" applyFill="1" applyAlignment="1">
      <alignment horizontal="center" vertical="center"/>
    </xf>
    <xf numFmtId="0" fontId="0" fillId="0" borderId="27" xfId="0" applyFont="1" applyBorder="1"/>
    <xf numFmtId="2" fontId="0" fillId="0" borderId="0" xfId="0" applyNumberFormat="1" applyFont="1"/>
    <xf numFmtId="0" fontId="0" fillId="0" borderId="0" xfId="0" applyAlignment="1">
      <alignment horizontal="center"/>
    </xf>
    <xf numFmtId="0" fontId="41" fillId="0" borderId="0" xfId="0" applyFont="1" applyFill="1" applyBorder="1"/>
    <xf numFmtId="0" fontId="0" fillId="0" borderId="7" xfId="0" applyBorder="1" applyAlignment="1">
      <alignment horizontal="center"/>
    </xf>
    <xf numFmtId="2" fontId="41" fillId="0" borderId="7" xfId="0" applyNumberFormat="1" applyFont="1" applyFill="1" applyBorder="1"/>
    <xf numFmtId="0" fontId="41" fillId="0" borderId="7" xfId="0" applyFont="1" applyFill="1" applyBorder="1" applyAlignment="1">
      <alignment horizontal="center"/>
    </xf>
    <xf numFmtId="0" fontId="41" fillId="0" borderId="0" xfId="0" applyFont="1" applyFill="1" applyBorder="1" applyAlignment="1">
      <alignment horizontal="center"/>
    </xf>
    <xf numFmtId="2" fontId="45" fillId="0" borderId="0" xfId="0" applyNumberFormat="1" applyFont="1" applyFill="1"/>
    <xf numFmtId="2" fontId="45" fillId="0" borderId="0" xfId="0" applyNumberFormat="1" applyFont="1" applyFill="1" applyBorder="1"/>
    <xf numFmtId="2" fontId="45" fillId="0" borderId="7" xfId="0" applyNumberFormat="1" applyFont="1" applyFill="1" applyBorder="1"/>
    <xf numFmtId="0" fontId="45" fillId="0" borderId="7" xfId="0" applyFont="1" applyFill="1" applyBorder="1" applyAlignment="1">
      <alignment horizontal="center"/>
    </xf>
    <xf numFmtId="0" fontId="0" fillId="0" borderId="0" xfId="0" applyAlignment="1">
      <alignment horizontal="center"/>
    </xf>
    <xf numFmtId="0" fontId="0" fillId="0" borderId="30" xfId="0" applyBorder="1"/>
    <xf numFmtId="0" fontId="23" fillId="0" borderId="30" xfId="16" applyFont="1" applyBorder="1" applyAlignment="1">
      <alignment horizontal="center" vertical="center" wrapText="1"/>
    </xf>
    <xf numFmtId="0" fontId="22" fillId="0" borderId="30" xfId="16" applyBorder="1" applyAlignment="1">
      <alignment horizontal="center" vertical="center" wrapText="1"/>
    </xf>
    <xf numFmtId="168" fontId="20" fillId="0" borderId="30" xfId="15" applyNumberFormat="1" applyFont="1" applyBorder="1"/>
    <xf numFmtId="0" fontId="1" fillId="0" borderId="30" xfId="0" applyFont="1" applyBorder="1" applyAlignment="1">
      <alignment horizontal="right"/>
    </xf>
    <xf numFmtId="0" fontId="0" fillId="0" borderId="30" xfId="0" applyFont="1" applyBorder="1"/>
    <xf numFmtId="173" fontId="22" fillId="0" borderId="22" xfId="16" applyNumberFormat="1" applyBorder="1" applyAlignment="1">
      <alignment horizontal="center" vertical="center" wrapText="1"/>
    </xf>
    <xf numFmtId="0" fontId="0" fillId="0" borderId="0" xfId="0" applyAlignment="1">
      <alignment horizontal="center"/>
    </xf>
    <xf numFmtId="0" fontId="0" fillId="18" borderId="0" xfId="0" applyFill="1"/>
    <xf numFmtId="1" fontId="28" fillId="18" borderId="0" xfId="0" applyNumberFormat="1" applyFont="1" applyFill="1"/>
    <xf numFmtId="0" fontId="2" fillId="15" borderId="0" xfId="1" applyFont="1" applyFill="1" applyBorder="1"/>
    <xf numFmtId="0" fontId="0" fillId="15" borderId="0" xfId="1" applyFont="1" applyFill="1" applyBorder="1"/>
    <xf numFmtId="0" fontId="2" fillId="15" borderId="0" xfId="1" applyFill="1"/>
    <xf numFmtId="173" fontId="20" fillId="15" borderId="0" xfId="15" applyNumberFormat="1" applyFont="1" applyFill="1" applyBorder="1"/>
    <xf numFmtId="0" fontId="19" fillId="15" borderId="0" xfId="14" applyFill="1" applyBorder="1"/>
    <xf numFmtId="168" fontId="20" fillId="15" borderId="0" xfId="15" applyNumberFormat="1" applyFont="1" applyFill="1" applyBorder="1"/>
    <xf numFmtId="3" fontId="21" fillId="15" borderId="0" xfId="0" applyNumberFormat="1" applyFont="1" applyFill="1"/>
    <xf numFmtId="1" fontId="0" fillId="15" borderId="0" xfId="0" applyNumberFormat="1" applyFill="1"/>
    <xf numFmtId="175" fontId="45" fillId="0" borderId="0" xfId="0" applyNumberFormat="1" applyFont="1" applyFill="1" applyBorder="1" applyAlignment="1">
      <alignment horizontal="center"/>
    </xf>
    <xf numFmtId="175" fontId="45" fillId="0" borderId="0" xfId="0" applyNumberFormat="1" applyFont="1" applyFill="1" applyAlignment="1">
      <alignment horizontal="center"/>
    </xf>
    <xf numFmtId="175" fontId="45" fillId="0" borderId="7" xfId="0" applyNumberFormat="1" applyFont="1" applyFill="1" applyBorder="1" applyAlignment="1">
      <alignment horizontal="center"/>
    </xf>
    <xf numFmtId="175" fontId="41" fillId="0" borderId="0" xfId="0" applyNumberFormat="1" applyFont="1" applyFill="1" applyAlignment="1">
      <alignment horizontal="center"/>
    </xf>
    <xf numFmtId="2" fontId="41" fillId="0" borderId="7" xfId="0" applyNumberFormat="1" applyFont="1" applyFill="1" applyBorder="1" applyAlignment="1">
      <alignment horizontal="center"/>
    </xf>
    <xf numFmtId="2" fontId="41" fillId="0" borderId="0" xfId="0" applyNumberFormat="1" applyFont="1" applyFill="1" applyBorder="1" applyAlignment="1">
      <alignment horizontal="center"/>
    </xf>
    <xf numFmtId="174" fontId="41" fillId="0" borderId="0" xfId="0" applyNumberFormat="1" applyFont="1" applyFill="1" applyAlignment="1">
      <alignment horizontal="center"/>
    </xf>
    <xf numFmtId="0" fontId="42" fillId="0" borderId="0" xfId="0" applyFont="1" applyFill="1" applyAlignment="1">
      <alignment horizontal="center"/>
    </xf>
    <xf numFmtId="2" fontId="0" fillId="0" borderId="0" xfId="0" applyNumberFormat="1" applyAlignment="1">
      <alignment horizontal="center"/>
    </xf>
    <xf numFmtId="175" fontId="0" fillId="0" borderId="0" xfId="0" applyNumberFormat="1" applyAlignment="1">
      <alignment horizontal="center"/>
    </xf>
    <xf numFmtId="2" fontId="0" fillId="0" borderId="7" xfId="0" applyNumberFormat="1" applyBorder="1" applyAlignment="1">
      <alignment horizontal="center"/>
    </xf>
    <xf numFmtId="170" fontId="0" fillId="0" borderId="7" xfId="0" applyNumberFormat="1" applyBorder="1" applyAlignment="1">
      <alignment horizontal="center"/>
    </xf>
    <xf numFmtId="0" fontId="0" fillId="0" borderId="0" xfId="0" applyFont="1" applyAlignment="1">
      <alignment horizontal="center"/>
    </xf>
    <xf numFmtId="2" fontId="36" fillId="0" borderId="0" xfId="0" applyNumberFormat="1" applyFont="1" applyBorder="1" applyAlignment="1">
      <alignment horizontal="center"/>
    </xf>
    <xf numFmtId="0" fontId="36" fillId="0" borderId="0" xfId="0" applyFont="1" applyBorder="1" applyAlignment="1">
      <alignment horizontal="center"/>
    </xf>
    <xf numFmtId="170" fontId="39" fillId="0" borderId="7" xfId="0" applyNumberFormat="1" applyFont="1" applyFill="1" applyBorder="1" applyAlignment="1">
      <alignment horizontal="center" vertical="center"/>
    </xf>
    <xf numFmtId="0" fontId="49" fillId="0" borderId="17" xfId="0" applyFont="1" applyBorder="1" applyAlignment="1">
      <alignment horizontal="center" vertical="center"/>
    </xf>
    <xf numFmtId="0" fontId="30" fillId="0" borderId="31" xfId="0" applyFont="1" applyBorder="1" applyAlignment="1">
      <alignment horizontal="center" vertical="center" wrapText="1"/>
    </xf>
    <xf numFmtId="0" fontId="30" fillId="0" borderId="18" xfId="0" applyFont="1" applyBorder="1" applyAlignment="1">
      <alignment horizontal="center" vertical="center" wrapText="1"/>
    </xf>
    <xf numFmtId="0" fontId="49" fillId="0" borderId="19" xfId="0" applyFont="1" applyBorder="1" applyAlignment="1">
      <alignment horizontal="center" vertical="center"/>
    </xf>
    <xf numFmtId="0" fontId="30" fillId="0" borderId="0" xfId="0" applyFont="1" applyAlignment="1">
      <alignment horizontal="center" vertical="center" wrapText="1"/>
    </xf>
    <xf numFmtId="0" fontId="30" fillId="0" borderId="20" xfId="0" applyFont="1" applyBorder="1" applyAlignment="1">
      <alignment horizontal="center" vertical="center" wrapText="1"/>
    </xf>
    <xf numFmtId="170" fontId="0" fillId="15" borderId="0" xfId="0" applyNumberFormat="1" applyFill="1"/>
    <xf numFmtId="0" fontId="2" fillId="5" borderId="0" xfId="1" applyFont="1" applyFill="1" applyBorder="1"/>
    <xf numFmtId="0" fontId="0" fillId="5" borderId="0" xfId="1" applyFont="1" applyFill="1" applyBorder="1"/>
    <xf numFmtId="0" fontId="2" fillId="5" borderId="0" xfId="1" applyFill="1"/>
    <xf numFmtId="173" fontId="20" fillId="5" borderId="0" xfId="15" applyNumberFormat="1" applyFont="1" applyFill="1" applyBorder="1"/>
    <xf numFmtId="0" fontId="19" fillId="5" borderId="0" xfId="14" applyFill="1" applyBorder="1"/>
    <xf numFmtId="168" fontId="20" fillId="5" borderId="0" xfId="15" applyNumberFormat="1" applyFont="1" applyFill="1" applyBorder="1"/>
    <xf numFmtId="3" fontId="21" fillId="5" borderId="0" xfId="0" applyNumberFormat="1" applyFont="1" applyFill="1"/>
    <xf numFmtId="1" fontId="0" fillId="5" borderId="0" xfId="0" applyNumberFormat="1" applyFill="1"/>
    <xf numFmtId="2" fontId="0" fillId="5" borderId="0" xfId="0" applyNumberFormat="1" applyFill="1"/>
    <xf numFmtId="0" fontId="28" fillId="5" borderId="0" xfId="1" applyFont="1" applyFill="1" applyBorder="1"/>
    <xf numFmtId="0" fontId="28" fillId="5" borderId="0" xfId="1" applyFont="1" applyFill="1"/>
    <xf numFmtId="173" fontId="47" fillId="5" borderId="0" xfId="15" applyNumberFormat="1" applyFont="1" applyFill="1" applyBorder="1"/>
    <xf numFmtId="168" fontId="47" fillId="5" borderId="0" xfId="15" applyNumberFormat="1" applyFont="1" applyFill="1" applyBorder="1"/>
    <xf numFmtId="3" fontId="48" fillId="5" borderId="0" xfId="0" applyNumberFormat="1" applyFont="1" applyFill="1"/>
    <xf numFmtId="1" fontId="28" fillId="5" borderId="0" xfId="0" applyNumberFormat="1" applyFont="1" applyFill="1"/>
    <xf numFmtId="0" fontId="28" fillId="5" borderId="0" xfId="0" applyFont="1" applyFill="1"/>
    <xf numFmtId="0" fontId="1" fillId="0" borderId="0" xfId="0" applyFont="1" applyAlignment="1">
      <alignment horizontal="center"/>
    </xf>
    <xf numFmtId="0" fontId="0" fillId="0" borderId="0" xfId="0" applyAlignment="1">
      <alignment horizontal="center"/>
    </xf>
    <xf numFmtId="175" fontId="0" fillId="5" borderId="0" xfId="0" applyNumberFormat="1" applyFill="1"/>
    <xf numFmtId="2" fontId="28" fillId="5" borderId="0" xfId="0" applyNumberFormat="1" applyFont="1" applyFill="1"/>
    <xf numFmtId="9" fontId="21" fillId="5" borderId="0" xfId="12" applyFont="1" applyFill="1"/>
    <xf numFmtId="0" fontId="0" fillId="5" borderId="22" xfId="0" applyFill="1" applyBorder="1"/>
    <xf numFmtId="168" fontId="20" fillId="5" borderId="22" xfId="15" applyNumberFormat="1" applyFont="1" applyFill="1" applyBorder="1"/>
    <xf numFmtId="0" fontId="1" fillId="5" borderId="22" xfId="0" applyFont="1" applyFill="1" applyBorder="1" applyAlignment="1">
      <alignment horizontal="right"/>
    </xf>
    <xf numFmtId="43" fontId="0" fillId="5" borderId="22" xfId="0" applyNumberFormat="1" applyFont="1" applyFill="1" applyBorder="1"/>
    <xf numFmtId="170" fontId="0" fillId="5" borderId="22" xfId="0" applyNumberFormat="1" applyFont="1" applyFill="1" applyBorder="1"/>
    <xf numFmtId="2" fontId="0" fillId="5" borderId="22" xfId="0" applyNumberFormat="1" applyFont="1" applyFill="1" applyBorder="1"/>
    <xf numFmtId="2" fontId="0" fillId="5" borderId="22" xfId="0" applyNumberFormat="1" applyFill="1" applyBorder="1"/>
    <xf numFmtId="173" fontId="19" fillId="5" borderId="0" xfId="14" applyNumberFormat="1" applyFill="1" applyBorder="1"/>
    <xf numFmtId="0" fontId="23" fillId="5" borderId="22" xfId="16" applyFont="1" applyFill="1" applyBorder="1" applyAlignment="1">
      <alignment horizontal="center" vertical="center" wrapText="1"/>
    </xf>
    <xf numFmtId="0" fontId="22" fillId="5" borderId="22" xfId="16" applyFill="1" applyBorder="1" applyAlignment="1">
      <alignment horizontal="center" vertical="center" wrapText="1"/>
    </xf>
    <xf numFmtId="172" fontId="2" fillId="5" borderId="22" xfId="17" applyNumberFormat="1" applyFill="1" applyBorder="1"/>
    <xf numFmtId="0" fontId="0" fillId="5" borderId="22" xfId="0" applyFont="1" applyFill="1" applyBorder="1"/>
    <xf numFmtId="2" fontId="0" fillId="5" borderId="30" xfId="0" applyNumberFormat="1" applyFill="1" applyBorder="1"/>
    <xf numFmtId="10" fontId="2" fillId="5" borderId="0" xfId="12" applyNumberFormat="1" applyFont="1" applyFill="1" applyBorder="1"/>
    <xf numFmtId="10" fontId="2" fillId="0" borderId="30" xfId="12" applyNumberFormat="1" applyBorder="1"/>
    <xf numFmtId="10" fontId="2" fillId="15" borderId="0" xfId="12" applyNumberFormat="1" applyFont="1" applyFill="1" applyBorder="1"/>
    <xf numFmtId="10" fontId="28" fillId="5" borderId="0" xfId="12" applyNumberFormat="1" applyFont="1" applyFill="1" applyBorder="1"/>
    <xf numFmtId="10" fontId="0" fillId="5" borderId="22" xfId="12" applyNumberFormat="1" applyFont="1" applyFill="1" applyBorder="1"/>
    <xf numFmtId="10" fontId="0" fillId="0" borderId="30" xfId="12" applyNumberFormat="1" applyFont="1" applyBorder="1"/>
    <xf numFmtId="3" fontId="21" fillId="5" borderId="0" xfId="0" applyNumberFormat="1" applyFont="1" applyFill="1" applyBorder="1"/>
    <xf numFmtId="0" fontId="2" fillId="5" borderId="0" xfId="1" applyFill="1" applyBorder="1"/>
    <xf numFmtId="0" fontId="0" fillId="5" borderId="22" xfId="1" applyFont="1" applyFill="1" applyBorder="1"/>
    <xf numFmtId="0" fontId="2" fillId="5" borderId="22" xfId="1" applyFill="1" applyBorder="1"/>
    <xf numFmtId="173" fontId="20" fillId="5" borderId="22" xfId="15" applyNumberFormat="1" applyFont="1" applyFill="1" applyBorder="1"/>
    <xf numFmtId="10" fontId="2" fillId="5" borderId="22" xfId="12" applyNumberFormat="1" applyFont="1" applyFill="1" applyBorder="1"/>
    <xf numFmtId="0" fontId="2" fillId="5" borderId="22" xfId="1" applyFont="1" applyFill="1" applyBorder="1"/>
    <xf numFmtId="0" fontId="19" fillId="5" borderId="22" xfId="14" applyFill="1" applyBorder="1"/>
    <xf numFmtId="2" fontId="0" fillId="15" borderId="0" xfId="0" applyNumberFormat="1" applyFill="1" applyAlignment="1">
      <alignment horizontal="right"/>
    </xf>
    <xf numFmtId="170" fontId="0" fillId="15" borderId="0" xfId="0" applyNumberFormat="1" applyFill="1" applyAlignment="1">
      <alignment horizontal="right"/>
    </xf>
    <xf numFmtId="1" fontId="28" fillId="15" borderId="0" xfId="0" applyNumberFormat="1" applyFont="1" applyFill="1"/>
    <xf numFmtId="2" fontId="0" fillId="15" borderId="0" xfId="0" applyNumberFormat="1" applyFill="1"/>
    <xf numFmtId="173" fontId="19" fillId="15" borderId="0" xfId="14" applyNumberFormat="1" applyFill="1" applyBorder="1"/>
    <xf numFmtId="0" fontId="2" fillId="18" borderId="0" xfId="1" applyFont="1" applyFill="1" applyBorder="1"/>
    <xf numFmtId="0" fontId="0" fillId="18" borderId="0" xfId="1" applyFont="1" applyFill="1" applyBorder="1"/>
    <xf numFmtId="0" fontId="2" fillId="18" borderId="0" xfId="1" applyFill="1"/>
    <xf numFmtId="173" fontId="20" fillId="18" borderId="0" xfId="15" applyNumberFormat="1" applyFont="1" applyFill="1" applyBorder="1"/>
    <xf numFmtId="10" fontId="2" fillId="18" borderId="0" xfId="12" applyNumberFormat="1" applyFont="1" applyFill="1" applyBorder="1"/>
    <xf numFmtId="168" fontId="20" fillId="18" borderId="0" xfId="15" applyNumberFormat="1" applyFont="1" applyFill="1" applyBorder="1"/>
    <xf numFmtId="1" fontId="0" fillId="18" borderId="0" xfId="0" applyNumberFormat="1" applyFill="1"/>
    <xf numFmtId="2" fontId="0" fillId="18" borderId="0" xfId="0" applyNumberFormat="1" applyFill="1"/>
    <xf numFmtId="170" fontId="0" fillId="18" borderId="0" xfId="0" applyNumberFormat="1" applyFill="1"/>
    <xf numFmtId="1" fontId="2" fillId="18" borderId="0" xfId="1" applyNumberFormat="1" applyFont="1" applyFill="1" applyBorder="1"/>
    <xf numFmtId="0" fontId="19" fillId="18" borderId="0" xfId="14" applyFill="1" applyBorder="1"/>
    <xf numFmtId="3" fontId="21" fillId="18" borderId="0" xfId="0" applyNumberFormat="1" applyFont="1" applyFill="1"/>
    <xf numFmtId="0" fontId="28" fillId="15" borderId="0" xfId="1" applyFont="1" applyFill="1" applyBorder="1"/>
    <xf numFmtId="0" fontId="28" fillId="15" borderId="0" xfId="1" applyFont="1" applyFill="1"/>
    <xf numFmtId="173" fontId="47" fillId="15" borderId="0" xfId="15" applyNumberFormat="1" applyFont="1" applyFill="1" applyBorder="1"/>
    <xf numFmtId="10" fontId="28" fillId="15" borderId="0" xfId="12" applyNumberFormat="1" applyFont="1" applyFill="1" applyBorder="1"/>
    <xf numFmtId="168" fontId="47" fillId="15" borderId="0" xfId="15" applyNumberFormat="1" applyFont="1" applyFill="1" applyBorder="1"/>
    <xf numFmtId="3" fontId="48" fillId="15" borderId="0" xfId="0" applyNumberFormat="1" applyFont="1" applyFill="1"/>
    <xf numFmtId="170" fontId="28" fillId="15" borderId="0" xfId="0" applyNumberFormat="1" applyFont="1" applyFill="1"/>
    <xf numFmtId="0" fontId="28" fillId="15" borderId="0" xfId="0" applyFont="1" applyFill="1"/>
    <xf numFmtId="0" fontId="0" fillId="19" borderId="0" xfId="0" applyFill="1"/>
    <xf numFmtId="170" fontId="0" fillId="19" borderId="0" xfId="0" applyNumberFormat="1" applyFill="1"/>
    <xf numFmtId="0" fontId="28" fillId="5" borderId="22" xfId="1" applyFont="1" applyFill="1" applyBorder="1"/>
    <xf numFmtId="173" fontId="47" fillId="5" borderId="22" xfId="15" applyNumberFormat="1" applyFont="1" applyFill="1" applyBorder="1"/>
    <xf numFmtId="10" fontId="28" fillId="5" borderId="22" xfId="12" applyNumberFormat="1" applyFont="1" applyFill="1" applyBorder="1"/>
    <xf numFmtId="168" fontId="47" fillId="5" borderId="22" xfId="15" applyNumberFormat="1" applyFont="1" applyFill="1" applyBorder="1"/>
    <xf numFmtId="0" fontId="0" fillId="5" borderId="0" xfId="0" applyFill="1" applyBorder="1"/>
    <xf numFmtId="10" fontId="0" fillId="19" borderId="0" xfId="12" applyNumberFormat="1" applyFont="1" applyFill="1"/>
    <xf numFmtId="2" fontId="0" fillId="19" borderId="0" xfId="0" applyNumberFormat="1" applyFill="1"/>
    <xf numFmtId="0" fontId="25" fillId="6" borderId="22" xfId="1" applyFont="1" applyFill="1" applyBorder="1" applyAlignment="1">
      <alignment horizontal="center" vertical="center" wrapText="1"/>
    </xf>
    <xf numFmtId="10" fontId="2" fillId="5" borderId="22" xfId="12" applyNumberFormat="1" applyFill="1" applyBorder="1"/>
    <xf numFmtId="0" fontId="0" fillId="0" borderId="22" xfId="0" applyBorder="1" applyAlignment="1">
      <alignment horizontal="center" vertical="center"/>
    </xf>
    <xf numFmtId="0" fontId="0" fillId="5" borderId="0" xfId="0" applyFill="1" applyAlignment="1">
      <alignment horizontal="center" vertical="center"/>
    </xf>
    <xf numFmtId="0" fontId="0" fillId="0" borderId="30" xfId="0" applyBorder="1" applyAlignment="1">
      <alignment horizontal="center" vertical="center"/>
    </xf>
    <xf numFmtId="0" fontId="0" fillId="18" borderId="0" xfId="0" applyFill="1" applyAlignment="1">
      <alignment horizontal="center" vertical="center"/>
    </xf>
    <xf numFmtId="0" fontId="25" fillId="0" borderId="0" xfId="1" applyFont="1" applyFill="1" applyBorder="1" applyAlignment="1">
      <alignment horizontal="center" vertical="center" wrapText="1"/>
    </xf>
    <xf numFmtId="0" fontId="0" fillId="5" borderId="22" xfId="0" applyFill="1" applyBorder="1" applyAlignment="1">
      <alignment horizontal="center" vertical="center"/>
    </xf>
    <xf numFmtId="0" fontId="24" fillId="5" borderId="0" xfId="16" applyFont="1" applyFill="1" applyBorder="1" applyAlignment="1">
      <alignment horizontal="center" vertical="center" wrapText="1"/>
    </xf>
    <xf numFmtId="0" fontId="23" fillId="5" borderId="0" xfId="16" applyFont="1" applyFill="1" applyBorder="1" applyAlignment="1">
      <alignment horizontal="center" vertical="center" wrapText="1"/>
    </xf>
    <xf numFmtId="0" fontId="22" fillId="5" borderId="0" xfId="16" applyFill="1" applyBorder="1" applyAlignment="1">
      <alignment horizontal="center" vertical="center" wrapText="1"/>
    </xf>
    <xf numFmtId="172" fontId="2" fillId="5" borderId="0" xfId="17" applyNumberFormat="1" applyFill="1" applyBorder="1"/>
    <xf numFmtId="0" fontId="0" fillId="4" borderId="0" xfId="0" applyFill="1" applyAlignment="1">
      <alignment horizontal="center" vertical="center"/>
    </xf>
    <xf numFmtId="0" fontId="2" fillId="4" borderId="0" xfId="1" applyFont="1" applyFill="1" applyBorder="1"/>
    <xf numFmtId="0" fontId="0" fillId="4" borderId="0" xfId="1" applyFont="1" applyFill="1" applyBorder="1"/>
    <xf numFmtId="0" fontId="2" fillId="4" borderId="0" xfId="1" applyFill="1"/>
    <xf numFmtId="173" fontId="20" fillId="4" borderId="0" xfId="15" applyNumberFormat="1" applyFont="1" applyFill="1" applyBorder="1"/>
    <xf numFmtId="10" fontId="2" fillId="4" borderId="0" xfId="12" applyNumberFormat="1" applyFont="1" applyFill="1" applyBorder="1"/>
    <xf numFmtId="0" fontId="19" fillId="4" borderId="0" xfId="14" applyFill="1" applyBorder="1"/>
    <xf numFmtId="173" fontId="19" fillId="4" borderId="0" xfId="14" applyNumberFormat="1" applyFill="1" applyBorder="1"/>
    <xf numFmtId="168" fontId="20" fillId="4" borderId="0" xfId="15" applyNumberFormat="1" applyFont="1" applyFill="1" applyBorder="1"/>
    <xf numFmtId="3" fontId="21" fillId="4" borderId="0" xfId="0" applyNumberFormat="1" applyFont="1" applyFill="1"/>
    <xf numFmtId="1" fontId="0" fillId="4" borderId="0" xfId="0" applyNumberFormat="1" applyFill="1"/>
    <xf numFmtId="175" fontId="0" fillId="4" borderId="0" xfId="0" applyNumberFormat="1" applyFill="1"/>
    <xf numFmtId="172" fontId="2" fillId="6" borderId="22" xfId="17" applyNumberFormat="1" applyFill="1" applyBorder="1"/>
    <xf numFmtId="0" fontId="22" fillId="6" borderId="22" xfId="16" applyFill="1" applyBorder="1" applyAlignment="1">
      <alignment horizontal="center" vertical="center" wrapText="1"/>
    </xf>
    <xf numFmtId="0" fontId="25" fillId="0" borderId="30" xfId="1" applyFont="1" applyFill="1" applyBorder="1" applyAlignment="1">
      <alignment vertical="top" wrapText="1"/>
    </xf>
    <xf numFmtId="0" fontId="17" fillId="5" borderId="29" xfId="13" applyFill="1" applyBorder="1"/>
    <xf numFmtId="173" fontId="25" fillId="0" borderId="22" xfId="1" applyNumberFormat="1" applyFont="1" applyFill="1" applyBorder="1" applyAlignment="1">
      <alignment vertical="top" wrapText="1"/>
    </xf>
    <xf numFmtId="3" fontId="48" fillId="5" borderId="22" xfId="0" applyNumberFormat="1" applyFont="1" applyFill="1" applyBorder="1"/>
    <xf numFmtId="1" fontId="28" fillId="5" borderId="22" xfId="0" applyNumberFormat="1" applyFont="1" applyFill="1" applyBorder="1"/>
    <xf numFmtId="0" fontId="28" fillId="5" borderId="22" xfId="0" applyFont="1" applyFill="1" applyBorder="1"/>
    <xf numFmtId="170" fontId="0" fillId="5" borderId="22" xfId="12" applyNumberFormat="1" applyFont="1" applyFill="1" applyBorder="1"/>
    <xf numFmtId="0" fontId="0" fillId="0" borderId="0" xfId="0" applyAlignment="1">
      <alignment horizontal="center"/>
    </xf>
    <xf numFmtId="175" fontId="30" fillId="0" borderId="31" xfId="0" applyNumberFormat="1" applyFont="1" applyBorder="1" applyAlignment="1">
      <alignment horizontal="center" vertical="center" wrapText="1"/>
    </xf>
    <xf numFmtId="0" fontId="0" fillId="5" borderId="0" xfId="0" applyFill="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1" fontId="51" fillId="0" borderId="0" xfId="0" applyNumberFormat="1" applyFont="1" applyAlignment="1">
      <alignment horizontal="center"/>
    </xf>
    <xf numFmtId="0" fontId="51" fillId="0" borderId="0" xfId="0" applyFont="1" applyAlignment="1">
      <alignment horizontal="center"/>
    </xf>
    <xf numFmtId="1" fontId="51" fillId="0" borderId="0" xfId="0" applyNumberFormat="1" applyFont="1" applyFill="1" applyAlignment="1">
      <alignment horizontal="center"/>
    </xf>
    <xf numFmtId="0" fontId="51" fillId="0" borderId="0" xfId="0" applyFont="1" applyFill="1" applyAlignment="1">
      <alignment horizontal="center"/>
    </xf>
    <xf numFmtId="0" fontId="0" fillId="0" borderId="0" xfId="0" applyAlignment="1">
      <alignment horizontal="center"/>
    </xf>
    <xf numFmtId="0" fontId="51" fillId="0" borderId="0" xfId="0" applyFont="1" applyAlignment="1">
      <alignment horizontal="left" vertical="center"/>
    </xf>
    <xf numFmtId="0" fontId="0" fillId="0" borderId="0" xfId="0" applyAlignment="1">
      <alignment horizontal="left" vertical="center"/>
    </xf>
    <xf numFmtId="0" fontId="51" fillId="0" borderId="0" xfId="0" applyFont="1" applyFill="1" applyAlignment="1">
      <alignment horizontal="left" vertical="center"/>
    </xf>
    <xf numFmtId="170" fontId="2" fillId="0" borderId="0" xfId="18" applyNumberFormat="1"/>
    <xf numFmtId="0" fontId="0" fillId="0" borderId="0" xfId="18" applyNumberFormat="1" applyFont="1"/>
    <xf numFmtId="0" fontId="10" fillId="0" borderId="33"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3" fontId="0" fillId="0" borderId="0" xfId="5" applyNumberFormat="1" applyFont="1"/>
    <xf numFmtId="3" fontId="41" fillId="0" borderId="0" xfId="5" applyNumberFormat="1" applyFont="1" applyFill="1"/>
    <xf numFmtId="0" fontId="41" fillId="0" borderId="0" xfId="18" applyNumberFormat="1" applyFont="1"/>
    <xf numFmtId="0" fontId="41" fillId="0" borderId="0" xfId="0" applyFont="1" applyAlignment="1">
      <alignment horizontal="left"/>
    </xf>
    <xf numFmtId="0" fontId="41" fillId="0" borderId="0" xfId="0" applyFont="1"/>
    <xf numFmtId="175" fontId="41" fillId="0" borderId="0" xfId="0" applyNumberFormat="1" applyFont="1" applyAlignment="1">
      <alignment horizontal="center"/>
    </xf>
    <xf numFmtId="3" fontId="41" fillId="0" borderId="0" xfId="5" applyNumberFormat="1" applyFont="1"/>
    <xf numFmtId="0" fontId="52" fillId="0" borderId="0" xfId="0" applyFont="1"/>
    <xf numFmtId="1" fontId="52" fillId="0" borderId="0" xfId="0" applyNumberFormat="1" applyFont="1"/>
    <xf numFmtId="175" fontId="0" fillId="0" borderId="0" xfId="0" applyNumberFormat="1"/>
    <xf numFmtId="0" fontId="41" fillId="0" borderId="0" xfId="0" applyFont="1" applyAlignment="1">
      <alignment horizontal="center"/>
    </xf>
    <xf numFmtId="0" fontId="28" fillId="6" borderId="0" xfId="0" applyFont="1" applyFill="1"/>
    <xf numFmtId="10" fontId="0" fillId="0" borderId="0" xfId="0" applyNumberFormat="1"/>
    <xf numFmtId="0" fontId="30" fillId="0" borderId="0"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177" fontId="0" fillId="0" borderId="0" xfId="0" applyNumberFormat="1"/>
    <xf numFmtId="3" fontId="0" fillId="0" borderId="0" xfId="0" applyNumberFormat="1" applyBorder="1"/>
    <xf numFmtId="3" fontId="0" fillId="0" borderId="22" xfId="0" applyNumberFormat="1" applyBorder="1"/>
    <xf numFmtId="172" fontId="0" fillId="0" borderId="0" xfId="12" applyNumberFormat="1" applyFont="1" applyAlignment="1">
      <alignment horizontal="center"/>
    </xf>
    <xf numFmtId="172" fontId="0" fillId="0" borderId="0" xfId="0" applyNumberFormat="1"/>
    <xf numFmtId="0" fontId="1" fillId="0" borderId="22" xfId="0" applyFont="1" applyBorder="1"/>
    <xf numFmtId="170" fontId="1" fillId="0" borderId="22" xfId="0" applyNumberFormat="1" applyFont="1" applyBorder="1"/>
    <xf numFmtId="0" fontId="0" fillId="0" borderId="0" xfId="0" applyAlignment="1">
      <alignment horizontal="center"/>
    </xf>
    <xf numFmtId="0" fontId="0" fillId="0" borderId="0" xfId="0" applyAlignment="1">
      <alignment horizontal="center"/>
    </xf>
    <xf numFmtId="0" fontId="0" fillId="15" borderId="0" xfId="0" applyFill="1" applyAlignment="1">
      <alignment horizontal="center" vertical="center"/>
    </xf>
    <xf numFmtId="1" fontId="28" fillId="0" borderId="0" xfId="0" applyNumberFormat="1" applyFont="1" applyAlignment="1">
      <alignment horizontal="center"/>
    </xf>
    <xf numFmtId="1" fontId="45" fillId="0" borderId="0" xfId="0" applyNumberFormat="1" applyFont="1" applyAlignment="1">
      <alignment horizontal="center"/>
    </xf>
    <xf numFmtId="0" fontId="55" fillId="0" borderId="0" xfId="0" applyFont="1" applyAlignment="1">
      <alignment horizontal="center" vertical="center" wrapText="1"/>
    </xf>
    <xf numFmtId="0" fontId="54" fillId="0" borderId="31" xfId="0" applyFont="1" applyBorder="1" applyAlignment="1">
      <alignment horizontal="center" vertical="center" wrapText="1"/>
    </xf>
    <xf numFmtId="175" fontId="0" fillId="5" borderId="22" xfId="12" applyNumberFormat="1" applyFont="1" applyFill="1" applyBorder="1"/>
    <xf numFmtId="0" fontId="32" fillId="13" borderId="0" xfId="0" applyFont="1" applyFill="1" applyBorder="1" applyAlignment="1">
      <alignment horizontal="center" vertical="center" wrapText="1"/>
    </xf>
    <xf numFmtId="0" fontId="0" fillId="12" borderId="29" xfId="0" applyFont="1" applyFill="1" applyBorder="1"/>
    <xf numFmtId="0" fontId="28" fillId="6" borderId="0" xfId="0" applyFont="1" applyFill="1" applyBorder="1" applyAlignment="1">
      <alignment horizontal="center"/>
    </xf>
    <xf numFmtId="0" fontId="57" fillId="20" borderId="39" xfId="0" applyFont="1" applyFill="1" applyBorder="1" applyAlignment="1">
      <alignment horizontal="center" vertical="center" wrapText="1"/>
    </xf>
    <xf numFmtId="0" fontId="56" fillId="0" borderId="35" xfId="0" applyFont="1" applyBorder="1" applyAlignment="1">
      <alignment vertical="center" wrapText="1"/>
    </xf>
    <xf numFmtId="0" fontId="56" fillId="0" borderId="39" xfId="0" applyFont="1" applyBorder="1" applyAlignment="1">
      <alignment horizontal="center" vertical="center" wrapText="1"/>
    </xf>
    <xf numFmtId="0" fontId="56" fillId="21" borderId="35" xfId="0" applyFont="1" applyFill="1" applyBorder="1" applyAlignment="1">
      <alignment vertical="center" wrapText="1"/>
    </xf>
    <xf numFmtId="0" fontId="56" fillId="21" borderId="39" xfId="0" applyFont="1" applyFill="1" applyBorder="1" applyAlignment="1">
      <alignment horizontal="center" vertical="center" wrapText="1"/>
    </xf>
    <xf numFmtId="0" fontId="57" fillId="20" borderId="37" xfId="0" applyFont="1" applyFill="1" applyBorder="1" applyAlignment="1">
      <alignment horizontal="center" vertical="center" wrapText="1"/>
    </xf>
    <xf numFmtId="0" fontId="57" fillId="20" borderId="41" xfId="0" applyFont="1" applyFill="1" applyBorder="1" applyAlignment="1">
      <alignment horizontal="center" vertical="center" wrapText="1"/>
    </xf>
    <xf numFmtId="0" fontId="59" fillId="0" borderId="0" xfId="0" applyFont="1" applyAlignment="1">
      <alignment horizontal="left" vertical="center"/>
    </xf>
    <xf numFmtId="0" fontId="28" fillId="19" borderId="0" xfId="0" applyFont="1" applyFill="1"/>
    <xf numFmtId="0" fontId="0" fillId="22" borderId="0" xfId="0" applyFill="1" applyAlignment="1">
      <alignment horizontal="center" vertical="center"/>
    </xf>
    <xf numFmtId="0" fontId="0" fillId="22" borderId="0" xfId="0" applyFill="1"/>
    <xf numFmtId="10" fontId="0" fillId="22" borderId="0" xfId="12" applyNumberFormat="1" applyFont="1" applyFill="1"/>
    <xf numFmtId="0" fontId="28" fillId="22" borderId="0" xfId="0" applyFont="1" applyFill="1"/>
    <xf numFmtId="2" fontId="0" fillId="22" borderId="0" xfId="0" applyNumberFormat="1" applyFill="1"/>
    <xf numFmtId="170" fontId="0" fillId="22" borderId="0" xfId="0" applyNumberFormat="1" applyFill="1"/>
    <xf numFmtId="0" fontId="28" fillId="0" borderId="0" xfId="0" applyFont="1"/>
    <xf numFmtId="2" fontId="27" fillId="0" borderId="0" xfId="0" applyNumberFormat="1" applyFont="1" applyAlignment="1">
      <alignment vertical="center"/>
    </xf>
    <xf numFmtId="0" fontId="0" fillId="0" borderId="0" xfId="0" applyAlignment="1">
      <alignment horizontal="center"/>
    </xf>
    <xf numFmtId="0" fontId="0" fillId="5" borderId="0" xfId="0" applyFill="1" applyAlignment="1">
      <alignment vertical="center"/>
    </xf>
    <xf numFmtId="0" fontId="60" fillId="0" borderId="0" xfId="0" applyFont="1"/>
    <xf numFmtId="0" fontId="56" fillId="0" borderId="0" xfId="0" applyFont="1" applyBorder="1" applyAlignment="1">
      <alignment horizontal="center" vertical="center" wrapText="1"/>
    </xf>
    <xf numFmtId="0" fontId="57" fillId="20" borderId="43" xfId="0" applyFont="1" applyFill="1" applyBorder="1" applyAlignment="1">
      <alignment horizontal="center" vertical="center" wrapText="1"/>
    </xf>
    <xf numFmtId="0" fontId="56" fillId="21" borderId="0" xfId="0" applyFont="1" applyFill="1" applyBorder="1" applyAlignment="1">
      <alignment vertical="center" wrapText="1"/>
    </xf>
    <xf numFmtId="0" fontId="57" fillId="20" borderId="44" xfId="0" applyFont="1" applyFill="1" applyBorder="1" applyAlignment="1">
      <alignment horizontal="center" vertical="center" wrapText="1"/>
    </xf>
    <xf numFmtId="0" fontId="56" fillId="0" borderId="0" xfId="0" applyFont="1" applyBorder="1" applyAlignment="1">
      <alignment vertical="center" wrapText="1"/>
    </xf>
    <xf numFmtId="3" fontId="56" fillId="0" borderId="0" xfId="0" applyNumberFormat="1" applyFont="1" applyBorder="1" applyAlignment="1">
      <alignment horizontal="center" vertical="center" wrapText="1"/>
    </xf>
    <xf numFmtId="0" fontId="56" fillId="0" borderId="45" xfId="0" applyFont="1" applyBorder="1" applyAlignment="1">
      <alignment vertical="center" wrapText="1"/>
    </xf>
    <xf numFmtId="0" fontId="56" fillId="0" borderId="45" xfId="0" applyFont="1" applyBorder="1" applyAlignment="1">
      <alignment horizontal="center" vertical="center" wrapText="1"/>
    </xf>
    <xf numFmtId="0" fontId="0" fillId="0" borderId="22" xfId="0" applyBorder="1" applyAlignment="1">
      <alignment horizontal="center"/>
    </xf>
    <xf numFmtId="3" fontId="56" fillId="0" borderId="45" xfId="0" applyNumberFormat="1" applyFont="1"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56" fillId="0" borderId="0" xfId="0" applyFont="1" applyBorder="1" applyAlignment="1">
      <alignment horizontal="center" vertical="center" wrapText="1"/>
    </xf>
    <xf numFmtId="0" fontId="56" fillId="0" borderId="0" xfId="0" applyFont="1" applyBorder="1" applyAlignment="1">
      <alignment vertical="center" wrapText="1"/>
    </xf>
    <xf numFmtId="0" fontId="1" fillId="6" borderId="0" xfId="0" applyFont="1" applyFill="1" applyAlignment="1">
      <alignment horizontal="left"/>
    </xf>
    <xf numFmtId="0" fontId="1" fillId="0" borderId="0" xfId="0" applyFont="1" applyFill="1" applyAlignment="1">
      <alignment horizontal="center"/>
    </xf>
    <xf numFmtId="178" fontId="0" fillId="0" borderId="0" xfId="0" applyNumberFormat="1" applyBorder="1" applyAlignment="1">
      <alignment horizontal="center"/>
    </xf>
    <xf numFmtId="0" fontId="52" fillId="0" borderId="0" xfId="0" applyFont="1" applyAlignment="1">
      <alignment horizontal="center"/>
    </xf>
    <xf numFmtId="0" fontId="0" fillId="0" borderId="0" xfId="0" applyFont="1" applyAlignment="1">
      <alignment horizontal="center" vertical="center" textRotation="90" wrapText="1"/>
    </xf>
    <xf numFmtId="0" fontId="0" fillId="12" borderId="34" xfId="0" applyFill="1" applyBorder="1" applyAlignment="1">
      <alignment horizontal="center"/>
    </xf>
    <xf numFmtId="1" fontId="28" fillId="12" borderId="34" xfId="0" applyNumberFormat="1" applyFont="1" applyFill="1" applyBorder="1" applyAlignment="1">
      <alignment horizontal="center"/>
    </xf>
    <xf numFmtId="0" fontId="10" fillId="12" borderId="33" xfId="0" applyNumberFormat="1" applyFont="1" applyFill="1" applyBorder="1" applyAlignment="1">
      <alignment horizontal="center" vertical="center" wrapText="1"/>
    </xf>
    <xf numFmtId="0" fontId="10" fillId="12" borderId="34" xfId="0" applyNumberFormat="1" applyFont="1" applyFill="1" applyBorder="1" applyAlignment="1">
      <alignment horizontal="center" vertical="center" wrapText="1"/>
    </xf>
    <xf numFmtId="170" fontId="0" fillId="12" borderId="34" xfId="0" applyNumberFormat="1" applyFill="1" applyBorder="1" applyAlignment="1">
      <alignment horizontal="center"/>
    </xf>
    <xf numFmtId="175" fontId="0" fillId="12" borderId="34" xfId="0" applyNumberFormat="1" applyFill="1" applyBorder="1" applyAlignment="1">
      <alignment horizontal="center"/>
    </xf>
    <xf numFmtId="175" fontId="45" fillId="12" borderId="34" xfId="0" applyNumberFormat="1" applyFont="1" applyFill="1" applyBorder="1" applyAlignment="1">
      <alignment horizontal="center"/>
    </xf>
    <xf numFmtId="0" fontId="0" fillId="12" borderId="34" xfId="0" applyFill="1" applyBorder="1"/>
    <xf numFmtId="178" fontId="0" fillId="12" borderId="34" xfId="0" applyNumberFormat="1" applyFill="1" applyBorder="1" applyAlignment="1">
      <alignment horizontal="center"/>
    </xf>
    <xf numFmtId="0" fontId="0" fillId="0" borderId="0" xfId="0" applyAlignment="1">
      <alignment horizontal="center"/>
    </xf>
    <xf numFmtId="0" fontId="65" fillId="0" borderId="0" xfId="0" applyFont="1"/>
    <xf numFmtId="0" fontId="0" fillId="0" borderId="0" xfId="0" applyAlignment="1">
      <alignment horizontal="center"/>
    </xf>
    <xf numFmtId="0" fontId="61" fillId="23" borderId="46" xfId="20"/>
    <xf numFmtId="0" fontId="34" fillId="0" borderId="0" xfId="0" applyFont="1" applyAlignment="1">
      <alignment vertical="center"/>
    </xf>
    <xf numFmtId="0" fontId="41" fillId="0" borderId="27" xfId="0" applyFont="1" applyBorder="1"/>
    <xf numFmtId="0" fontId="41" fillId="0" borderId="0" xfId="0" applyFont="1" applyBorder="1" applyAlignment="1">
      <alignment horizontal="center"/>
    </xf>
    <xf numFmtId="0" fontId="41" fillId="0" borderId="7" xfId="0" applyFont="1" applyBorder="1" applyAlignment="1">
      <alignment horizontal="center"/>
    </xf>
    <xf numFmtId="0" fontId="42" fillId="0" borderId="0" xfId="0" applyFont="1" applyAlignment="1">
      <alignment horizontal="center"/>
    </xf>
    <xf numFmtId="0" fontId="0" fillId="24" borderId="0" xfId="0" applyFill="1" applyAlignment="1">
      <alignment horizontal="center"/>
    </xf>
    <xf numFmtId="0" fontId="1" fillId="24" borderId="0" xfId="0" applyFont="1" applyFill="1" applyAlignment="1">
      <alignment horizontal="left"/>
    </xf>
    <xf numFmtId="0" fontId="1" fillId="24" borderId="0" xfId="0" applyFont="1" applyFill="1" applyAlignment="1">
      <alignment horizontal="center"/>
    </xf>
    <xf numFmtId="0" fontId="64" fillId="24" borderId="0" xfId="0" applyFont="1" applyFill="1" applyAlignment="1">
      <alignment horizontal="center"/>
    </xf>
    <xf numFmtId="0" fontId="0" fillId="24" borderId="0" xfId="0" applyFill="1" applyAlignment="1">
      <alignment horizontal="left"/>
    </xf>
    <xf numFmtId="172" fontId="0" fillId="24" borderId="0" xfId="12" applyNumberFormat="1" applyFont="1" applyFill="1" applyAlignment="1">
      <alignment horizontal="center"/>
    </xf>
    <xf numFmtId="0" fontId="63" fillId="24" borderId="0" xfId="0" applyFont="1" applyFill="1" applyAlignment="1">
      <alignment horizontal="center"/>
    </xf>
    <xf numFmtId="0" fontId="62" fillId="24" borderId="0" xfId="0" applyFont="1" applyFill="1" applyAlignment="1">
      <alignment horizontal="center"/>
    </xf>
    <xf numFmtId="0" fontId="0" fillId="24" borderId="0" xfId="0" applyFont="1" applyFill="1" applyAlignment="1">
      <alignment horizontal="left"/>
    </xf>
    <xf numFmtId="0" fontId="0" fillId="24" borderId="0" xfId="0" applyFont="1" applyFill="1" applyAlignment="1">
      <alignment horizontal="center"/>
    </xf>
    <xf numFmtId="3" fontId="0" fillId="24" borderId="0" xfId="0" applyNumberFormat="1" applyFont="1" applyFill="1" applyAlignment="1">
      <alignment horizontal="center"/>
    </xf>
    <xf numFmtId="0" fontId="46" fillId="24" borderId="0" xfId="0" applyFont="1" applyFill="1" applyAlignment="1">
      <alignment horizontal="left"/>
    </xf>
    <xf numFmtId="0" fontId="1" fillId="24" borderId="0" xfId="0" applyFont="1" applyFill="1" applyAlignment="1">
      <alignment horizontal="right"/>
    </xf>
    <xf numFmtId="0" fontId="48" fillId="0" borderId="0" xfId="0" applyFont="1" applyBorder="1" applyAlignment="1">
      <alignment vertical="center" wrapText="1"/>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180" fontId="0" fillId="0" borderId="0" xfId="0" applyNumberFormat="1"/>
    <xf numFmtId="181" fontId="0" fillId="0" borderId="0" xfId="0" applyNumberFormat="1"/>
    <xf numFmtId="0" fontId="1" fillId="0" borderId="0" xfId="0" applyFont="1" applyBorder="1"/>
    <xf numFmtId="4" fontId="0" fillId="0" borderId="0" xfId="0" applyNumberFormat="1" applyBorder="1"/>
    <xf numFmtId="174" fontId="0" fillId="12" borderId="34" xfId="0" applyNumberFormat="1" applyFill="1" applyBorder="1" applyAlignment="1">
      <alignment horizontal="center"/>
    </xf>
    <xf numFmtId="179" fontId="0" fillId="0" borderId="0" xfId="0" applyNumberFormat="1" applyAlignment="1">
      <alignment horizontal="left"/>
    </xf>
    <xf numFmtId="0" fontId="10" fillId="0" borderId="22" xfId="0" applyNumberFormat="1" applyFont="1" applyFill="1" applyBorder="1" applyAlignment="1">
      <alignment horizontal="center" vertical="center" wrapText="1"/>
    </xf>
    <xf numFmtId="0" fontId="10" fillId="12" borderId="47" xfId="0" applyNumberFormat="1" applyFont="1" applyFill="1" applyBorder="1" applyAlignment="1">
      <alignment horizontal="center" vertical="center" wrapText="1"/>
    </xf>
    <xf numFmtId="0" fontId="0" fillId="12" borderId="47" xfId="0" applyFill="1" applyBorder="1"/>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2" fontId="44" fillId="0" borderId="0" xfId="0" applyNumberFormat="1" applyFont="1" applyAlignment="1">
      <alignment horizontal="center" vertical="center"/>
    </xf>
    <xf numFmtId="2" fontId="44" fillId="0" borderId="7" xfId="0" applyNumberFormat="1" applyFont="1" applyBorder="1" applyAlignment="1">
      <alignment horizontal="center" vertical="center"/>
    </xf>
    <xf numFmtId="0" fontId="0" fillId="0" borderId="0" xfId="0" applyAlignment="1">
      <alignment horizontal="center"/>
    </xf>
    <xf numFmtId="175" fontId="28" fillId="0" borderId="0" xfId="0" applyNumberFormat="1" applyFont="1"/>
    <xf numFmtId="0" fontId="56" fillId="15" borderId="0" xfId="0" applyFont="1" applyFill="1" applyBorder="1" applyAlignment="1">
      <alignment vertical="center" wrapText="1"/>
    </xf>
    <xf numFmtId="0" fontId="63" fillId="25" borderId="0" xfId="0" applyFont="1" applyFill="1" applyBorder="1" applyAlignment="1">
      <alignment horizontal="center"/>
    </xf>
    <xf numFmtId="0" fontId="63" fillId="0" borderId="0" xfId="0" applyFont="1" applyBorder="1" applyAlignment="1">
      <alignment horizontal="center"/>
    </xf>
    <xf numFmtId="0" fontId="0" fillId="0" borderId="0" xfId="0" applyAlignment="1">
      <alignment horizontal="center"/>
    </xf>
    <xf numFmtId="0" fontId="67" fillId="0" borderId="0" xfId="0" applyFont="1"/>
    <xf numFmtId="0" fontId="0" fillId="0" borderId="0" xfId="0" applyAlignment="1">
      <alignment horizontal="center"/>
    </xf>
    <xf numFmtId="0" fontId="0" fillId="0" borderId="0" xfId="0" applyAlignment="1">
      <alignment horizontal="center"/>
    </xf>
    <xf numFmtId="0" fontId="25" fillId="0" borderId="22" xfId="1" applyFont="1" applyFill="1" applyBorder="1" applyAlignment="1">
      <alignment horizontal="center" vertical="center" wrapText="1"/>
    </xf>
    <xf numFmtId="0" fontId="56" fillId="24" borderId="0" xfId="0" applyFont="1" applyFill="1" applyBorder="1" applyAlignment="1">
      <alignment vertical="center" wrapText="1"/>
    </xf>
    <xf numFmtId="0" fontId="52" fillId="24" borderId="0" xfId="0" applyFont="1" applyFill="1" applyAlignment="1">
      <alignment horizontal="center"/>
    </xf>
    <xf numFmtId="0" fontId="56" fillId="24" borderId="45" xfId="0" applyFont="1" applyFill="1" applyBorder="1" applyAlignment="1">
      <alignment vertical="center" wrapText="1"/>
    </xf>
    <xf numFmtId="9" fontId="0" fillId="24" borderId="0" xfId="0" applyNumberFormat="1" applyFill="1" applyAlignment="1">
      <alignment horizontal="center"/>
    </xf>
    <xf numFmtId="49" fontId="32" fillId="13" borderId="0" xfId="0" applyNumberFormat="1" applyFont="1" applyFill="1" applyBorder="1" applyAlignment="1">
      <alignment horizontal="center" vertical="center" wrapText="1"/>
    </xf>
    <xf numFmtId="180" fontId="0" fillId="12" borderId="34" xfId="0" applyNumberFormat="1" applyFill="1" applyBorder="1" applyAlignment="1">
      <alignment horizontal="center"/>
    </xf>
    <xf numFmtId="0" fontId="31" fillId="0" borderId="0" xfId="0" applyFont="1" applyFill="1"/>
    <xf numFmtId="0" fontId="1" fillId="0" borderId="0" xfId="0" applyFont="1" applyFill="1"/>
    <xf numFmtId="0" fontId="46" fillId="0" borderId="0" xfId="0" applyFont="1" applyFill="1"/>
    <xf numFmtId="0" fontId="34" fillId="4" borderId="0" xfId="0" applyFont="1" applyFill="1" applyAlignment="1">
      <alignment horizontal="center" vertical="center"/>
    </xf>
    <xf numFmtId="0" fontId="34" fillId="4" borderId="0" xfId="0" applyFont="1" applyFill="1" applyAlignment="1">
      <alignment horizontal="left" vertical="center" indent="2"/>
    </xf>
    <xf numFmtId="0" fontId="34" fillId="26" borderId="0" xfId="0" applyFont="1" applyFill="1" applyAlignment="1">
      <alignment horizontal="center" vertical="center" wrapText="1"/>
    </xf>
    <xf numFmtId="0" fontId="34" fillId="26" borderId="0" xfId="0" applyFont="1" applyFill="1" applyAlignment="1">
      <alignment horizontal="center" vertical="center"/>
    </xf>
    <xf numFmtId="0" fontId="34" fillId="27" borderId="0" xfId="0" applyFont="1" applyFill="1" applyAlignment="1">
      <alignment horizontal="center" vertical="center"/>
    </xf>
    <xf numFmtId="0" fontId="28" fillId="0" borderId="0" xfId="0" applyFont="1" applyAlignment="1">
      <alignment horizontal="left" vertical="center"/>
    </xf>
    <xf numFmtId="0" fontId="0" fillId="0" borderId="0" xfId="0" applyAlignment="1">
      <alignment horizontal="center"/>
    </xf>
    <xf numFmtId="1" fontId="70" fillId="28" borderId="0" xfId="23" applyNumberFormat="1"/>
    <xf numFmtId="171" fontId="70" fillId="28" borderId="0" xfId="23" applyNumberFormat="1"/>
    <xf numFmtId="172" fontId="0" fillId="0" borderId="0" xfId="12" applyNumberFormat="1" applyFont="1"/>
    <xf numFmtId="0" fontId="68" fillId="0" borderId="48" xfId="22"/>
    <xf numFmtId="174" fontId="0" fillId="0" borderId="0" xfId="0" applyNumberFormat="1"/>
    <xf numFmtId="9" fontId="0" fillId="0" borderId="0" xfId="12" applyFont="1" applyAlignment="1">
      <alignment horizontal="right"/>
    </xf>
    <xf numFmtId="0" fontId="0" fillId="0" borderId="0" xfId="0" applyAlignment="1">
      <alignment horizontal="center"/>
    </xf>
    <xf numFmtId="170" fontId="45" fillId="12" borderId="34" xfId="0" applyNumberFormat="1" applyFont="1" applyFill="1" applyBorder="1" applyAlignment="1">
      <alignment horizontal="center"/>
    </xf>
    <xf numFmtId="0" fontId="28" fillId="12" borderId="0" xfId="1" applyFont="1" applyFill="1" applyBorder="1"/>
    <xf numFmtId="0" fontId="28" fillId="12" borderId="0" xfId="1" applyFont="1" applyFill="1"/>
    <xf numFmtId="173" fontId="47" fillId="12" borderId="0" xfId="15" applyNumberFormat="1" applyFont="1" applyFill="1" applyBorder="1"/>
    <xf numFmtId="10" fontId="28" fillId="12" borderId="0" xfId="12" applyNumberFormat="1" applyFont="1" applyFill="1" applyBorder="1"/>
    <xf numFmtId="168" fontId="47" fillId="12" borderId="0" xfId="15" applyNumberFormat="1" applyFont="1" applyFill="1" applyBorder="1"/>
    <xf numFmtId="3" fontId="48" fillId="12" borderId="0" xfId="0" applyNumberFormat="1" applyFont="1" applyFill="1"/>
    <xf numFmtId="1" fontId="28" fillId="12" borderId="0" xfId="0" applyNumberFormat="1" applyFont="1" applyFill="1"/>
    <xf numFmtId="170" fontId="28" fillId="12" borderId="0" xfId="0" applyNumberFormat="1" applyFont="1" applyFill="1"/>
    <xf numFmtId="0" fontId="28" fillId="12" borderId="0" xfId="0" applyFont="1" applyFill="1"/>
    <xf numFmtId="0" fontId="0" fillId="5" borderId="32" xfId="0" applyFill="1" applyBorder="1" applyAlignment="1">
      <alignment vertical="center"/>
    </xf>
    <xf numFmtId="0" fontId="0" fillId="5" borderId="0" xfId="0" applyFill="1" applyBorder="1" applyAlignment="1">
      <alignment vertical="center"/>
    </xf>
    <xf numFmtId="2" fontId="0" fillId="5" borderId="0" xfId="0" applyNumberFormat="1" applyFill="1" applyBorder="1"/>
    <xf numFmtId="2" fontId="0" fillId="12" borderId="34" xfId="0" applyNumberFormat="1" applyFill="1" applyBorder="1" applyAlignment="1">
      <alignment horizontal="center"/>
    </xf>
    <xf numFmtId="0" fontId="0" fillId="14" borderId="0" xfId="0" applyFill="1"/>
    <xf numFmtId="0" fontId="1" fillId="14" borderId="0" xfId="0" applyFont="1" applyFill="1"/>
    <xf numFmtId="0" fontId="0" fillId="24" borderId="0" xfId="0" applyFill="1"/>
    <xf numFmtId="0" fontId="0" fillId="24" borderId="0" xfId="0" applyFill="1" applyAlignment="1">
      <alignment horizontal="right"/>
    </xf>
    <xf numFmtId="0" fontId="1" fillId="24" borderId="0" xfId="0" applyFont="1" applyFill="1"/>
    <xf numFmtId="0" fontId="0" fillId="29" borderId="0" xfId="0" applyFill="1"/>
    <xf numFmtId="0" fontId="1" fillId="29" borderId="0" xfId="0" applyFont="1" applyFill="1"/>
    <xf numFmtId="170" fontId="30" fillId="0" borderId="18" xfId="0" applyNumberFormat="1" applyFont="1" applyBorder="1" applyAlignment="1">
      <alignment horizontal="center" vertical="center" wrapText="1"/>
    </xf>
    <xf numFmtId="0" fontId="0" fillId="0" borderId="50" xfId="0" applyBorder="1"/>
    <xf numFmtId="0" fontId="32" fillId="0" borderId="0" xfId="0" applyFont="1" applyFill="1" applyBorder="1" applyAlignment="1">
      <alignment horizontal="center" vertical="center" wrapText="1"/>
    </xf>
    <xf numFmtId="1" fontId="63" fillId="24" borderId="0" xfId="0" applyNumberFormat="1" applyFont="1" applyFill="1" applyAlignment="1">
      <alignment horizontal="center"/>
    </xf>
    <xf numFmtId="0" fontId="28" fillId="24" borderId="0" xfId="0" applyFont="1" applyFill="1" applyAlignment="1">
      <alignment horizontal="right"/>
    </xf>
    <xf numFmtId="0" fontId="28" fillId="24" borderId="0" xfId="0" applyFont="1" applyFill="1" applyAlignment="1">
      <alignment horizontal="center"/>
    </xf>
    <xf numFmtId="1" fontId="0" fillId="24" borderId="0" xfId="0" applyNumberFormat="1" applyFill="1" applyAlignment="1">
      <alignment horizontal="center"/>
    </xf>
    <xf numFmtId="2" fontId="0" fillId="24" borderId="0" xfId="0" applyNumberFormat="1" applyFont="1" applyFill="1" applyAlignment="1">
      <alignment horizontal="center"/>
    </xf>
    <xf numFmtId="1" fontId="62" fillId="24" borderId="0" xfId="0" applyNumberFormat="1" applyFont="1" applyFill="1" applyAlignment="1">
      <alignment horizontal="center"/>
    </xf>
    <xf numFmtId="171" fontId="4" fillId="24" borderId="0" xfId="0" applyNumberFormat="1" applyFont="1" applyFill="1" applyAlignment="1">
      <alignment horizontal="center"/>
    </xf>
    <xf numFmtId="1" fontId="28" fillId="24" borderId="0" xfId="0" applyNumberFormat="1" applyFont="1" applyFill="1" applyAlignment="1">
      <alignment horizontal="center"/>
    </xf>
    <xf numFmtId="0" fontId="32" fillId="0" borderId="0" xfId="0" applyFont="1" applyFill="1" applyBorder="1" applyAlignment="1">
      <alignment horizontal="center" vertical="center"/>
    </xf>
    <xf numFmtId="171" fontId="32" fillId="0" borderId="0"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0" fontId="34"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171" fontId="34" fillId="0" borderId="0" xfId="0" applyNumberFormat="1" applyFont="1" applyFill="1" applyBorder="1" applyAlignment="1">
      <alignment vertical="center"/>
    </xf>
    <xf numFmtId="2" fontId="34" fillId="0" borderId="0" xfId="0" applyNumberFormat="1" applyFont="1" applyFill="1" applyBorder="1" applyAlignment="1">
      <alignment horizontal="center" vertical="center"/>
    </xf>
    <xf numFmtId="1" fontId="34" fillId="0" borderId="0" xfId="0" applyNumberFormat="1" applyFont="1" applyFill="1" applyBorder="1" applyAlignment="1">
      <alignment horizontal="center" vertical="center"/>
    </xf>
    <xf numFmtId="2" fontId="41" fillId="0" borderId="0" xfId="0" applyNumberFormat="1" applyFont="1"/>
    <xf numFmtId="0" fontId="41" fillId="0" borderId="0" xfId="0" applyFont="1" applyBorder="1"/>
    <xf numFmtId="2" fontId="41" fillId="0" borderId="0" xfId="0" applyNumberFormat="1" applyFont="1" applyBorder="1" applyAlignment="1">
      <alignment horizontal="center"/>
    </xf>
    <xf numFmtId="0" fontId="0" fillId="0" borderId="0" xfId="0" applyAlignment="1">
      <alignment horizontal="center"/>
    </xf>
    <xf numFmtId="1" fontId="4" fillId="24" borderId="0" xfId="0" applyNumberFormat="1" applyFont="1" applyFill="1" applyAlignment="1">
      <alignment horizontal="center"/>
    </xf>
    <xf numFmtId="4" fontId="0" fillId="0" borderId="0" xfId="0" applyNumberFormat="1" applyAlignment="1">
      <alignment horizontal="center"/>
    </xf>
    <xf numFmtId="14" fontId="0" fillId="0" borderId="0" xfId="0" applyNumberFormat="1" applyAlignment="1">
      <alignment horizontal="left"/>
    </xf>
    <xf numFmtId="4" fontId="0" fillId="0" borderId="0" xfId="0" applyNumberFormat="1"/>
    <xf numFmtId="0" fontId="1" fillId="0" borderId="0" xfId="0" applyFont="1" applyAlignment="1">
      <alignment horizontal="center"/>
    </xf>
    <xf numFmtId="0" fontId="0" fillId="0" borderId="0" xfId="0" applyAlignment="1">
      <alignment horizontal="center"/>
    </xf>
    <xf numFmtId="0" fontId="0" fillId="0" borderId="0" xfId="0" applyAlignment="1">
      <alignment wrapText="1"/>
    </xf>
    <xf numFmtId="0" fontId="0" fillId="0" borderId="0" xfId="0" applyAlignment="1">
      <alignment vertical="center"/>
    </xf>
    <xf numFmtId="4" fontId="7" fillId="0" borderId="0" xfId="0" applyNumberFormat="1" applyFont="1"/>
    <xf numFmtId="0" fontId="1" fillId="0" borderId="0" xfId="0" applyFont="1" applyAlignment="1">
      <alignment horizontal="center"/>
    </xf>
    <xf numFmtId="0" fontId="71" fillId="0" borderId="0" xfId="0" applyFont="1"/>
    <xf numFmtId="4" fontId="71" fillId="0" borderId="0" xfId="0" applyNumberFormat="1" applyFont="1"/>
    <xf numFmtId="4" fontId="1" fillId="0" borderId="0" xfId="0" applyNumberFormat="1" applyFont="1"/>
    <xf numFmtId="4" fontId="51" fillId="0" borderId="0" xfId="0" applyNumberFormat="1" applyFont="1"/>
    <xf numFmtId="0" fontId="1" fillId="0" borderId="0" xfId="0" applyFont="1" applyAlignment="1">
      <alignment horizontal="center"/>
    </xf>
    <xf numFmtId="0" fontId="0" fillId="0" borderId="0" xfId="0" applyAlignment="1">
      <alignment horizontal="center"/>
    </xf>
    <xf numFmtId="0" fontId="34" fillId="0" borderId="0" xfId="0" applyFont="1" applyAlignment="1">
      <alignment vertical="center"/>
    </xf>
    <xf numFmtId="0" fontId="34" fillId="0" borderId="4" xfId="0" applyFont="1" applyBorder="1" applyAlignment="1">
      <alignment vertical="center"/>
    </xf>
    <xf numFmtId="0" fontId="32" fillId="0" borderId="0" xfId="0" applyFont="1" applyBorder="1" applyAlignment="1">
      <alignment horizontal="center" vertical="center"/>
    </xf>
    <xf numFmtId="0" fontId="32" fillId="0" borderId="7" xfId="0" applyFont="1" applyBorder="1" applyAlignment="1">
      <alignment horizontal="center" vertical="center"/>
    </xf>
    <xf numFmtId="0" fontId="32" fillId="13" borderId="0" xfId="0" applyFont="1" applyFill="1" applyAlignment="1">
      <alignment horizontal="center" vertical="center" wrapText="1"/>
    </xf>
    <xf numFmtId="0" fontId="32" fillId="13" borderId="7" xfId="0" applyFont="1" applyFill="1" applyBorder="1" applyAlignment="1">
      <alignment horizontal="center" vertical="center" wrapText="1"/>
    </xf>
    <xf numFmtId="0" fontId="32" fillId="0" borderId="0" xfId="0" applyFont="1" applyAlignment="1">
      <alignment horizontal="center" vertical="center"/>
    </xf>
    <xf numFmtId="170" fontId="41" fillId="30" borderId="0" xfId="0" applyNumberFormat="1" applyFont="1" applyFill="1"/>
    <xf numFmtId="0" fontId="1" fillId="31" borderId="0" xfId="0" applyFont="1" applyFill="1"/>
    <xf numFmtId="0" fontId="0" fillId="31" borderId="0" xfId="0" applyFill="1"/>
    <xf numFmtId="0" fontId="45" fillId="31" borderId="0" xfId="0" applyFont="1" applyFill="1"/>
    <xf numFmtId="0" fontId="0" fillId="0" borderId="0" xfId="0" applyAlignment="1">
      <alignment horizontal="center" wrapText="1"/>
    </xf>
    <xf numFmtId="0" fontId="43" fillId="30" borderId="0" xfId="0" applyFont="1" applyFill="1"/>
    <xf numFmtId="0" fontId="34" fillId="0" borderId="0" xfId="0" applyFont="1" applyFill="1" applyAlignment="1">
      <alignment horizontal="center" vertical="center"/>
    </xf>
    <xf numFmtId="0" fontId="34" fillId="0" borderId="0" xfId="0" applyFont="1" applyFill="1" applyAlignment="1">
      <alignment horizontal="center" vertical="center" wrapText="1"/>
    </xf>
    <xf numFmtId="175" fontId="41" fillId="30" borderId="0" xfId="0" applyNumberFormat="1" applyFont="1" applyFill="1" applyAlignment="1">
      <alignment horizontal="right"/>
    </xf>
    <xf numFmtId="0" fontId="41" fillId="30" borderId="0" xfId="0" applyFont="1" applyFill="1"/>
    <xf numFmtId="0" fontId="34" fillId="14" borderId="0" xfId="0" applyFont="1" applyFill="1" applyBorder="1" applyAlignment="1">
      <alignment horizontal="center" vertical="center"/>
    </xf>
    <xf numFmtId="170" fontId="41" fillId="30" borderId="0" xfId="0" applyNumberFormat="1" applyFont="1" applyFill="1" applyAlignment="1">
      <alignment horizontal="right"/>
    </xf>
    <xf numFmtId="0" fontId="41" fillId="30" borderId="0" xfId="0" applyFont="1" applyFill="1" applyBorder="1"/>
    <xf numFmtId="0" fontId="34" fillId="0" borderId="7" xfId="0" applyFont="1" applyFill="1" applyBorder="1" applyAlignment="1">
      <alignment horizontal="center" vertical="center"/>
    </xf>
    <xf numFmtId="2" fontId="41" fillId="30" borderId="7" xfId="0" applyNumberFormat="1" applyFont="1" applyFill="1" applyBorder="1"/>
    <xf numFmtId="170" fontId="41" fillId="30" borderId="7" xfId="0" applyNumberFormat="1" applyFont="1" applyFill="1" applyBorder="1" applyAlignment="1">
      <alignment horizontal="right"/>
    </xf>
    <xf numFmtId="2" fontId="41" fillId="30" borderId="0" xfId="0" applyNumberFormat="1" applyFont="1" applyFill="1" applyBorder="1"/>
    <xf numFmtId="2" fontId="41" fillId="30" borderId="0" xfId="0" applyNumberFormat="1" applyFont="1" applyFill="1"/>
    <xf numFmtId="2" fontId="41" fillId="30" borderId="0" xfId="0" applyNumberFormat="1" applyFont="1" applyFill="1" applyBorder="1" applyAlignment="1">
      <alignment horizontal="center"/>
    </xf>
    <xf numFmtId="175" fontId="41" fillId="30" borderId="0" xfId="0" applyNumberFormat="1" applyFont="1" applyFill="1" applyAlignment="1">
      <alignment horizontal="center"/>
    </xf>
    <xf numFmtId="2" fontId="42" fillId="30" borderId="0" xfId="0" applyNumberFormat="1" applyFont="1" applyFill="1"/>
    <xf numFmtId="0" fontId="42" fillId="30" borderId="0" xfId="0" applyFont="1" applyFill="1" applyAlignment="1">
      <alignment horizontal="center"/>
    </xf>
    <xf numFmtId="0" fontId="42" fillId="30" borderId="0" xfId="0" applyFont="1" applyFill="1"/>
    <xf numFmtId="170" fontId="41" fillId="30" borderId="7" xfId="0" applyNumberFormat="1" applyFont="1" applyFill="1" applyBorder="1" applyAlignment="1">
      <alignment horizontal="center"/>
    </xf>
    <xf numFmtId="0" fontId="32" fillId="14" borderId="0" xfId="0" applyFont="1" applyFill="1" applyBorder="1" applyAlignment="1">
      <alignment horizontal="center" vertical="center"/>
    </xf>
    <xf numFmtId="2" fontId="45" fillId="16" borderId="0" xfId="0" applyNumberFormat="1" applyFont="1" applyFill="1" applyBorder="1"/>
    <xf numFmtId="175" fontId="45" fillId="16" borderId="0" xfId="0" applyNumberFormat="1" applyFont="1" applyFill="1" applyBorder="1" applyAlignment="1">
      <alignment horizontal="center"/>
    </xf>
    <xf numFmtId="2" fontId="41" fillId="16" borderId="0" xfId="0" applyNumberFormat="1" applyFont="1" applyFill="1" applyBorder="1"/>
    <xf numFmtId="2" fontId="45" fillId="16" borderId="0" xfId="0" applyNumberFormat="1" applyFont="1" applyFill="1"/>
    <xf numFmtId="175" fontId="45" fillId="16" borderId="0" xfId="0" applyNumberFormat="1" applyFont="1" applyFill="1" applyAlignment="1">
      <alignment horizontal="center"/>
    </xf>
    <xf numFmtId="0" fontId="41" fillId="16" borderId="0" xfId="0" applyFont="1" applyFill="1" applyAlignment="1">
      <alignment horizontal="center"/>
    </xf>
    <xf numFmtId="170" fontId="45" fillId="16" borderId="0" xfId="0" applyNumberFormat="1" applyFont="1" applyFill="1" applyAlignment="1">
      <alignment horizontal="center"/>
    </xf>
    <xf numFmtId="170" fontId="45" fillId="16" borderId="0" xfId="0" applyNumberFormat="1" applyFont="1" applyFill="1" applyBorder="1" applyAlignment="1">
      <alignment horizontal="center"/>
    </xf>
    <xf numFmtId="0" fontId="41" fillId="16" borderId="0" xfId="0" applyFont="1" applyFill="1" applyBorder="1" applyAlignment="1">
      <alignment horizontal="center"/>
    </xf>
    <xf numFmtId="2" fontId="45" fillId="16" borderId="7" xfId="0" applyNumberFormat="1" applyFont="1" applyFill="1" applyBorder="1"/>
    <xf numFmtId="2" fontId="45" fillId="16" borderId="7" xfId="0" applyNumberFormat="1" applyFont="1" applyFill="1" applyBorder="1" applyAlignment="1">
      <alignment horizontal="center"/>
    </xf>
    <xf numFmtId="0" fontId="41" fillId="16" borderId="7" xfId="0" applyFont="1" applyFill="1" applyBorder="1" applyAlignment="1">
      <alignment horizontal="center"/>
    </xf>
    <xf numFmtId="2" fontId="0" fillId="17" borderId="0" xfId="0" applyNumberFormat="1" applyFill="1" applyBorder="1"/>
    <xf numFmtId="0" fontId="0" fillId="17" borderId="0" xfId="0" applyFill="1" applyBorder="1" applyAlignment="1">
      <alignment horizontal="center"/>
    </xf>
    <xf numFmtId="1" fontId="35" fillId="0" borderId="0" xfId="0" applyNumberFormat="1" applyFont="1" applyFill="1" applyAlignment="1">
      <alignment horizontal="center" vertical="center"/>
    </xf>
    <xf numFmtId="2" fontId="34" fillId="0" borderId="0" xfId="0" applyNumberFormat="1" applyFont="1" applyFill="1" applyAlignment="1">
      <alignment horizontal="center" vertical="center"/>
    </xf>
    <xf numFmtId="0" fontId="34" fillId="0" borderId="0" xfId="0" applyFont="1" applyFill="1" applyAlignment="1">
      <alignment horizontal="left" vertical="center"/>
    </xf>
    <xf numFmtId="170" fontId="0" fillId="17" borderId="0" xfId="0" applyNumberFormat="1" applyFill="1" applyBorder="1" applyAlignment="1">
      <alignment horizontal="center"/>
    </xf>
    <xf numFmtId="2" fontId="45" fillId="17" borderId="7" xfId="0" applyNumberFormat="1" applyFont="1" applyFill="1" applyBorder="1"/>
    <xf numFmtId="170" fontId="45" fillId="17" borderId="7" xfId="0" applyNumberFormat="1" applyFont="1" applyFill="1" applyBorder="1" applyAlignment="1">
      <alignment horizontal="center"/>
    </xf>
    <xf numFmtId="0" fontId="41" fillId="17" borderId="7" xfId="0" applyFont="1" applyFill="1" applyBorder="1" applyAlignment="1">
      <alignment horizontal="center"/>
    </xf>
    <xf numFmtId="0" fontId="34" fillId="0" borderId="0" xfId="0" applyFont="1" applyBorder="1" applyAlignment="1">
      <alignment vertical="center"/>
    </xf>
    <xf numFmtId="0" fontId="32" fillId="0" borderId="0" xfId="0" applyFont="1" applyBorder="1" applyAlignment="1">
      <alignment horizontal="center" vertical="center"/>
    </xf>
    <xf numFmtId="0" fontId="0" fillId="17" borderId="0" xfId="0" applyFill="1" applyBorder="1" applyAlignment="1">
      <alignment horizontal="center" vertical="center"/>
    </xf>
    <xf numFmtId="0" fontId="72" fillId="0" borderId="0" xfId="0" applyFont="1" applyAlignment="1">
      <alignment horizontal="center" vertical="center"/>
    </xf>
    <xf numFmtId="1" fontId="34" fillId="0" borderId="0" xfId="0" applyNumberFormat="1" applyFont="1" applyBorder="1" applyAlignment="1">
      <alignment horizontal="center" vertical="center"/>
    </xf>
    <xf numFmtId="2" fontId="45" fillId="17" borderId="0" xfId="0" applyNumberFormat="1" applyFont="1" applyFill="1" applyBorder="1"/>
    <xf numFmtId="170" fontId="45" fillId="17" borderId="0" xfId="0" applyNumberFormat="1" applyFont="1" applyFill="1" applyBorder="1" applyAlignment="1">
      <alignment horizontal="center"/>
    </xf>
    <xf numFmtId="0" fontId="41" fillId="17" borderId="0" xfId="0" applyFont="1" applyFill="1" applyBorder="1" applyAlignment="1">
      <alignment horizontal="center"/>
    </xf>
    <xf numFmtId="0" fontId="34" fillId="32" borderId="0" xfId="0" applyFont="1" applyFill="1" applyAlignment="1">
      <alignment horizontal="center" vertical="center"/>
    </xf>
    <xf numFmtId="0" fontId="0" fillId="6" borderId="25" xfId="0" applyFill="1" applyBorder="1"/>
    <xf numFmtId="0" fontId="0" fillId="6" borderId="29" xfId="0" applyFill="1" applyBorder="1"/>
    <xf numFmtId="0" fontId="74" fillId="33" borderId="51" xfId="0" applyFont="1" applyFill="1" applyBorder="1" applyAlignment="1">
      <alignment vertical="center" wrapText="1"/>
    </xf>
    <xf numFmtId="0" fontId="74" fillId="33" borderId="52" xfId="0" applyFont="1" applyFill="1" applyBorder="1" applyAlignment="1">
      <alignment vertical="center" wrapText="1"/>
    </xf>
    <xf numFmtId="0" fontId="75" fillId="0" borderId="53" xfId="0" applyFont="1" applyBorder="1" applyAlignment="1">
      <alignment vertical="center" wrapText="1"/>
    </xf>
    <xf numFmtId="0" fontId="75" fillId="0" borderId="54" xfId="0" applyFont="1" applyBorder="1" applyAlignment="1">
      <alignment vertical="center" wrapText="1"/>
    </xf>
    <xf numFmtId="0" fontId="77" fillId="0" borderId="56" xfId="0" applyFont="1" applyBorder="1" applyAlignment="1">
      <alignment vertical="center" wrapText="1"/>
    </xf>
    <xf numFmtId="0" fontId="77" fillId="0" borderId="55" xfId="0" applyFont="1" applyBorder="1" applyAlignment="1">
      <alignment vertical="center" wrapText="1"/>
    </xf>
    <xf numFmtId="0" fontId="78" fillId="0" borderId="0" xfId="0" applyFont="1" applyAlignment="1">
      <alignment horizontal="left" vertical="center" indent="1"/>
    </xf>
    <xf numFmtId="0" fontId="15" fillId="0" borderId="0" xfId="0" applyFont="1"/>
    <xf numFmtId="175" fontId="0" fillId="0" borderId="0" xfId="0" applyNumberFormat="1" applyFont="1" applyAlignment="1">
      <alignment horizontal="center"/>
    </xf>
    <xf numFmtId="170" fontId="1" fillId="0" borderId="0" xfId="0" applyNumberFormat="1" applyFont="1" applyFill="1"/>
    <xf numFmtId="175" fontId="0" fillId="0" borderId="0" xfId="0" applyNumberFormat="1" applyFill="1"/>
    <xf numFmtId="1" fontId="0" fillId="0" borderId="0" xfId="0" applyNumberFormat="1" applyFill="1"/>
    <xf numFmtId="170" fontId="0" fillId="0" borderId="0" xfId="0" applyNumberFormat="1" applyFont="1" applyFill="1"/>
    <xf numFmtId="2" fontId="79" fillId="6" borderId="0" xfId="0" applyNumberFormat="1" applyFont="1" applyFill="1"/>
    <xf numFmtId="0" fontId="80" fillId="6" borderId="0" xfId="0" applyFont="1" applyFill="1"/>
    <xf numFmtId="2" fontId="80" fillId="0" borderId="0" xfId="0" applyNumberFormat="1" applyFont="1"/>
    <xf numFmtId="0" fontId="0" fillId="0" borderId="0" xfId="0" applyAlignment="1">
      <alignment horizontal="center"/>
    </xf>
    <xf numFmtId="182" fontId="0" fillId="0" borderId="0" xfId="0" applyNumberFormat="1"/>
    <xf numFmtId="174" fontId="0" fillId="6" borderId="0" xfId="0" applyNumberFormat="1" applyFill="1"/>
    <xf numFmtId="174" fontId="28" fillId="0" borderId="0" xfId="0" applyNumberFormat="1" applyFont="1"/>
    <xf numFmtId="175" fontId="1" fillId="0" borderId="0" xfId="0" applyNumberFormat="1" applyFont="1"/>
    <xf numFmtId="170" fontId="1" fillId="0" borderId="0" xfId="0" applyNumberFormat="1" applyFont="1"/>
    <xf numFmtId="0" fontId="32" fillId="0" borderId="0" xfId="0" applyFont="1" applyBorder="1" applyAlignment="1">
      <alignment horizontal="center" vertical="center"/>
    </xf>
    <xf numFmtId="0" fontId="32" fillId="0" borderId="7" xfId="0" applyFont="1" applyBorder="1" applyAlignment="1">
      <alignment horizontal="center" vertical="center"/>
    </xf>
    <xf numFmtId="0" fontId="0" fillId="6" borderId="1" xfId="0" applyFill="1" applyBorder="1"/>
    <xf numFmtId="0" fontId="73" fillId="3" borderId="6" xfId="0" applyFont="1" applyFill="1" applyBorder="1"/>
    <xf numFmtId="0" fontId="1" fillId="5" borderId="25" xfId="0" applyFont="1" applyFill="1" applyBorder="1" applyAlignment="1">
      <alignment horizontal="center"/>
    </xf>
    <xf numFmtId="0" fontId="1" fillId="5" borderId="29" xfId="0" applyFont="1" applyFill="1" applyBorder="1" applyAlignment="1">
      <alignment horizontal="center"/>
    </xf>
    <xf numFmtId="0" fontId="0" fillId="12" borderId="28" xfId="0" applyFill="1" applyBorder="1"/>
    <xf numFmtId="170" fontId="41" fillId="30" borderId="0" xfId="0" applyNumberFormat="1" applyFont="1" applyFill="1" applyBorder="1" applyAlignment="1">
      <alignment horizontal="right"/>
    </xf>
    <xf numFmtId="170" fontId="0" fillId="0" borderId="0" xfId="0" applyNumberFormat="1" applyBorder="1" applyAlignment="1">
      <alignment horizontal="center"/>
    </xf>
    <xf numFmtId="0" fontId="0" fillId="0" borderId="7" xfId="0" applyFont="1" applyBorder="1"/>
    <xf numFmtId="2" fontId="0" fillId="0" borderId="0" xfId="0" applyNumberFormat="1" applyBorder="1"/>
    <xf numFmtId="183" fontId="0" fillId="0" borderId="0" xfId="0" applyNumberFormat="1"/>
    <xf numFmtId="170" fontId="0" fillId="17" borderId="0" xfId="0" applyNumberFormat="1" applyFill="1" applyBorder="1"/>
    <xf numFmtId="175" fontId="0" fillId="17" borderId="0" xfId="0" applyNumberFormat="1" applyFill="1" applyBorder="1"/>
    <xf numFmtId="0" fontId="81" fillId="34" borderId="0" xfId="0" applyFont="1" applyFill="1" applyAlignment="1">
      <alignment horizontal="center" vertical="center" wrapText="1"/>
    </xf>
    <xf numFmtId="0" fontId="81" fillId="34" borderId="26" xfId="0" applyFont="1" applyFill="1" applyBorder="1" applyAlignment="1">
      <alignment horizontal="center" vertical="center" wrapText="1"/>
    </xf>
    <xf numFmtId="0" fontId="81" fillId="34" borderId="7" xfId="0" applyFont="1" applyFill="1" applyBorder="1" applyAlignment="1">
      <alignment horizontal="center" vertical="center" wrapText="1"/>
    </xf>
    <xf numFmtId="0" fontId="81" fillId="35" borderId="0" xfId="0" applyFont="1" applyFill="1" applyAlignment="1">
      <alignment horizontal="center" vertical="center"/>
    </xf>
    <xf numFmtId="0" fontId="34" fillId="35" borderId="0" xfId="0" applyFont="1" applyFill="1" applyAlignment="1">
      <alignment horizontal="center" vertical="center"/>
    </xf>
    <xf numFmtId="0" fontId="34" fillId="35" borderId="0" xfId="0" applyFont="1" applyFill="1" applyAlignment="1">
      <alignment horizontal="center" vertical="center" wrapText="1"/>
    </xf>
    <xf numFmtId="0" fontId="34" fillId="35" borderId="0" xfId="0" applyFont="1" applyFill="1" applyAlignment="1">
      <alignment vertical="center"/>
    </xf>
    <xf numFmtId="0" fontId="83" fillId="35" borderId="0" xfId="0" applyFont="1" applyFill="1" applyAlignment="1">
      <alignment horizontal="center" vertical="center"/>
    </xf>
    <xf numFmtId="0" fontId="34" fillId="35" borderId="0" xfId="0" applyFont="1" applyFill="1" applyAlignment="1">
      <alignment horizontal="right" vertical="center"/>
    </xf>
    <xf numFmtId="0" fontId="83" fillId="35" borderId="7" xfId="0" applyFont="1" applyFill="1" applyBorder="1" applyAlignment="1">
      <alignment horizontal="center" vertical="center"/>
    </xf>
    <xf numFmtId="0" fontId="34" fillId="35" borderId="7" xfId="0" applyFont="1" applyFill="1" applyBorder="1" applyAlignment="1">
      <alignment horizontal="center" vertical="center"/>
    </xf>
    <xf numFmtId="0" fontId="34" fillId="35" borderId="7" xfId="0" applyFont="1" applyFill="1" applyBorder="1" applyAlignment="1">
      <alignment horizontal="center" vertical="center" wrapText="1"/>
    </xf>
    <xf numFmtId="0" fontId="34" fillId="35" borderId="7" xfId="0" applyFont="1" applyFill="1" applyBorder="1" applyAlignment="1">
      <alignment horizontal="right" vertical="center"/>
    </xf>
    <xf numFmtId="0" fontId="81" fillId="35" borderId="0" xfId="0" applyFont="1" applyFill="1" applyAlignment="1">
      <alignment horizontal="center" vertical="center" wrapText="1"/>
    </xf>
    <xf numFmtId="0" fontId="0" fillId="35" borderId="0" xfId="0" applyFill="1" applyAlignment="1">
      <alignment vertical="center" wrapText="1"/>
    </xf>
    <xf numFmtId="0" fontId="0" fillId="35" borderId="58" xfId="0" applyFill="1" applyBorder="1" applyAlignment="1">
      <alignment vertical="center" wrapText="1"/>
    </xf>
    <xf numFmtId="0" fontId="83" fillId="35" borderId="0" xfId="0" applyFont="1" applyFill="1" applyAlignment="1">
      <alignment horizontal="center" vertical="center" wrapText="1"/>
    </xf>
    <xf numFmtId="0" fontId="83" fillId="35" borderId="0" xfId="0" applyFont="1" applyFill="1" applyAlignment="1">
      <alignment vertical="center"/>
    </xf>
    <xf numFmtId="0" fontId="15" fillId="35" borderId="0" xfId="0" applyFont="1" applyFill="1" applyAlignment="1">
      <alignment vertical="center" wrapText="1"/>
    </xf>
    <xf numFmtId="0" fontId="15" fillId="35" borderId="0" xfId="0" applyFont="1" applyFill="1" applyAlignment="1">
      <alignment vertical="center"/>
    </xf>
    <xf numFmtId="1" fontId="34" fillId="0" borderId="0" xfId="0" applyNumberFormat="1" applyFont="1" applyFill="1" applyBorder="1" applyAlignment="1">
      <alignment horizontal="center" vertical="center" wrapText="1"/>
    </xf>
    <xf numFmtId="1" fontId="34" fillId="0" borderId="0" xfId="0" applyNumberFormat="1" applyFont="1" applyFill="1" applyBorder="1" applyAlignment="1">
      <alignment vertical="center"/>
    </xf>
    <xf numFmtId="1" fontId="34" fillId="0" borderId="0" xfId="0" applyNumberFormat="1" applyFont="1" applyFill="1" applyAlignment="1">
      <alignment horizontal="center" vertical="center"/>
    </xf>
    <xf numFmtId="1" fontId="34" fillId="0" borderId="0" xfId="0" applyNumberFormat="1" applyFont="1" applyFill="1" applyAlignment="1">
      <alignment horizontal="center" vertical="center" wrapText="1"/>
    </xf>
    <xf numFmtId="1" fontId="34" fillId="0" borderId="0" xfId="0" applyNumberFormat="1" applyFont="1" applyBorder="1" applyAlignment="1">
      <alignment vertical="center"/>
    </xf>
    <xf numFmtId="1" fontId="32" fillId="0" borderId="0" xfId="0" applyNumberFormat="1" applyFont="1" applyFill="1" applyAlignment="1">
      <alignment horizontal="center" vertical="center"/>
    </xf>
    <xf numFmtId="1" fontId="34" fillId="0" borderId="0" xfId="0" applyNumberFormat="1" applyFont="1" applyAlignment="1">
      <alignment vertical="center"/>
    </xf>
    <xf numFmtId="1" fontId="34" fillId="0" borderId="7"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wrapText="1"/>
    </xf>
    <xf numFmtId="1" fontId="35" fillId="0" borderId="0" xfId="0" applyNumberFormat="1" applyFont="1" applyFill="1" applyBorder="1" applyAlignment="1">
      <alignment horizontal="center" vertical="center" wrapText="1"/>
    </xf>
    <xf numFmtId="1" fontId="34" fillId="0" borderId="7" xfId="0" applyNumberFormat="1" applyFont="1" applyFill="1" applyBorder="1" applyAlignment="1">
      <alignment horizontal="center" vertical="center" wrapText="1"/>
    </xf>
    <xf numFmtId="1" fontId="34" fillId="0" borderId="7" xfId="0" applyNumberFormat="1" applyFont="1" applyBorder="1" applyAlignment="1">
      <alignment vertical="center"/>
    </xf>
    <xf numFmtId="1" fontId="35" fillId="0" borderId="0" xfId="0" applyNumberFormat="1" applyFont="1" applyFill="1" applyAlignment="1">
      <alignment horizontal="center" vertical="center" wrapText="1"/>
    </xf>
    <xf numFmtId="1" fontId="34" fillId="0" borderId="0" xfId="0" applyNumberFormat="1" applyFont="1" applyAlignment="1">
      <alignment horizontal="center" vertical="center" wrapText="1"/>
    </xf>
    <xf numFmtId="1" fontId="34" fillId="0" borderId="0" xfId="0" applyNumberFormat="1" applyFont="1" applyFill="1" applyAlignment="1">
      <alignment horizontal="left" vertical="center" indent="2"/>
    </xf>
    <xf numFmtId="1" fontId="34" fillId="0" borderId="7" xfId="0" applyNumberFormat="1" applyFont="1" applyBorder="1" applyAlignment="1">
      <alignment horizontal="center" vertical="center" wrapText="1"/>
    </xf>
    <xf numFmtId="1" fontId="34" fillId="0" borderId="0" xfId="0" applyNumberFormat="1" applyFont="1" applyBorder="1" applyAlignment="1">
      <alignment horizontal="center" vertical="center" wrapText="1"/>
    </xf>
    <xf numFmtId="0" fontId="0" fillId="0" borderId="0" xfId="0" applyAlignment="1">
      <alignment horizontal="center"/>
    </xf>
    <xf numFmtId="0" fontId="0" fillId="0" borderId="0" xfId="0" applyFont="1" applyAlignment="1">
      <alignment horizontal="center" vertical="center" textRotation="90" wrapText="1"/>
    </xf>
    <xf numFmtId="184" fontId="0" fillId="0" borderId="0" xfId="0" applyNumberFormat="1" applyBorder="1" applyAlignment="1">
      <alignment horizontal="center"/>
    </xf>
    <xf numFmtId="0" fontId="1" fillId="0" borderId="0" xfId="0" applyFont="1" applyAlignment="1">
      <alignment horizontal="center"/>
    </xf>
    <xf numFmtId="0" fontId="0" fillId="0" borderId="0" xfId="0" applyAlignment="1">
      <alignment horizontal="center"/>
    </xf>
    <xf numFmtId="0" fontId="11" fillId="0" borderId="12" xfId="3" applyFont="1" applyBorder="1"/>
    <xf numFmtId="0" fontId="11" fillId="0" borderId="2" xfId="3" applyFont="1" applyBorder="1"/>
    <xf numFmtId="0" fontId="10" fillId="7" borderId="1" xfId="3" applyFont="1" applyFill="1" applyBorder="1"/>
    <xf numFmtId="0" fontId="10" fillId="7" borderId="11" xfId="3" applyFont="1" applyFill="1" applyBorder="1"/>
    <xf numFmtId="0" fontId="10" fillId="7" borderId="2" xfId="3" applyFont="1" applyFill="1" applyBorder="1"/>
    <xf numFmtId="0" fontId="75" fillId="0" borderId="57" xfId="0" applyFont="1" applyBorder="1" applyAlignment="1">
      <alignment vertical="center" wrapText="1"/>
    </xf>
    <xf numFmtId="0" fontId="75" fillId="0" borderId="53" xfId="0" applyFont="1" applyBorder="1" applyAlignment="1">
      <alignment vertical="center" wrapText="1"/>
    </xf>
    <xf numFmtId="0" fontId="4" fillId="6" borderId="0" xfId="16" applyFont="1" applyFill="1" applyBorder="1" applyAlignment="1">
      <alignment horizontal="center" vertical="center" wrapText="1"/>
    </xf>
    <xf numFmtId="0" fontId="4" fillId="6" borderId="22" xfId="16" applyFont="1" applyFill="1" applyBorder="1" applyAlignment="1">
      <alignment horizontal="center" vertical="center" wrapText="1"/>
    </xf>
    <xf numFmtId="0" fontId="28" fillId="6" borderId="0" xfId="1" applyFont="1" applyFill="1" applyBorder="1" applyAlignment="1">
      <alignment horizontal="center" wrapText="1"/>
    </xf>
    <xf numFmtId="0" fontId="28" fillId="6" borderId="32" xfId="1" applyFont="1" applyFill="1" applyBorder="1" applyAlignment="1">
      <alignment horizontal="center"/>
    </xf>
    <xf numFmtId="0" fontId="28" fillId="6" borderId="0" xfId="1" applyFont="1" applyFill="1" applyAlignment="1">
      <alignment horizontal="center"/>
    </xf>
    <xf numFmtId="0" fontId="1" fillId="0" borderId="30" xfId="0" applyFont="1" applyBorder="1" applyAlignment="1">
      <alignment horizontal="right" vertical="center"/>
    </xf>
    <xf numFmtId="0" fontId="1" fillId="0" borderId="22" xfId="0" applyFont="1" applyBorder="1" applyAlignment="1">
      <alignment horizontal="right" vertical="center"/>
    </xf>
    <xf numFmtId="0" fontId="0" fillId="15" borderId="0" xfId="0" applyFill="1" applyAlignment="1">
      <alignment horizontal="center" vertical="center"/>
    </xf>
    <xf numFmtId="0" fontId="0" fillId="19" borderId="32" xfId="0" applyFill="1" applyBorder="1" applyAlignment="1">
      <alignment horizontal="center" vertical="center"/>
    </xf>
    <xf numFmtId="0" fontId="0" fillId="19" borderId="0" xfId="0" applyFill="1" applyBorder="1" applyAlignment="1">
      <alignment horizontal="center" vertical="center"/>
    </xf>
    <xf numFmtId="0" fontId="81" fillId="34" borderId="4" xfId="0" applyFont="1" applyFill="1" applyBorder="1" applyAlignment="1">
      <alignment horizontal="center" vertical="center" wrapText="1"/>
    </xf>
    <xf numFmtId="0" fontId="81" fillId="34" borderId="0" xfId="0" applyFont="1" applyFill="1" applyAlignment="1">
      <alignment horizontal="center" vertical="center" wrapText="1"/>
    </xf>
    <xf numFmtId="0" fontId="81" fillId="34" borderId="59" xfId="0" applyFont="1" applyFill="1" applyBorder="1" applyAlignment="1">
      <alignment horizontal="center" vertical="center" wrapText="1"/>
    </xf>
    <xf numFmtId="0" fontId="81" fillId="34" borderId="24" xfId="0" applyFont="1" applyFill="1" applyBorder="1" applyAlignment="1">
      <alignment horizontal="center" vertical="center" wrapText="1"/>
    </xf>
    <xf numFmtId="0" fontId="81" fillId="35" borderId="4" xfId="0" applyFont="1" applyFill="1" applyBorder="1" applyAlignment="1">
      <alignment horizontal="center" vertical="center"/>
    </xf>
    <xf numFmtId="0" fontId="81" fillId="35" borderId="0" xfId="0" applyFont="1" applyFill="1" applyAlignment="1">
      <alignment horizontal="center" vertical="center"/>
    </xf>
    <xf numFmtId="0" fontId="81" fillId="35" borderId="58" xfId="0" applyFont="1" applyFill="1" applyBorder="1" applyAlignment="1">
      <alignment horizontal="center" vertical="center"/>
    </xf>
    <xf numFmtId="0" fontId="83" fillId="35" borderId="0" xfId="0" applyFont="1" applyFill="1" applyAlignment="1">
      <alignment vertical="center"/>
    </xf>
    <xf numFmtId="0" fontId="34" fillId="35" borderId="0" xfId="0" applyFont="1" applyFill="1" applyAlignment="1">
      <alignment horizontal="center" vertical="center" wrapText="1"/>
    </xf>
    <xf numFmtId="0" fontId="34" fillId="35" borderId="0" xfId="0" applyFont="1" applyFill="1" applyAlignment="1">
      <alignment horizontal="center" vertical="center"/>
    </xf>
    <xf numFmtId="0" fontId="34" fillId="35" borderId="0" xfId="0" applyFont="1" applyFill="1" applyAlignment="1">
      <alignment horizontal="right" vertical="center"/>
    </xf>
    <xf numFmtId="0" fontId="32" fillId="0" borderId="4" xfId="0" applyFont="1" applyBorder="1" applyAlignment="1">
      <alignment horizontal="center" vertical="center"/>
    </xf>
    <xf numFmtId="0" fontId="32" fillId="0" borderId="0" xfId="0" applyFont="1" applyBorder="1" applyAlignment="1">
      <alignment horizontal="center" vertical="center"/>
    </xf>
    <xf numFmtId="0" fontId="32" fillId="0" borderId="7" xfId="0" applyFont="1" applyBorder="1" applyAlignment="1">
      <alignment horizontal="center" vertical="center"/>
    </xf>
    <xf numFmtId="0" fontId="0" fillId="17" borderId="4" xfId="0" applyFill="1" applyBorder="1" applyAlignment="1">
      <alignment horizontal="center" vertical="center"/>
    </xf>
    <xf numFmtId="0" fontId="0" fillId="17" borderId="0" xfId="0" applyFill="1" applyBorder="1" applyAlignment="1">
      <alignment horizontal="center" vertical="center"/>
    </xf>
    <xf numFmtId="0" fontId="0" fillId="17" borderId="7" xfId="0" applyFill="1" applyBorder="1" applyAlignment="1">
      <alignment horizontal="center" vertical="center"/>
    </xf>
    <xf numFmtId="0" fontId="0" fillId="16" borderId="0" xfId="0" applyFill="1" applyBorder="1" applyAlignment="1">
      <alignment horizontal="center" vertical="center"/>
    </xf>
    <xf numFmtId="0" fontId="0" fillId="16" borderId="0" xfId="0" applyFill="1" applyAlignment="1">
      <alignment horizontal="center" vertical="center"/>
    </xf>
    <xf numFmtId="0" fontId="0" fillId="16" borderId="7" xfId="0" applyFill="1" applyBorder="1" applyAlignment="1">
      <alignment horizontal="center" vertical="center"/>
    </xf>
    <xf numFmtId="0" fontId="32" fillId="13" borderId="24"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13" borderId="0" xfId="0" applyFont="1" applyFill="1" applyAlignment="1">
      <alignment horizontal="center" vertical="center" wrapText="1"/>
    </xf>
    <xf numFmtId="0" fontId="32" fillId="13" borderId="7" xfId="0" applyFont="1" applyFill="1" applyBorder="1" applyAlignment="1">
      <alignment horizontal="center" vertical="center" wrapText="1"/>
    </xf>
    <xf numFmtId="0" fontId="32" fillId="0" borderId="0" xfId="0" applyFont="1" applyAlignment="1">
      <alignment horizontal="center" vertical="center"/>
    </xf>
    <xf numFmtId="0" fontId="34" fillId="0" borderId="0" xfId="0" applyFont="1" applyAlignment="1">
      <alignment vertical="center"/>
    </xf>
    <xf numFmtId="0" fontId="32" fillId="13" borderId="0" xfId="0" applyFont="1" applyFill="1" applyAlignment="1">
      <alignment horizontal="center" vertical="center"/>
    </xf>
    <xf numFmtId="0" fontId="32" fillId="13" borderId="7" xfId="0" applyFont="1" applyFill="1" applyBorder="1" applyAlignment="1">
      <alignment horizontal="center" vertical="center"/>
    </xf>
    <xf numFmtId="0" fontId="34" fillId="0" borderId="4" xfId="0" applyFont="1" applyBorder="1" applyAlignment="1">
      <alignment vertical="center"/>
    </xf>
    <xf numFmtId="0" fontId="37" fillId="0" borderId="0" xfId="0" applyFont="1" applyAlignment="1">
      <alignment vertical="center"/>
    </xf>
    <xf numFmtId="0" fontId="0" fillId="0" borderId="0" xfId="0" applyFont="1" applyAlignment="1">
      <alignment horizontal="center" vertical="center" textRotation="90" wrapText="1"/>
    </xf>
    <xf numFmtId="0" fontId="57" fillId="20" borderId="40" xfId="0" applyFont="1" applyFill="1" applyBorder="1" applyAlignment="1">
      <alignment horizontal="center" vertical="center" wrapText="1"/>
    </xf>
    <xf numFmtId="0" fontId="57" fillId="20" borderId="38" xfId="0" applyFont="1" applyFill="1" applyBorder="1" applyAlignment="1">
      <alignment horizontal="center" vertical="center" wrapText="1"/>
    </xf>
    <xf numFmtId="0" fontId="57" fillId="20" borderId="37" xfId="0" applyFont="1" applyFill="1" applyBorder="1" applyAlignment="1">
      <alignment horizontal="center" vertical="center" wrapText="1"/>
    </xf>
    <xf numFmtId="0" fontId="57" fillId="20" borderId="36" xfId="0" applyFont="1" applyFill="1" applyBorder="1" applyAlignment="1">
      <alignment vertical="center" wrapText="1"/>
    </xf>
    <xf numFmtId="0" fontId="57" fillId="20" borderId="42" xfId="0" applyFont="1" applyFill="1" applyBorder="1" applyAlignment="1">
      <alignment vertical="center" wrapText="1"/>
    </xf>
    <xf numFmtId="0" fontId="57" fillId="20" borderId="36" xfId="0" applyFont="1" applyFill="1" applyBorder="1" applyAlignment="1">
      <alignment horizontal="center" vertical="center" wrapText="1"/>
    </xf>
    <xf numFmtId="0" fontId="57" fillId="20" borderId="35" xfId="0" applyFont="1" applyFill="1" applyBorder="1" applyAlignment="1">
      <alignment horizontal="center" vertical="center" wrapText="1"/>
    </xf>
  </cellXfs>
  <cellStyles count="30">
    <cellStyle name="Bad" xfId="23" builtinId="27"/>
    <cellStyle name="Comma" xfId="11" builtinId="3"/>
    <cellStyle name="Comma 2" xfId="7"/>
    <cellStyle name="Comma 2 2" xfId="26"/>
    <cellStyle name="Comma 3" xfId="8"/>
    <cellStyle name="Comma 3 2" xfId="15"/>
    <cellStyle name="Comma 3 2 2" xfId="29"/>
    <cellStyle name="Comma 3 3" xfId="27"/>
    <cellStyle name="Comma 4" xfId="19"/>
    <cellStyle name="Comma 5" xfId="28"/>
    <cellStyle name="Currency 2" xfId="4"/>
    <cellStyle name="Good" xfId="14" builtinId="26"/>
    <cellStyle name="Heading 2" xfId="22" builtinId="17"/>
    <cellStyle name="Heading 3 2" xfId="24"/>
    <cellStyle name="Heading 4 2 2" xfId="16"/>
    <cellStyle name="Input" xfId="20" builtinId="20"/>
    <cellStyle name="Normal" xfId="0" builtinId="0"/>
    <cellStyle name="Normal 12 9 5" xfId="25"/>
    <cellStyle name="Normal 16 6" xfId="21"/>
    <cellStyle name="Normal 2" xfId="3"/>
    <cellStyle name="Normal 2 2" xfId="2"/>
    <cellStyle name="Normal 2 3" xfId="6"/>
    <cellStyle name="Normal 4" xfId="10"/>
    <cellStyle name="Normal 4 3" xfId="1"/>
    <cellStyle name="Normal 6" xfId="18"/>
    <cellStyle name="Normal 7" xfId="9"/>
    <cellStyle name="Output" xfId="13" builtinId="21"/>
    <cellStyle name="Percent" xfId="12" builtinId="5"/>
    <cellStyle name="Percent 2" xfId="5"/>
    <cellStyle name="Percent 5" xfId="17"/>
  </cellStyles>
  <dxfs count="5">
    <dxf>
      <font>
        <color rgb="FF00B0F0"/>
      </font>
      <fill>
        <patternFill patternType="none">
          <bgColor auto="1"/>
        </patternFill>
      </fill>
    </dxf>
    <dxf>
      <font>
        <color rgb="FF00B0F0"/>
      </font>
      <fill>
        <patternFill patternType="none">
          <bgColor auto="1"/>
        </patternFill>
      </fill>
    </dxf>
    <dxf>
      <font>
        <color rgb="FF00B0F0"/>
      </font>
      <fill>
        <patternFill patternType="none">
          <bgColor auto="1"/>
        </patternFill>
      </fill>
    </dxf>
    <dxf>
      <font>
        <color rgb="FF00B0F0"/>
      </font>
      <fill>
        <patternFill patternType="none">
          <bgColor auto="1"/>
        </patternFill>
      </fill>
    </dxf>
    <dxf>
      <font>
        <color rgb="FF00B0F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'TDS  vs Capex'!$J$31:$P$31</c:f>
              <c:numCache>
                <c:formatCode>General</c:formatCode>
                <c:ptCount val="7"/>
                <c:pt idx="0">
                  <c:v>208</c:v>
                </c:pt>
                <c:pt idx="1">
                  <c:v>294</c:v>
                </c:pt>
                <c:pt idx="2">
                  <c:v>450</c:v>
                </c:pt>
                <c:pt idx="3">
                  <c:v>178</c:v>
                </c:pt>
                <c:pt idx="4">
                  <c:v>214</c:v>
                </c:pt>
                <c:pt idx="5">
                  <c:v>249</c:v>
                </c:pt>
                <c:pt idx="6">
                  <c:v>285</c:v>
                </c:pt>
              </c:numCache>
            </c:numRef>
          </c:xVal>
          <c:yVal>
            <c:numRef>
              <c:f>'TDS  vs Capex'!$J$34:$P$34</c:f>
              <c:numCache>
                <c:formatCode>"R"#,##0.00_);[Red]\("R"#,##0.00\)</c:formatCode>
                <c:ptCount val="7"/>
                <c:pt idx="0">
                  <c:v>117.5</c:v>
                </c:pt>
                <c:pt idx="1">
                  <c:v>188.2</c:v>
                </c:pt>
                <c:pt idx="2">
                  <c:v>235.7</c:v>
                </c:pt>
                <c:pt idx="4">
                  <c:v>262.7</c:v>
                </c:pt>
                <c:pt idx="5">
                  <c:v>363</c:v>
                </c:pt>
                <c:pt idx="6">
                  <c:v>427.4</c:v>
                </c:pt>
              </c:numCache>
            </c:numRef>
          </c:yVal>
          <c:smooth val="0"/>
        </c:ser>
        <c:dLbls>
          <c:showLegendKey val="0"/>
          <c:showVal val="0"/>
          <c:showCatName val="0"/>
          <c:showSerName val="0"/>
          <c:showPercent val="0"/>
          <c:showBubbleSize val="0"/>
        </c:dLbls>
        <c:axId val="392768856"/>
        <c:axId val="389640608"/>
      </c:scatterChart>
      <c:valAx>
        <c:axId val="392768856"/>
        <c:scaling>
          <c:orientation val="minMax"/>
        </c:scaling>
        <c:delete val="0"/>
        <c:axPos val="b"/>
        <c:numFmt formatCode="General" sourceLinked="1"/>
        <c:majorTickMark val="out"/>
        <c:minorTickMark val="none"/>
        <c:tickLblPos val="nextTo"/>
        <c:crossAx val="389640608"/>
        <c:crosses val="autoZero"/>
        <c:crossBetween val="midCat"/>
      </c:valAx>
      <c:valAx>
        <c:axId val="389640608"/>
        <c:scaling>
          <c:orientation val="minMax"/>
        </c:scaling>
        <c:delete val="0"/>
        <c:axPos val="l"/>
        <c:majorGridlines/>
        <c:numFmt formatCode="&quot;R&quot;#,##0.00_);[Red]\(&quot;R&quot;#,##0.00\)" sourceLinked="1"/>
        <c:majorTickMark val="out"/>
        <c:minorTickMark val="none"/>
        <c:tickLblPos val="nextTo"/>
        <c:crossAx val="39276885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lethabo</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4"/>
            <c:dispRSqr val="1"/>
            <c:dispEq val="1"/>
            <c:trendlineLbl>
              <c:layout>
                <c:manualLayout>
                  <c:x val="-7.523793443948161E-2"/>
                  <c:y val="0.3207292779254328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seasonal!$A$8:$A$19</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xVal>
          <c:yVal>
            <c:numRef>
              <c:f>seasonal!$C$8:$C$19</c:f>
              <c:numCache>
                <c:formatCode>General</c:formatCode>
                <c:ptCount val="12"/>
                <c:pt idx="0">
                  <c:v>21</c:v>
                </c:pt>
                <c:pt idx="1">
                  <c:v>21</c:v>
                </c:pt>
                <c:pt idx="2">
                  <c:v>19</c:v>
                </c:pt>
                <c:pt idx="3">
                  <c:v>16</c:v>
                </c:pt>
                <c:pt idx="4">
                  <c:v>11</c:v>
                </c:pt>
                <c:pt idx="5">
                  <c:v>9</c:v>
                </c:pt>
                <c:pt idx="6">
                  <c:v>9</c:v>
                </c:pt>
                <c:pt idx="7">
                  <c:v>11</c:v>
                </c:pt>
                <c:pt idx="8">
                  <c:v>16</c:v>
                </c:pt>
                <c:pt idx="9">
                  <c:v>19</c:v>
                </c:pt>
                <c:pt idx="10">
                  <c:v>19</c:v>
                </c:pt>
                <c:pt idx="11">
                  <c:v>21</c:v>
                </c:pt>
              </c:numCache>
            </c:numRef>
          </c:yVal>
          <c:smooth val="0"/>
        </c:ser>
        <c:ser>
          <c:idx val="0"/>
          <c:order val="1"/>
          <c:tx>
            <c:v>medupi</c:v>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layout>
                <c:manualLayout>
                  <c:x val="-2.3256128071710333E-2"/>
                  <c:y val="-5.039800624291050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seasonal!$A$8:$A$19</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xVal>
          <c:yVal>
            <c:numRef>
              <c:f>seasonal!$B$8:$B$19</c:f>
              <c:numCache>
                <c:formatCode>General</c:formatCode>
                <c:ptCount val="12"/>
                <c:pt idx="0">
                  <c:v>26</c:v>
                </c:pt>
                <c:pt idx="1">
                  <c:v>26</c:v>
                </c:pt>
                <c:pt idx="2">
                  <c:v>24</c:v>
                </c:pt>
                <c:pt idx="3">
                  <c:v>21</c:v>
                </c:pt>
                <c:pt idx="4">
                  <c:v>16</c:v>
                </c:pt>
                <c:pt idx="5">
                  <c:v>14</c:v>
                </c:pt>
                <c:pt idx="6">
                  <c:v>14</c:v>
                </c:pt>
                <c:pt idx="7">
                  <c:v>16</c:v>
                </c:pt>
                <c:pt idx="8">
                  <c:v>21</c:v>
                </c:pt>
                <c:pt idx="9">
                  <c:v>24</c:v>
                </c:pt>
                <c:pt idx="10">
                  <c:v>24</c:v>
                </c:pt>
                <c:pt idx="11">
                  <c:v>26</c:v>
                </c:pt>
              </c:numCache>
            </c:numRef>
          </c:yVal>
          <c:smooth val="0"/>
        </c:ser>
        <c:dLbls>
          <c:showLegendKey val="0"/>
          <c:showVal val="0"/>
          <c:showCatName val="0"/>
          <c:showSerName val="0"/>
          <c:showPercent val="0"/>
          <c:showBubbleSize val="0"/>
        </c:dLbls>
        <c:axId val="391156048"/>
        <c:axId val="391156440"/>
      </c:scatterChart>
      <c:valAx>
        <c:axId val="391156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156440"/>
        <c:crosses val="autoZero"/>
        <c:crossBetween val="midCat"/>
      </c:valAx>
      <c:valAx>
        <c:axId val="391156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1560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charts!$F$14</c:f>
          <c:strCache>
            <c:ptCount val="1"/>
            <c:pt idx="0">
              <c:v>Upper Olifants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9525" cap="rnd">
              <a:solidFill>
                <a:schemeClr val="accent1"/>
              </a:solidFill>
              <a:round/>
            </a:ln>
            <a:effectLst>
              <a:outerShdw blurRad="40000" dist="23000" dir="5400000" rotWithShape="0">
                <a:srgbClr val="000000">
                  <a:alpha val="35000"/>
                </a:srgbClr>
              </a:outerShdw>
            </a:effectLst>
          </c:spPr>
          <c:marker>
            <c:symbol val="none"/>
          </c:marker>
          <c:xVal>
            <c:numRef>
              <c:f>charts!$G$15:$G$22</c:f>
              <c:numCache>
                <c:formatCode>General</c:formatCode>
                <c:ptCount val="8"/>
                <c:pt idx="0">
                  <c:v>0</c:v>
                </c:pt>
                <c:pt idx="1">
                  <c:v>55</c:v>
                </c:pt>
                <c:pt idx="2">
                  <c:v>55</c:v>
                </c:pt>
                <c:pt idx="3">
                  <c:v>86</c:v>
                </c:pt>
                <c:pt idx="4">
                  <c:v>86</c:v>
                </c:pt>
                <c:pt idx="5">
                  <c:v>276</c:v>
                </c:pt>
                <c:pt idx="6">
                  <c:v>276</c:v>
                </c:pt>
                <c:pt idx="7">
                  <c:v>376</c:v>
                </c:pt>
              </c:numCache>
            </c:numRef>
          </c:xVal>
          <c:yVal>
            <c:numRef>
              <c:f>charts!$H$15:$H$22</c:f>
              <c:numCache>
                <c:formatCode>0.00</c:formatCode>
                <c:ptCount val="8"/>
                <c:pt idx="0">
                  <c:v>17.542199494348893</c:v>
                </c:pt>
                <c:pt idx="1">
                  <c:v>17.542199494348893</c:v>
                </c:pt>
                <c:pt idx="2">
                  <c:v>8.7432982632736493</c:v>
                </c:pt>
                <c:pt idx="3">
                  <c:v>8.7432982632736493</c:v>
                </c:pt>
                <c:pt idx="4">
                  <c:v>10.431799356612084</c:v>
                </c:pt>
                <c:pt idx="5">
                  <c:v>10.431799356612084</c:v>
                </c:pt>
                <c:pt idx="6">
                  <c:v>24.47036369658187</c:v>
                </c:pt>
                <c:pt idx="7">
                  <c:v>24.47036369658187</c:v>
                </c:pt>
              </c:numCache>
            </c:numRef>
          </c:yVal>
          <c:smooth val="0"/>
        </c:ser>
        <c:dLbls>
          <c:showLegendKey val="0"/>
          <c:showVal val="0"/>
          <c:showCatName val="0"/>
          <c:showSerName val="0"/>
          <c:showPercent val="0"/>
          <c:showBubbleSize val="0"/>
        </c:dLbls>
        <c:axId val="391157224"/>
        <c:axId val="391971384"/>
      </c:scatterChart>
      <c:valAx>
        <c:axId val="391157224"/>
        <c:scaling>
          <c:orientation val="minMax"/>
          <c:max val="300"/>
        </c:scaling>
        <c:delete val="0"/>
        <c:axPos val="b"/>
        <c:majorGridlines>
          <c:spPr>
            <a:ln w="9525" cap="flat" cmpd="sng" algn="ctr">
              <a:solidFill>
                <a:schemeClr val="tx2">
                  <a:lumMod val="15000"/>
                  <a:lumOff val="85000"/>
                </a:schemeClr>
              </a:solidFill>
              <a:round/>
            </a:ln>
            <a:effectLst/>
          </c:spPr>
        </c:majorGridlines>
        <c:title>
          <c:tx>
            <c:strRef>
              <c:f>charts!$M$1</c:f>
              <c:strCache>
                <c:ptCount val="1"/>
                <c:pt idx="0">
                  <c:v>Additional System Supply (Mm3/a)</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971384"/>
        <c:crosses val="autoZero"/>
        <c:crossBetween val="midCat"/>
      </c:valAx>
      <c:valAx>
        <c:axId val="391971384"/>
        <c:scaling>
          <c:orientation val="minMax"/>
          <c:max val="35"/>
        </c:scaling>
        <c:delete val="0"/>
        <c:axPos val="l"/>
        <c:majorGridlines>
          <c:spPr>
            <a:ln w="9525" cap="flat" cmpd="sng" algn="ctr">
              <a:solidFill>
                <a:schemeClr val="tx2">
                  <a:lumMod val="15000"/>
                  <a:lumOff val="85000"/>
                </a:schemeClr>
              </a:solidFill>
              <a:round/>
            </a:ln>
            <a:effectLst/>
          </c:spPr>
        </c:majorGridlines>
        <c:title>
          <c:tx>
            <c:strRef>
              <c:f>charts!$K$1</c:f>
              <c:strCache>
                <c:ptCount val="1"/>
                <c:pt idx="0">
                  <c:v>Net UWC (ZAR/m3)</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1572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charts!$F$2</c:f>
          <c:strCache>
            <c:ptCount val="1"/>
            <c:pt idx="0">
              <c:v>Waterberg (Limpopo)</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9525" cap="rnd">
              <a:solidFill>
                <a:schemeClr val="accent1"/>
              </a:solidFill>
              <a:round/>
            </a:ln>
            <a:effectLst>
              <a:outerShdw blurRad="40000" dist="23000" dir="5400000" rotWithShape="0">
                <a:srgbClr val="000000">
                  <a:alpha val="35000"/>
                </a:srgbClr>
              </a:outerShdw>
            </a:effectLst>
          </c:spPr>
          <c:marker>
            <c:symbol val="none"/>
          </c:marker>
          <c:xVal>
            <c:numRef>
              <c:f>charts!$G$3:$G$12</c:f>
              <c:numCache>
                <c:formatCode>General</c:formatCode>
                <c:ptCount val="10"/>
                <c:pt idx="0">
                  <c:v>0</c:v>
                </c:pt>
                <c:pt idx="1">
                  <c:v>28.6</c:v>
                </c:pt>
                <c:pt idx="2">
                  <c:v>28.6</c:v>
                </c:pt>
                <c:pt idx="3">
                  <c:v>194.6</c:v>
                </c:pt>
                <c:pt idx="4">
                  <c:v>194.6</c:v>
                </c:pt>
                <c:pt idx="5">
                  <c:v>320.60000000000002</c:v>
                </c:pt>
                <c:pt idx="6">
                  <c:v>320.60000000000002</c:v>
                </c:pt>
                <c:pt idx="7">
                  <c:v>410.6</c:v>
                </c:pt>
                <c:pt idx="8">
                  <c:v>410.6</c:v>
                </c:pt>
                <c:pt idx="9">
                  <c:v>510.6</c:v>
                </c:pt>
              </c:numCache>
            </c:numRef>
          </c:xVal>
          <c:yVal>
            <c:numRef>
              <c:f>charts!$H$3:$H$12</c:f>
              <c:numCache>
                <c:formatCode>0.00</c:formatCode>
                <c:ptCount val="10"/>
                <c:pt idx="0">
                  <c:v>9.2806597337580055</c:v>
                </c:pt>
                <c:pt idx="1">
                  <c:v>9.2806597337580055</c:v>
                </c:pt>
                <c:pt idx="2">
                  <c:v>7.6141536953912343</c:v>
                </c:pt>
                <c:pt idx="3">
                  <c:v>7.6141536953912343</c:v>
                </c:pt>
                <c:pt idx="4">
                  <c:v>10.983576563218776</c:v>
                </c:pt>
                <c:pt idx="5">
                  <c:v>10.983576563218776</c:v>
                </c:pt>
                <c:pt idx="6">
                  <c:v>14.029630222255271</c:v>
                </c:pt>
                <c:pt idx="7">
                  <c:v>14.029630222255271</c:v>
                </c:pt>
                <c:pt idx="8">
                  <c:v>33.673322019671424</c:v>
                </c:pt>
                <c:pt idx="9">
                  <c:v>33.673322019671424</c:v>
                </c:pt>
              </c:numCache>
            </c:numRef>
          </c:yVal>
          <c:smooth val="0"/>
        </c:ser>
        <c:dLbls>
          <c:showLegendKey val="0"/>
          <c:showVal val="0"/>
          <c:showCatName val="0"/>
          <c:showSerName val="0"/>
          <c:showPercent val="0"/>
          <c:showBubbleSize val="0"/>
        </c:dLbls>
        <c:axId val="391972168"/>
        <c:axId val="391972560"/>
      </c:scatterChart>
      <c:valAx>
        <c:axId val="391972168"/>
        <c:scaling>
          <c:orientation val="minMax"/>
          <c:max val="500"/>
        </c:scaling>
        <c:delete val="0"/>
        <c:axPos val="b"/>
        <c:majorGridlines>
          <c:spPr>
            <a:ln w="9525" cap="flat" cmpd="sng" algn="ctr">
              <a:solidFill>
                <a:schemeClr val="tx2">
                  <a:lumMod val="15000"/>
                  <a:lumOff val="85000"/>
                </a:schemeClr>
              </a:solidFill>
              <a:round/>
            </a:ln>
            <a:effectLst/>
          </c:spPr>
        </c:majorGridlines>
        <c:title>
          <c:tx>
            <c:strRef>
              <c:f>charts!$M$1</c:f>
              <c:strCache>
                <c:ptCount val="1"/>
                <c:pt idx="0">
                  <c:v>Additional System Supply (Mm3/a)</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972560"/>
        <c:crosses val="autoZero"/>
        <c:crossBetween val="midCat"/>
      </c:valAx>
      <c:valAx>
        <c:axId val="391972560"/>
        <c:scaling>
          <c:orientation val="minMax"/>
          <c:max val="35"/>
        </c:scaling>
        <c:delete val="0"/>
        <c:axPos val="l"/>
        <c:majorGridlines>
          <c:spPr>
            <a:ln w="9525" cap="flat" cmpd="sng" algn="ctr">
              <a:solidFill>
                <a:schemeClr val="tx2">
                  <a:lumMod val="15000"/>
                  <a:lumOff val="85000"/>
                </a:schemeClr>
              </a:solidFill>
              <a:round/>
            </a:ln>
            <a:effectLst/>
          </c:spPr>
        </c:majorGridlines>
        <c:title>
          <c:tx>
            <c:strRef>
              <c:f>charts!$K$1</c:f>
              <c:strCache>
                <c:ptCount val="1"/>
                <c:pt idx="0">
                  <c:v>Net UWC (ZAR/m3)</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9721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charts!$F$24</c:f>
          <c:strCache>
            <c:ptCount val="1"/>
            <c:pt idx="0">
              <c:v>Vaal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9525" cap="rnd">
              <a:solidFill>
                <a:schemeClr val="accent1"/>
              </a:solidFill>
              <a:round/>
            </a:ln>
            <a:effectLst>
              <a:outerShdw blurRad="40000" dist="23000" dir="5400000" rotWithShape="0">
                <a:srgbClr val="000000">
                  <a:alpha val="35000"/>
                </a:srgbClr>
              </a:outerShdw>
            </a:effectLst>
          </c:spPr>
          <c:marker>
            <c:symbol val="none"/>
          </c:marker>
          <c:xVal>
            <c:numRef>
              <c:f>charts!$G$25:$G$36</c:f>
              <c:numCache>
                <c:formatCode>General</c:formatCode>
                <c:ptCount val="12"/>
                <c:pt idx="0">
                  <c:v>0</c:v>
                </c:pt>
                <c:pt idx="1">
                  <c:v>437</c:v>
                </c:pt>
                <c:pt idx="2">
                  <c:v>437</c:v>
                </c:pt>
                <c:pt idx="3">
                  <c:v>997</c:v>
                </c:pt>
                <c:pt idx="4">
                  <c:v>997</c:v>
                </c:pt>
                <c:pt idx="5">
                  <c:v>1286.52</c:v>
                </c:pt>
                <c:pt idx="6">
                  <c:v>1286.52</c:v>
                </c:pt>
                <c:pt idx="7">
                  <c:v>1917.52</c:v>
                </c:pt>
                <c:pt idx="8">
                  <c:v>1917.52</c:v>
                </c:pt>
                <c:pt idx="9">
                  <c:v>2017.52</c:v>
                </c:pt>
                <c:pt idx="10">
                  <c:v>2017.52</c:v>
                </c:pt>
                <c:pt idx="11">
                  <c:v>2500</c:v>
                </c:pt>
              </c:numCache>
            </c:numRef>
          </c:xVal>
          <c:yVal>
            <c:numRef>
              <c:f>charts!$H$25:$H$36</c:f>
              <c:numCache>
                <c:formatCode>0.00</c:formatCode>
                <c:ptCount val="12"/>
                <c:pt idx="0">
                  <c:v>0</c:v>
                </c:pt>
                <c:pt idx="1">
                  <c:v>0</c:v>
                </c:pt>
                <c:pt idx="2">
                  <c:v>5.8460594252640066</c:v>
                </c:pt>
                <c:pt idx="3">
                  <c:v>5.8460594252640066</c:v>
                </c:pt>
                <c:pt idx="4">
                  <c:v>7.4699759633267018</c:v>
                </c:pt>
                <c:pt idx="5">
                  <c:v>7.4699759633267018</c:v>
                </c:pt>
                <c:pt idx="6">
                  <c:v>9.8462578301284385</c:v>
                </c:pt>
                <c:pt idx="7">
                  <c:v>9.8462578301284385</c:v>
                </c:pt>
                <c:pt idx="8">
                  <c:v>11.257818892158113</c:v>
                </c:pt>
                <c:pt idx="9">
                  <c:v>11.257818892158113</c:v>
                </c:pt>
                <c:pt idx="10">
                  <c:v>15.57911055234781</c:v>
                </c:pt>
                <c:pt idx="11">
                  <c:v>15.57911055234781</c:v>
                </c:pt>
              </c:numCache>
            </c:numRef>
          </c:yVal>
          <c:smooth val="0"/>
        </c:ser>
        <c:dLbls>
          <c:showLegendKey val="0"/>
          <c:showVal val="0"/>
          <c:showCatName val="0"/>
          <c:showSerName val="0"/>
          <c:showPercent val="0"/>
          <c:showBubbleSize val="0"/>
        </c:dLbls>
        <c:axId val="393917872"/>
        <c:axId val="393918264"/>
      </c:scatterChart>
      <c:valAx>
        <c:axId val="393917872"/>
        <c:scaling>
          <c:orientation val="minMax"/>
          <c:max val="2500"/>
          <c:min val="0"/>
        </c:scaling>
        <c:delete val="0"/>
        <c:axPos val="b"/>
        <c:majorGridlines>
          <c:spPr>
            <a:ln w="9525" cap="flat" cmpd="sng" algn="ctr">
              <a:solidFill>
                <a:schemeClr val="tx2">
                  <a:lumMod val="15000"/>
                  <a:lumOff val="85000"/>
                </a:schemeClr>
              </a:solidFill>
              <a:round/>
            </a:ln>
            <a:effectLst/>
          </c:spPr>
        </c:majorGridlines>
        <c:title>
          <c:tx>
            <c:strRef>
              <c:f>charts!$M$1</c:f>
              <c:strCache>
                <c:ptCount val="1"/>
                <c:pt idx="0">
                  <c:v>Additional System Supply (Mm3/a)</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3918264"/>
        <c:crosses val="autoZero"/>
        <c:crossBetween val="midCat"/>
      </c:valAx>
      <c:valAx>
        <c:axId val="393918264"/>
        <c:scaling>
          <c:orientation val="minMax"/>
          <c:max val="35"/>
        </c:scaling>
        <c:delete val="0"/>
        <c:axPos val="l"/>
        <c:majorGridlines>
          <c:spPr>
            <a:ln w="9525" cap="flat" cmpd="sng" algn="ctr">
              <a:solidFill>
                <a:schemeClr val="tx2">
                  <a:lumMod val="15000"/>
                  <a:lumOff val="85000"/>
                </a:schemeClr>
              </a:solidFill>
              <a:round/>
            </a:ln>
            <a:effectLst/>
          </c:spPr>
        </c:majorGridlines>
        <c:title>
          <c:tx>
            <c:strRef>
              <c:f>charts!$K$1</c:f>
              <c:strCache>
                <c:ptCount val="1"/>
                <c:pt idx="0">
                  <c:v>Net UWC (ZAR/m3)</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39178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charts!$F$39</c:f>
          <c:strCache>
            <c:ptCount val="1"/>
            <c:pt idx="0">
              <c:v>Lower Orange - CSP pipeline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9525" cap="rnd">
              <a:solidFill>
                <a:schemeClr val="accent1"/>
              </a:solidFill>
              <a:round/>
            </a:ln>
            <a:effectLst>
              <a:outerShdw blurRad="40000" dist="23000" dir="5400000" rotWithShape="0">
                <a:srgbClr val="000000">
                  <a:alpha val="35000"/>
                </a:srgbClr>
              </a:outerShdw>
            </a:effectLst>
          </c:spPr>
          <c:marker>
            <c:symbol val="none"/>
          </c:marker>
          <c:xVal>
            <c:numRef>
              <c:f>charts!$G$40:$G$45</c:f>
              <c:numCache>
                <c:formatCode>General</c:formatCode>
                <c:ptCount val="6"/>
                <c:pt idx="0">
                  <c:v>0</c:v>
                </c:pt>
                <c:pt idx="1">
                  <c:v>227</c:v>
                </c:pt>
                <c:pt idx="2">
                  <c:v>227</c:v>
                </c:pt>
                <c:pt idx="3">
                  <c:v>392.47999999999996</c:v>
                </c:pt>
                <c:pt idx="4">
                  <c:v>392.47999999999996</c:v>
                </c:pt>
                <c:pt idx="5">
                  <c:v>400</c:v>
                </c:pt>
              </c:numCache>
            </c:numRef>
          </c:xVal>
          <c:yVal>
            <c:numRef>
              <c:f>charts!$H$40:$H$45</c:f>
              <c:numCache>
                <c:formatCode>General</c:formatCode>
                <c:ptCount val="6"/>
                <c:pt idx="0">
                  <c:v>4.6833307920885199</c:v>
                </c:pt>
                <c:pt idx="1">
                  <c:v>4.6833307920885199</c:v>
                </c:pt>
                <c:pt idx="2">
                  <c:v>10.350835050827746</c:v>
                </c:pt>
                <c:pt idx="3">
                  <c:v>10.350835050827746</c:v>
                </c:pt>
                <c:pt idx="4">
                  <c:v>22.431754645325885</c:v>
                </c:pt>
                <c:pt idx="5">
                  <c:v>22.431754645325885</c:v>
                </c:pt>
              </c:numCache>
            </c:numRef>
          </c:yVal>
          <c:smooth val="0"/>
        </c:ser>
        <c:dLbls>
          <c:showLegendKey val="0"/>
          <c:showVal val="0"/>
          <c:showCatName val="0"/>
          <c:showSerName val="0"/>
          <c:showPercent val="0"/>
          <c:showBubbleSize val="0"/>
        </c:dLbls>
        <c:axId val="393919048"/>
        <c:axId val="393919440"/>
      </c:scatterChart>
      <c:valAx>
        <c:axId val="393919048"/>
        <c:scaling>
          <c:orientation val="minMax"/>
          <c:max val="400"/>
        </c:scaling>
        <c:delete val="0"/>
        <c:axPos val="b"/>
        <c:majorGridlines>
          <c:spPr>
            <a:ln w="9525" cap="flat" cmpd="sng" algn="ctr">
              <a:solidFill>
                <a:schemeClr val="tx2">
                  <a:lumMod val="15000"/>
                  <a:lumOff val="85000"/>
                </a:schemeClr>
              </a:solidFill>
              <a:round/>
            </a:ln>
            <a:effectLst/>
          </c:spPr>
        </c:majorGridlines>
        <c:title>
          <c:tx>
            <c:strRef>
              <c:f>charts!$M$1</c:f>
              <c:strCache>
                <c:ptCount val="1"/>
                <c:pt idx="0">
                  <c:v>Additional System Supply (Mm3/a)</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3919440"/>
        <c:crosses val="autoZero"/>
        <c:crossBetween val="midCat"/>
      </c:valAx>
      <c:valAx>
        <c:axId val="393919440"/>
        <c:scaling>
          <c:orientation val="minMax"/>
          <c:max val="35"/>
        </c:scaling>
        <c:delete val="0"/>
        <c:axPos val="l"/>
        <c:majorGridlines>
          <c:spPr>
            <a:ln w="9525" cap="flat" cmpd="sng" algn="ctr">
              <a:solidFill>
                <a:schemeClr val="tx2">
                  <a:lumMod val="15000"/>
                  <a:lumOff val="85000"/>
                </a:schemeClr>
              </a:solidFill>
              <a:round/>
            </a:ln>
            <a:effectLst/>
          </c:spPr>
        </c:majorGridlines>
        <c:title>
          <c:tx>
            <c:strRef>
              <c:f>charts!$K$1</c:f>
              <c:strCache>
                <c:ptCount val="1"/>
                <c:pt idx="0">
                  <c:v>Net UWC (ZAR/m3)</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39190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charts!$F$46</c:f>
          <c:strCache>
            <c:ptCount val="1"/>
            <c:pt idx="0">
              <c:v>Lower Orange - shale gas road transport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charts!$G$47:$G$52</c:f>
              <c:numCache>
                <c:formatCode>0.00</c:formatCode>
                <c:ptCount val="6"/>
                <c:pt idx="0" formatCode="General">
                  <c:v>0</c:v>
                </c:pt>
                <c:pt idx="1">
                  <c:v>227.47999999999996</c:v>
                </c:pt>
                <c:pt idx="2">
                  <c:v>227.47999999999996</c:v>
                </c:pt>
                <c:pt idx="3" formatCode="General">
                  <c:v>392.47999999999996</c:v>
                </c:pt>
                <c:pt idx="4" formatCode="General">
                  <c:v>392.47999999999996</c:v>
                </c:pt>
                <c:pt idx="5" formatCode="General">
                  <c:v>400</c:v>
                </c:pt>
              </c:numCache>
            </c:numRef>
          </c:xVal>
          <c:yVal>
            <c:numRef>
              <c:f>charts!$H$47:$H$52</c:f>
              <c:numCache>
                <c:formatCode>0.00</c:formatCode>
                <c:ptCount val="6"/>
                <c:pt idx="0">
                  <c:v>113.98879234408601</c:v>
                </c:pt>
                <c:pt idx="1">
                  <c:v>113.98879234408601</c:v>
                </c:pt>
                <c:pt idx="2">
                  <c:v>119.65629660282524</c:v>
                </c:pt>
                <c:pt idx="3">
                  <c:v>119.65629660282524</c:v>
                </c:pt>
                <c:pt idx="4">
                  <c:v>135.81216887143961</c:v>
                </c:pt>
                <c:pt idx="5">
                  <c:v>135.81216887143961</c:v>
                </c:pt>
              </c:numCache>
            </c:numRef>
          </c:yVal>
          <c:smooth val="0"/>
        </c:ser>
        <c:dLbls>
          <c:showLegendKey val="0"/>
          <c:showVal val="0"/>
          <c:showCatName val="0"/>
          <c:showSerName val="0"/>
          <c:showPercent val="0"/>
          <c:showBubbleSize val="0"/>
        </c:dLbls>
        <c:axId val="393920224"/>
        <c:axId val="393920616"/>
      </c:scatterChart>
      <c:valAx>
        <c:axId val="393920224"/>
        <c:scaling>
          <c:orientation val="minMax"/>
          <c:max val="400"/>
        </c:scaling>
        <c:delete val="0"/>
        <c:axPos val="b"/>
        <c:majorGridlines>
          <c:spPr>
            <a:ln w="9525" cap="flat" cmpd="sng" algn="ctr">
              <a:solidFill>
                <a:schemeClr val="tx1">
                  <a:lumMod val="15000"/>
                  <a:lumOff val="85000"/>
                </a:schemeClr>
              </a:solidFill>
              <a:round/>
            </a:ln>
            <a:effectLst/>
          </c:spPr>
        </c:majorGridlines>
        <c:title>
          <c:tx>
            <c:strRef>
              <c:f>charts!$M$1</c:f>
              <c:strCache>
                <c:ptCount val="1"/>
                <c:pt idx="0">
                  <c:v>Additional System Supply (Mm3/a)</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920616"/>
        <c:crosses val="autoZero"/>
        <c:crossBetween val="midCat"/>
      </c:valAx>
      <c:valAx>
        <c:axId val="393920616"/>
        <c:scaling>
          <c:orientation val="minMax"/>
          <c:max val="150"/>
          <c:min val="100"/>
        </c:scaling>
        <c:delete val="0"/>
        <c:axPos val="l"/>
        <c:majorGridlines>
          <c:spPr>
            <a:ln w="9525" cap="flat" cmpd="sng" algn="ctr">
              <a:solidFill>
                <a:schemeClr val="tx1">
                  <a:lumMod val="15000"/>
                  <a:lumOff val="85000"/>
                </a:schemeClr>
              </a:solidFill>
              <a:round/>
            </a:ln>
            <a:effectLst/>
          </c:spPr>
        </c:majorGridlines>
        <c:title>
          <c:tx>
            <c:strRef>
              <c:f>charts!$K$1</c:f>
              <c:strCache>
                <c:ptCount val="1"/>
                <c:pt idx="0">
                  <c:v>Net UWC (ZAR/m3)</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9202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charts!$F$53</c:f>
          <c:strCache>
            <c:ptCount val="1"/>
            <c:pt idx="0">
              <c:v>Lower Orange - shale gas pipeline</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charts!$G$54:$G$59</c:f>
              <c:numCache>
                <c:formatCode>General</c:formatCode>
                <c:ptCount val="6"/>
                <c:pt idx="0">
                  <c:v>0</c:v>
                </c:pt>
                <c:pt idx="1">
                  <c:v>227.47999999999996</c:v>
                </c:pt>
                <c:pt idx="2">
                  <c:v>227.47999999999996</c:v>
                </c:pt>
                <c:pt idx="3">
                  <c:v>392.47999999999996</c:v>
                </c:pt>
                <c:pt idx="4">
                  <c:v>392.47999999999996</c:v>
                </c:pt>
                <c:pt idx="5">
                  <c:v>400</c:v>
                </c:pt>
              </c:numCache>
            </c:numRef>
          </c:xVal>
          <c:yVal>
            <c:numRef>
              <c:f>charts!$H$54:$H$59</c:f>
              <c:numCache>
                <c:formatCode>0.00</c:formatCode>
                <c:ptCount val="6"/>
                <c:pt idx="0">
                  <c:v>122.59300063536632</c:v>
                </c:pt>
                <c:pt idx="1">
                  <c:v>122.59300063536632</c:v>
                </c:pt>
                <c:pt idx="2">
                  <c:v>128.26050489410554</c:v>
                </c:pt>
                <c:pt idx="3">
                  <c:v>128.26050489410554</c:v>
                </c:pt>
                <c:pt idx="4">
                  <c:v>144.41637716271993</c:v>
                </c:pt>
                <c:pt idx="5">
                  <c:v>144.41637716271993</c:v>
                </c:pt>
              </c:numCache>
            </c:numRef>
          </c:yVal>
          <c:smooth val="0"/>
        </c:ser>
        <c:dLbls>
          <c:showLegendKey val="0"/>
          <c:showVal val="0"/>
          <c:showCatName val="0"/>
          <c:showSerName val="0"/>
          <c:showPercent val="0"/>
          <c:showBubbleSize val="0"/>
        </c:dLbls>
        <c:axId val="393921400"/>
        <c:axId val="394666696"/>
      </c:scatterChart>
      <c:valAx>
        <c:axId val="393921400"/>
        <c:scaling>
          <c:orientation val="minMax"/>
          <c:max val="400"/>
        </c:scaling>
        <c:delete val="0"/>
        <c:axPos val="b"/>
        <c:majorGridlines>
          <c:spPr>
            <a:ln w="9525" cap="flat" cmpd="sng" algn="ctr">
              <a:solidFill>
                <a:schemeClr val="tx1">
                  <a:lumMod val="15000"/>
                  <a:lumOff val="85000"/>
                </a:schemeClr>
              </a:solidFill>
              <a:round/>
            </a:ln>
            <a:effectLst/>
          </c:spPr>
        </c:majorGridlines>
        <c:title>
          <c:tx>
            <c:strRef>
              <c:f>charts!$M$1</c:f>
              <c:strCache>
                <c:ptCount val="1"/>
                <c:pt idx="0">
                  <c:v>Additional System Supply (Mm3/a)</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666696"/>
        <c:crosses val="autoZero"/>
        <c:crossBetween val="midCat"/>
      </c:valAx>
      <c:valAx>
        <c:axId val="394666696"/>
        <c:scaling>
          <c:orientation val="minMax"/>
          <c:min val="100"/>
        </c:scaling>
        <c:delete val="0"/>
        <c:axPos val="l"/>
        <c:majorGridlines>
          <c:spPr>
            <a:ln w="9525" cap="flat" cmpd="sng" algn="ctr">
              <a:solidFill>
                <a:schemeClr val="tx1">
                  <a:lumMod val="15000"/>
                  <a:lumOff val="85000"/>
                </a:schemeClr>
              </a:solidFill>
              <a:round/>
            </a:ln>
            <a:effectLst/>
          </c:spPr>
        </c:majorGridlines>
        <c:title>
          <c:tx>
            <c:strRef>
              <c:f>charts!$K$1</c:f>
              <c:strCache>
                <c:ptCount val="1"/>
                <c:pt idx="0">
                  <c:v>Net UWC (ZAR/m3)</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92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42688899222876509"/>
                  <c:y val="0.1054945054945054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'TechWATv5 (supwat5)'!$AQ$93:$AW$93</c:f>
              <c:numCache>
                <c:formatCode>General</c:formatCode>
                <c:ptCount val="7"/>
                <c:pt idx="0">
                  <c:v>30</c:v>
                </c:pt>
                <c:pt idx="1">
                  <c:v>45</c:v>
                </c:pt>
                <c:pt idx="2">
                  <c:v>55</c:v>
                </c:pt>
                <c:pt idx="3">
                  <c:v>65</c:v>
                </c:pt>
                <c:pt idx="4">
                  <c:v>75</c:v>
                </c:pt>
                <c:pt idx="5">
                  <c:v>87</c:v>
                </c:pt>
                <c:pt idx="6">
                  <c:v>100</c:v>
                </c:pt>
              </c:numCache>
            </c:numRef>
          </c:xVal>
          <c:yVal>
            <c:numRef>
              <c:f>'TechWATv5 (supwat5)'!$AQ$94:$AW$94</c:f>
              <c:numCache>
                <c:formatCode>General</c:formatCode>
                <c:ptCount val="7"/>
                <c:pt idx="0">
                  <c:v>8.3000000000000007</c:v>
                </c:pt>
                <c:pt idx="1">
                  <c:v>8.8000000000000007</c:v>
                </c:pt>
                <c:pt idx="2">
                  <c:v>9.3000000000000007</c:v>
                </c:pt>
                <c:pt idx="3">
                  <c:v>9.8000000000000007</c:v>
                </c:pt>
                <c:pt idx="4">
                  <c:v>10.1</c:v>
                </c:pt>
                <c:pt idx="5">
                  <c:v>10.7</c:v>
                </c:pt>
                <c:pt idx="6">
                  <c:v>11.3</c:v>
                </c:pt>
              </c:numCache>
            </c:numRef>
          </c:yVal>
          <c:smooth val="0"/>
        </c:ser>
        <c:dLbls>
          <c:showLegendKey val="0"/>
          <c:showVal val="0"/>
          <c:showCatName val="0"/>
          <c:showSerName val="0"/>
          <c:showPercent val="0"/>
          <c:showBubbleSize val="0"/>
        </c:dLbls>
        <c:axId val="394668264"/>
        <c:axId val="394668656"/>
      </c:scatterChart>
      <c:valAx>
        <c:axId val="3946682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Mm3</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668656"/>
        <c:crosses val="autoZero"/>
        <c:crossBetween val="midCat"/>
      </c:valAx>
      <c:valAx>
        <c:axId val="394668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668264"/>
        <c:crosses val="autoZero"/>
        <c:crossBetween val="midCat"/>
      </c:valAx>
      <c:spPr>
        <a:noFill/>
        <a:ln>
          <a:noFill/>
        </a:ln>
        <a:effectLst/>
      </c:spPr>
    </c:plotArea>
    <c:plotVisOnly val="1"/>
    <c:dispBlanksAs val="gap"/>
    <c:showDLblsOverMax val="0"/>
  </c:chart>
  <c:spPr>
    <a:solidFill>
      <a:schemeClr val="bg1">
        <a:alpha val="19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FromCGE!$J$5</c:f>
              <c:strCache>
                <c:ptCount val="1"/>
                <c:pt idx="0">
                  <c:v>Greenshoots</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FromCGE!$D$14:$D$44</c:f>
              <c:numCache>
                <c:formatCode>General</c:formatCode>
                <c:ptCount val="31"/>
                <c:pt idx="0">
                  <c:v>1888.3148488508309</c:v>
                </c:pt>
                <c:pt idx="1">
                  <c:v>1931.1213167211145</c:v>
                </c:pt>
                <c:pt idx="2">
                  <c:v>1973.9428857821131</c:v>
                </c:pt>
                <c:pt idx="3">
                  <c:v>2015.8734887226722</c:v>
                </c:pt>
                <c:pt idx="4">
                  <c:v>2125.2285687884842</c:v>
                </c:pt>
                <c:pt idx="5">
                  <c:v>2243.4568447004276</c:v>
                </c:pt>
                <c:pt idx="6">
                  <c:v>2372.9121247368535</c:v>
                </c:pt>
                <c:pt idx="7">
                  <c:v>2512.3419217258552</c:v>
                </c:pt>
                <c:pt idx="8">
                  <c:v>2662.5108439094047</c:v>
                </c:pt>
                <c:pt idx="9">
                  <c:v>2822.8170197954519</c:v>
                </c:pt>
                <c:pt idx="10">
                  <c:v>2982.9320298513212</c:v>
                </c:pt>
                <c:pt idx="11">
                  <c:v>3152.9463726742042</c:v>
                </c:pt>
                <c:pt idx="12">
                  <c:v>3334.3537317940577</c:v>
                </c:pt>
                <c:pt idx="13">
                  <c:v>3524.380918330538</c:v>
                </c:pt>
                <c:pt idx="14">
                  <c:v>3705.0372039494418</c:v>
                </c:pt>
                <c:pt idx="15">
                  <c:v>3899.442535935153</c:v>
                </c:pt>
                <c:pt idx="16">
                  <c:v>4105.72130716846</c:v>
                </c:pt>
                <c:pt idx="17">
                  <c:v>4328.4526019921759</c:v>
                </c:pt>
                <c:pt idx="18">
                  <c:v>4568.1667055327089</c:v>
                </c:pt>
                <c:pt idx="19">
                  <c:v>4802.204715995329</c:v>
                </c:pt>
                <c:pt idx="20">
                  <c:v>5049.5977108586703</c:v>
                </c:pt>
                <c:pt idx="21">
                  <c:v>5314.0209259383182</c:v>
                </c:pt>
                <c:pt idx="22">
                  <c:v>5594.4072402482916</c:v>
                </c:pt>
                <c:pt idx="23">
                  <c:v>5890.6230717996714</c:v>
                </c:pt>
                <c:pt idx="24">
                  <c:v>6172.0951654673345</c:v>
                </c:pt>
                <c:pt idx="25">
                  <c:v>6466.3351780180938</c:v>
                </c:pt>
                <c:pt idx="26">
                  <c:v>6776.8973984133399</c:v>
                </c:pt>
                <c:pt idx="27">
                  <c:v>7096.8904513652251</c:v>
                </c:pt>
                <c:pt idx="28">
                  <c:v>7435.2464345254994</c:v>
                </c:pt>
                <c:pt idx="29">
                  <c:v>7789.2318283601917</c:v>
                </c:pt>
                <c:pt idx="30">
                  <c:v>8159.0038752649298</c:v>
                </c:pt>
              </c:numCache>
            </c:numRef>
          </c:val>
          <c:smooth val="0"/>
        </c:ser>
        <c:ser>
          <c:idx val="1"/>
          <c:order val="1"/>
          <c:tx>
            <c:strRef>
              <c:f>FromCGE!$K$5</c:f>
              <c:strCache>
                <c:ptCount val="1"/>
                <c:pt idx="0">
                  <c:v>SO Moderate</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FromCGE!$E$14:$E$44</c:f>
              <c:numCache>
                <c:formatCode>General</c:formatCode>
                <c:ptCount val="31"/>
                <c:pt idx="0">
                  <c:v>1888.3156917559745</c:v>
                </c:pt>
                <c:pt idx="1">
                  <c:v>1931.1272158145937</c:v>
                </c:pt>
                <c:pt idx="2">
                  <c:v>1973.9258875658425</c:v>
                </c:pt>
                <c:pt idx="3">
                  <c:v>2015.8926891888721</c:v>
                </c:pt>
                <c:pt idx="4">
                  <c:v>2134.6485227042567</c:v>
                </c:pt>
                <c:pt idx="5">
                  <c:v>2264.7660919744121</c:v>
                </c:pt>
                <c:pt idx="6">
                  <c:v>2408.0828352729163</c:v>
                </c:pt>
                <c:pt idx="7">
                  <c:v>2564.3811645043311</c:v>
                </c:pt>
                <c:pt idx="8">
                  <c:v>2732.6186939522868</c:v>
                </c:pt>
                <c:pt idx="9">
                  <c:v>2913.9736207404035</c:v>
                </c:pt>
                <c:pt idx="10">
                  <c:v>3074.1397996180403</c:v>
                </c:pt>
                <c:pt idx="11">
                  <c:v>3251.7888537942035</c:v>
                </c:pt>
                <c:pt idx="12">
                  <c:v>3443.4370327230645</c:v>
                </c:pt>
                <c:pt idx="13">
                  <c:v>3647.212154595808</c:v>
                </c:pt>
                <c:pt idx="14">
                  <c:v>3854.7657019886888</c:v>
                </c:pt>
                <c:pt idx="15">
                  <c:v>4076.8453422388015</c:v>
                </c:pt>
                <c:pt idx="16">
                  <c:v>4318.8241166424696</c:v>
                </c:pt>
                <c:pt idx="17">
                  <c:v>4582.4672019976688</c:v>
                </c:pt>
                <c:pt idx="18">
                  <c:v>4869.0430946840424</c:v>
                </c:pt>
                <c:pt idx="19">
                  <c:v>5112.8282818774069</c:v>
                </c:pt>
                <c:pt idx="20">
                  <c:v>5369.0713903467631</c:v>
                </c:pt>
                <c:pt idx="21">
                  <c:v>5639.5160940356645</c:v>
                </c:pt>
                <c:pt idx="22">
                  <c:v>5924.2880315986222</c:v>
                </c:pt>
                <c:pt idx="23">
                  <c:v>6226.2565481138354</c:v>
                </c:pt>
                <c:pt idx="24">
                  <c:v>6465.3371340913081</c:v>
                </c:pt>
                <c:pt idx="25">
                  <c:v>6709.302915714009</c:v>
                </c:pt>
                <c:pt idx="26">
                  <c:v>6959.6764699789928</c:v>
                </c:pt>
                <c:pt idx="27">
                  <c:v>7209.3469667720428</c:v>
                </c:pt>
                <c:pt idx="28">
                  <c:v>7467.8125140569819</c:v>
                </c:pt>
                <c:pt idx="29">
                  <c:v>7731.1803166904247</c:v>
                </c:pt>
                <c:pt idx="30">
                  <c:v>7999.1433416400678</c:v>
                </c:pt>
              </c:numCache>
            </c:numRef>
          </c:val>
          <c:smooth val="0"/>
        </c:ser>
        <c:ser>
          <c:idx val="2"/>
          <c:order val="2"/>
          <c:tx>
            <c:strRef>
              <c:f>FromCGE!$L$5</c:f>
              <c:strCache>
                <c:ptCount val="1"/>
                <c:pt idx="0">
                  <c:v>Weathering the Storm</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FromCGE!$F$14:$F$44</c:f>
              <c:numCache>
                <c:formatCode>General</c:formatCode>
                <c:ptCount val="31"/>
                <c:pt idx="0">
                  <c:v>1888.3134351879098</c:v>
                </c:pt>
                <c:pt idx="1">
                  <c:v>1931.1125690784909</c:v>
                </c:pt>
                <c:pt idx="2">
                  <c:v>1973.8932877942</c:v>
                </c:pt>
                <c:pt idx="3">
                  <c:v>2015.8333868574296</c:v>
                </c:pt>
                <c:pt idx="4">
                  <c:v>2083.8441859478016</c:v>
                </c:pt>
                <c:pt idx="5">
                  <c:v>2156.1052907831308</c:v>
                </c:pt>
                <c:pt idx="6">
                  <c:v>2233.9287976817832</c:v>
                </c:pt>
                <c:pt idx="7">
                  <c:v>2315.8913320826855</c:v>
                </c:pt>
                <c:pt idx="8">
                  <c:v>2402.2852291726103</c:v>
                </c:pt>
                <c:pt idx="9">
                  <c:v>2492.0511773491048</c:v>
                </c:pt>
                <c:pt idx="10">
                  <c:v>2572.5298796718262</c:v>
                </c:pt>
                <c:pt idx="11">
                  <c:v>2654.6686716431695</c:v>
                </c:pt>
                <c:pt idx="12">
                  <c:v>2740.0591857597337</c:v>
                </c:pt>
                <c:pt idx="13">
                  <c:v>2827.3249959927371</c:v>
                </c:pt>
                <c:pt idx="14">
                  <c:v>2913.8053754328616</c:v>
                </c:pt>
                <c:pt idx="15">
                  <c:v>3003.5299214658958</c:v>
                </c:pt>
                <c:pt idx="16">
                  <c:v>3095.3998725306437</c:v>
                </c:pt>
                <c:pt idx="17">
                  <c:v>3188.9090436042957</c:v>
                </c:pt>
                <c:pt idx="18">
                  <c:v>3286.3752528453142</c:v>
                </c:pt>
                <c:pt idx="19">
                  <c:v>3362.2815747924487</c:v>
                </c:pt>
                <c:pt idx="20">
                  <c:v>3440.1477081609955</c:v>
                </c:pt>
                <c:pt idx="21">
                  <c:v>3521.041569559924</c:v>
                </c:pt>
                <c:pt idx="22">
                  <c:v>3603.8827609667151</c:v>
                </c:pt>
                <c:pt idx="23">
                  <c:v>3686.8624276283931</c:v>
                </c:pt>
                <c:pt idx="24">
                  <c:v>3764.0265567592905</c:v>
                </c:pt>
                <c:pt idx="25">
                  <c:v>3842.1852333286542</c:v>
                </c:pt>
                <c:pt idx="26">
                  <c:v>3922.2991365774519</c:v>
                </c:pt>
                <c:pt idx="27">
                  <c:v>3999.1888853837904</c:v>
                </c:pt>
                <c:pt idx="28">
                  <c:v>4078.4002297507827</c:v>
                </c:pt>
                <c:pt idx="29">
                  <c:v>4158.8424227786982</c:v>
                </c:pt>
                <c:pt idx="30">
                  <c:v>4239.0439755736879</c:v>
                </c:pt>
              </c:numCache>
            </c:numRef>
          </c:val>
          <c:smooth val="0"/>
        </c:ser>
        <c:ser>
          <c:idx val="3"/>
          <c:order val="3"/>
          <c:tx>
            <c:strRef>
              <c:f>FromCGE!$M$5</c:f>
              <c:strCache>
                <c:ptCount val="1"/>
                <c:pt idx="0">
                  <c:v>SO Low</c:v>
                </c:pt>
              </c:strCache>
            </c:strRef>
          </c:tx>
          <c:marker>
            <c:symbol val="none"/>
          </c:marker>
          <c:cat>
            <c:numRef>
              <c:f>FromCGE!$B$14:$B$44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FromCGE!$G$14:$G$44</c:f>
              <c:numCache>
                <c:formatCode>General</c:formatCode>
                <c:ptCount val="31"/>
                <c:pt idx="0">
                  <c:v>1888.3150910744359</c:v>
                </c:pt>
                <c:pt idx="1">
                  <c:v>1931.1229445448678</c:v>
                </c:pt>
                <c:pt idx="2">
                  <c:v>1973.946525324161</c:v>
                </c:pt>
                <c:pt idx="3">
                  <c:v>2015.8801291450152</c:v>
                </c:pt>
                <c:pt idx="4">
                  <c:v>2128.2478562048063</c:v>
                </c:pt>
                <c:pt idx="5">
                  <c:v>2250.8627990792675</c:v>
                </c:pt>
                <c:pt idx="6">
                  <c:v>2385.4457589474341</c:v>
                </c:pt>
                <c:pt idx="7">
                  <c:v>2531.8401664943071</c:v>
                </c:pt>
                <c:pt idx="8">
                  <c:v>2689.1682254151392</c:v>
                </c:pt>
                <c:pt idx="9">
                  <c:v>2858.6481409214584</c:v>
                </c:pt>
                <c:pt idx="10">
                  <c:v>3012.1997327828662</c:v>
                </c:pt>
                <c:pt idx="11">
                  <c:v>3173.3505971134946</c:v>
                </c:pt>
                <c:pt idx="12">
                  <c:v>3345.2580532299444</c:v>
                </c:pt>
                <c:pt idx="13">
                  <c:v>3527.1891163017599</c:v>
                </c:pt>
                <c:pt idx="14">
                  <c:v>3698.9258063931475</c:v>
                </c:pt>
                <c:pt idx="15">
                  <c:v>3881.3933779435947</c:v>
                </c:pt>
                <c:pt idx="16">
                  <c:v>4076.5172269210834</c:v>
                </c:pt>
                <c:pt idx="17">
                  <c:v>4286.8240018188781</c:v>
                </c:pt>
                <c:pt idx="18">
                  <c:v>4511.9072074574478</c:v>
                </c:pt>
                <c:pt idx="19">
                  <c:v>4666.9037095168569</c:v>
                </c:pt>
                <c:pt idx="20">
                  <c:v>4825.4049874442981</c:v>
                </c:pt>
                <c:pt idx="21">
                  <c:v>4989.2076829818116</c:v>
                </c:pt>
                <c:pt idx="22">
                  <c:v>5157.4154035218862</c:v>
                </c:pt>
                <c:pt idx="23">
                  <c:v>5330.448210179823</c:v>
                </c:pt>
                <c:pt idx="24">
                  <c:v>5485.3533253499227</c:v>
                </c:pt>
                <c:pt idx="25">
                  <c:v>5640.4896982310347</c:v>
                </c:pt>
                <c:pt idx="26">
                  <c:v>5795.8544683642267</c:v>
                </c:pt>
                <c:pt idx="27">
                  <c:v>5946.5562659369425</c:v>
                </c:pt>
                <c:pt idx="28">
                  <c:v>6100.8060062790655</c:v>
                </c:pt>
                <c:pt idx="29">
                  <c:v>6254.363676660776</c:v>
                </c:pt>
                <c:pt idx="30">
                  <c:v>6406.6094070572726</c:v>
                </c:pt>
              </c:numCache>
            </c:numRef>
          </c:val>
          <c:smooth val="0"/>
        </c:ser>
        <c:dLbls>
          <c:showLegendKey val="0"/>
          <c:showVal val="0"/>
          <c:showCatName val="0"/>
          <c:showSerName val="0"/>
          <c:showPercent val="0"/>
          <c:showBubbleSize val="0"/>
        </c:dLbls>
        <c:smooth val="0"/>
        <c:axId val="394669440"/>
        <c:axId val="394669832"/>
      </c:lineChart>
      <c:catAx>
        <c:axId val="394669440"/>
        <c:scaling>
          <c:orientation val="minMax"/>
        </c:scaling>
        <c:delete val="0"/>
        <c:axPos val="b"/>
        <c:numFmt formatCode="General" sourceLinked="1"/>
        <c:majorTickMark val="out"/>
        <c:minorTickMark val="none"/>
        <c:tickLblPos val="nextTo"/>
        <c:crossAx val="394669832"/>
        <c:crosses val="autoZero"/>
        <c:auto val="1"/>
        <c:lblAlgn val="ctr"/>
        <c:lblOffset val="100"/>
        <c:noMultiLvlLbl val="0"/>
      </c:catAx>
      <c:valAx>
        <c:axId val="394669832"/>
        <c:scaling>
          <c:orientation val="minMax"/>
        </c:scaling>
        <c:delete val="0"/>
        <c:axPos val="l"/>
        <c:majorGridlines/>
        <c:numFmt formatCode="General" sourceLinked="1"/>
        <c:majorTickMark val="out"/>
        <c:minorTickMark val="none"/>
        <c:tickLblPos val="nextTo"/>
        <c:crossAx val="3946694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FromCGE!$J$11</c:f>
              <c:strCache>
                <c:ptCount val="1"/>
                <c:pt idx="0">
                  <c:v>Greenshoots</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FromCGE!$J$14:$J$44</c:f>
              <c:numCache>
                <c:formatCode>0.0%</c:formatCode>
                <c:ptCount val="31"/>
                <c:pt idx="0">
                  <c:v>2.2979526836760966E-2</c:v>
                </c:pt>
                <c:pt idx="1">
                  <c:v>2.2669136927210065E-2</c:v>
                </c:pt>
                <c:pt idx="2">
                  <c:v>2.2174458274691E-2</c:v>
                </c:pt>
                <c:pt idx="3">
                  <c:v>2.1242054794278209E-2</c:v>
                </c:pt>
                <c:pt idx="4">
                  <c:v>5.424699549727352E-2</c:v>
                </c:pt>
                <c:pt idx="5">
                  <c:v>5.5630851969650008E-2</c:v>
                </c:pt>
                <c:pt idx="6">
                  <c:v>5.7703485735520088E-2</c:v>
                </c:pt>
                <c:pt idx="7">
                  <c:v>5.8758938241113334E-2</c:v>
                </c:pt>
                <c:pt idx="8">
                  <c:v>5.9772485936305575E-2</c:v>
                </c:pt>
                <c:pt idx="9">
                  <c:v>6.0208647131993365E-2</c:v>
                </c:pt>
                <c:pt idx="10">
                  <c:v>5.6721710593721664E-2</c:v>
                </c:pt>
                <c:pt idx="11">
                  <c:v>5.6995714659766161E-2</c:v>
                </c:pt>
                <c:pt idx="12">
                  <c:v>5.7535821316869074E-2</c:v>
                </c:pt>
                <c:pt idx="13">
                  <c:v>5.6990709991118882E-2</c:v>
                </c:pt>
                <c:pt idx="14">
                  <c:v>5.1259012520269431E-2</c:v>
                </c:pt>
                <c:pt idx="15">
                  <c:v>5.2470547874251317E-2</c:v>
                </c:pt>
                <c:pt idx="16">
                  <c:v>5.289955405993374E-2</c:v>
                </c:pt>
                <c:pt idx="17">
                  <c:v>5.424900478140926E-2</c:v>
                </c:pt>
                <c:pt idx="18">
                  <c:v>5.5381016169659292E-2</c:v>
                </c:pt>
                <c:pt idx="19">
                  <c:v>5.1232370784360048E-2</c:v>
                </c:pt>
                <c:pt idx="20">
                  <c:v>5.1516544898495775E-2</c:v>
                </c:pt>
                <c:pt idx="21">
                  <c:v>5.2365204164884549E-2</c:v>
                </c:pt>
                <c:pt idx="22">
                  <c:v>5.2763494577406922E-2</c:v>
                </c:pt>
                <c:pt idx="23">
                  <c:v>5.2948564312639057E-2</c:v>
                </c:pt>
                <c:pt idx="24">
                  <c:v>4.7783076634993371E-2</c:v>
                </c:pt>
                <c:pt idx="25">
                  <c:v>4.7672630551295114E-2</c:v>
                </c:pt>
                <c:pt idx="26">
                  <c:v>4.8027547574549301E-2</c:v>
                </c:pt>
                <c:pt idx="27">
                  <c:v>4.7218223050979669E-2</c:v>
                </c:pt>
                <c:pt idx="28">
                  <c:v>4.7676652962169497E-2</c:v>
                </c:pt>
                <c:pt idx="29">
                  <c:v>4.7609100377758118E-2</c:v>
                </c:pt>
                <c:pt idx="30">
                  <c:v>4.7472209718860459E-2</c:v>
                </c:pt>
              </c:numCache>
            </c:numRef>
          </c:val>
          <c:smooth val="0"/>
        </c:ser>
        <c:ser>
          <c:idx val="1"/>
          <c:order val="1"/>
          <c:tx>
            <c:strRef>
              <c:f>FromCGE!$K$11</c:f>
              <c:strCache>
                <c:ptCount val="1"/>
                <c:pt idx="0">
                  <c:v>SO Moderate</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FromCGE!$K$14:$K$44</c:f>
              <c:numCache>
                <c:formatCode>0.0%</c:formatCode>
                <c:ptCount val="31"/>
                <c:pt idx="0">
                  <c:v>2.2980293307542921E-2</c:v>
                </c:pt>
                <c:pt idx="1">
                  <c:v>2.2671804426307673E-2</c:v>
                </c:pt>
                <c:pt idx="2">
                  <c:v>2.2162533571458809E-2</c:v>
                </c:pt>
                <c:pt idx="3">
                  <c:v>2.1260576137831277E-2</c:v>
                </c:pt>
                <c:pt idx="4">
                  <c:v>5.8909799193313184E-2</c:v>
                </c:pt>
                <c:pt idx="5">
                  <c:v>6.0955032121783326E-2</c:v>
                </c:pt>
                <c:pt idx="6">
                  <c:v>6.3281035426294929E-2</c:v>
                </c:pt>
                <c:pt idx="7">
                  <c:v>6.4905711274546363E-2</c:v>
                </c:pt>
                <c:pt idx="8">
                  <c:v>6.5605508173538052E-2</c:v>
                </c:pt>
                <c:pt idx="9">
                  <c:v>6.6366715264549514E-2</c:v>
                </c:pt>
                <c:pt idx="10">
                  <c:v>5.4964869186750143E-2</c:v>
                </c:pt>
                <c:pt idx="11">
                  <c:v>5.7788215811862553E-2</c:v>
                </c:pt>
                <c:pt idx="12">
                  <c:v>5.893623096261158E-2</c:v>
                </c:pt>
                <c:pt idx="13">
                  <c:v>5.9177827251163162E-2</c:v>
                </c:pt>
                <c:pt idx="14">
                  <c:v>5.6907451114776908E-2</c:v>
                </c:pt>
                <c:pt idx="15">
                  <c:v>5.7611709094418151E-2</c:v>
                </c:pt>
                <c:pt idx="16">
                  <c:v>5.9354415998225107E-2</c:v>
                </c:pt>
                <c:pt idx="17">
                  <c:v>6.1045108167118389E-2</c:v>
                </c:pt>
                <c:pt idx="18">
                  <c:v>6.2537467275585623E-2</c:v>
                </c:pt>
                <c:pt idx="19">
                  <c:v>5.0068397928029418E-2</c:v>
                </c:pt>
                <c:pt idx="20">
                  <c:v>5.0117683274757852E-2</c:v>
                </c:pt>
                <c:pt idx="21">
                  <c:v>5.037085261617924E-2</c:v>
                </c:pt>
                <c:pt idx="22">
                  <c:v>5.0495810777831052E-2</c:v>
                </c:pt>
                <c:pt idx="23">
                  <c:v>5.0971275350656597E-2</c:v>
                </c:pt>
                <c:pt idx="24">
                  <c:v>3.8398768847695441E-2</c:v>
                </c:pt>
                <c:pt idx="25">
                  <c:v>3.7734425376874103E-2</c:v>
                </c:pt>
                <c:pt idx="26">
                  <c:v>3.7317372223361511E-2</c:v>
                </c:pt>
                <c:pt idx="27">
                  <c:v>3.5873865382969994E-2</c:v>
                </c:pt>
                <c:pt idx="28">
                  <c:v>3.5851450689807107E-2</c:v>
                </c:pt>
                <c:pt idx="29">
                  <c:v>3.5267061423635671E-2</c:v>
                </c:pt>
                <c:pt idx="30">
                  <c:v>3.4660040766498756E-2</c:v>
                </c:pt>
              </c:numCache>
            </c:numRef>
          </c:val>
          <c:smooth val="0"/>
        </c:ser>
        <c:ser>
          <c:idx val="2"/>
          <c:order val="2"/>
          <c:tx>
            <c:strRef>
              <c:f>FromCGE!$L$11</c:f>
              <c:strCache>
                <c:ptCount val="1"/>
                <c:pt idx="0">
                  <c:v>Weathering the Storm</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FromCGE!$L$14:$L$44</c:f>
              <c:numCache>
                <c:formatCode>0.0%</c:formatCode>
                <c:ptCount val="31"/>
                <c:pt idx="0">
                  <c:v>2.2978340167709055E-2</c:v>
                </c:pt>
                <c:pt idx="1">
                  <c:v>2.2665270019816441E-2</c:v>
                </c:pt>
                <c:pt idx="2">
                  <c:v>2.2153404933884069E-2</c:v>
                </c:pt>
                <c:pt idx="3">
                  <c:v>2.124739940227327E-2</c:v>
                </c:pt>
                <c:pt idx="4">
                  <c:v>3.3738303737689934E-2</c:v>
                </c:pt>
                <c:pt idx="5">
                  <c:v>3.4676827241986174E-2</c:v>
                </c:pt>
                <c:pt idx="6">
                  <c:v>3.6094483526073917E-2</c:v>
                </c:pt>
                <c:pt idx="7">
                  <c:v>3.668985980482331E-2</c:v>
                </c:pt>
                <c:pt idx="8">
                  <c:v>3.7304814735081182E-2</c:v>
                </c:pt>
                <c:pt idx="9">
                  <c:v>3.7366898437539708E-2</c:v>
                </c:pt>
                <c:pt idx="10">
                  <c:v>3.2294161152954137E-2</c:v>
                </c:pt>
                <c:pt idx="11">
                  <c:v>3.192918870268735E-2</c:v>
                </c:pt>
                <c:pt idx="12">
                  <c:v>3.2166166357668224E-2</c:v>
                </c:pt>
                <c:pt idx="13">
                  <c:v>3.1848147911011981E-2</c:v>
                </c:pt>
                <c:pt idx="14">
                  <c:v>3.0587350079207765E-2</c:v>
                </c:pt>
                <c:pt idx="15">
                  <c:v>3.0792909776860222E-2</c:v>
                </c:pt>
                <c:pt idx="16">
                  <c:v>3.0587326734507814E-2</c:v>
                </c:pt>
                <c:pt idx="17">
                  <c:v>3.0209076346961128E-2</c:v>
                </c:pt>
                <c:pt idx="18">
                  <c:v>3.0564123312484481E-2</c:v>
                </c:pt>
                <c:pt idx="19">
                  <c:v>2.3097277732180954E-2</c:v>
                </c:pt>
                <c:pt idx="20">
                  <c:v>2.315871875583575E-2</c:v>
                </c:pt>
                <c:pt idx="21">
                  <c:v>2.3514647701616376E-2</c:v>
                </c:pt>
                <c:pt idx="22">
                  <c:v>2.3527467588843276E-2</c:v>
                </c:pt>
                <c:pt idx="23">
                  <c:v>2.3025073834371801E-2</c:v>
                </c:pt>
                <c:pt idx="24">
                  <c:v>2.0929484255406194E-2</c:v>
                </c:pt>
                <c:pt idx="25">
                  <c:v>2.0764645358043454E-2</c:v>
                </c:pt>
                <c:pt idx="26">
                  <c:v>2.0851129860647521E-2</c:v>
                </c:pt>
                <c:pt idx="27">
                  <c:v>1.960323425852506E-2</c:v>
                </c:pt>
                <c:pt idx="28">
                  <c:v>1.9806852498638783E-2</c:v>
                </c:pt>
                <c:pt idx="29">
                  <c:v>1.9723957555982885E-2</c:v>
                </c:pt>
                <c:pt idx="30">
                  <c:v>1.9284585623083883E-2</c:v>
                </c:pt>
              </c:numCache>
            </c:numRef>
          </c:val>
          <c:smooth val="0"/>
        </c:ser>
        <c:ser>
          <c:idx val="3"/>
          <c:order val="3"/>
          <c:tx>
            <c:strRef>
              <c:f>FromCGE!$M$11</c:f>
              <c:strCache>
                <c:ptCount val="1"/>
                <c:pt idx="0">
                  <c:v>SO Low</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FromCGE!$M$14:$M$44</c:f>
              <c:numCache>
                <c:formatCode>0.0%</c:formatCode>
                <c:ptCount val="31"/>
                <c:pt idx="0">
                  <c:v>2.2979741294057776E-2</c:v>
                </c:pt>
                <c:pt idx="1">
                  <c:v>2.2669867795249488E-2</c:v>
                </c:pt>
                <c:pt idx="2">
                  <c:v>2.2175481317884715E-2</c:v>
                </c:pt>
                <c:pt idx="3">
                  <c:v>2.1243535872365049E-2</c:v>
                </c:pt>
                <c:pt idx="4">
                  <c:v>5.5741274213288117E-2</c:v>
                </c:pt>
                <c:pt idx="5">
                  <c:v>5.7613093567548068E-2</c:v>
                </c:pt>
                <c:pt idx="6">
                  <c:v>5.9791720722923936E-2</c:v>
                </c:pt>
                <c:pt idx="7">
                  <c:v>6.1369832869923924E-2</c:v>
                </c:pt>
                <c:pt idx="8">
                  <c:v>6.2139806849922596E-2</c:v>
                </c:pt>
                <c:pt idx="9">
                  <c:v>6.3023173449907821E-2</c:v>
                </c:pt>
                <c:pt idx="10">
                  <c:v>5.3714757567859373E-2</c:v>
                </c:pt>
                <c:pt idx="11">
                  <c:v>5.3499395334500877E-2</c:v>
                </c:pt>
                <c:pt idx="12">
                  <c:v>5.4172222972405981E-2</c:v>
                </c:pt>
                <c:pt idx="13">
                  <c:v>5.4384762005476928E-2</c:v>
                </c:pt>
                <c:pt idx="14">
                  <c:v>4.8689391021781381E-2</c:v>
                </c:pt>
                <c:pt idx="15">
                  <c:v>4.9329881457766511E-2</c:v>
                </c:pt>
                <c:pt idx="16">
                  <c:v>5.0271598361119274E-2</c:v>
                </c:pt>
                <c:pt idx="17">
                  <c:v>5.1589816304207226E-2</c:v>
                </c:pt>
                <c:pt idx="18">
                  <c:v>5.2505819119951669E-2</c:v>
                </c:pt>
                <c:pt idx="19">
                  <c:v>3.4352768116158394E-2</c:v>
                </c:pt>
                <c:pt idx="20">
                  <c:v>3.3962834417222254E-2</c:v>
                </c:pt>
                <c:pt idx="21">
                  <c:v>3.3945895932823822E-2</c:v>
                </c:pt>
                <c:pt idx="22">
                  <c:v>3.3714315223603686E-2</c:v>
                </c:pt>
                <c:pt idx="23">
                  <c:v>3.3550294696017113E-2</c:v>
                </c:pt>
                <c:pt idx="24">
                  <c:v>2.9060429641595498E-2</c:v>
                </c:pt>
                <c:pt idx="25">
                  <c:v>2.8281928925921296E-2</c:v>
                </c:pt>
                <c:pt idx="26">
                  <c:v>2.7544553477673706E-2</c:v>
                </c:pt>
                <c:pt idx="27">
                  <c:v>2.6001653146278558E-2</c:v>
                </c:pt>
                <c:pt idx="28">
                  <c:v>2.5939339248448157E-2</c:v>
                </c:pt>
                <c:pt idx="29">
                  <c:v>2.5170062811973759E-2</c:v>
                </c:pt>
                <c:pt idx="30">
                  <c:v>2.4342321340319106E-2</c:v>
                </c:pt>
              </c:numCache>
            </c:numRef>
          </c:val>
          <c:smooth val="0"/>
        </c:ser>
        <c:dLbls>
          <c:showLegendKey val="0"/>
          <c:showVal val="0"/>
          <c:showCatName val="0"/>
          <c:showSerName val="0"/>
          <c:showPercent val="0"/>
          <c:showBubbleSize val="0"/>
        </c:dLbls>
        <c:smooth val="0"/>
        <c:axId val="392330448"/>
        <c:axId val="392330840"/>
      </c:lineChart>
      <c:catAx>
        <c:axId val="392330448"/>
        <c:scaling>
          <c:orientation val="minMax"/>
        </c:scaling>
        <c:delete val="0"/>
        <c:axPos val="b"/>
        <c:numFmt formatCode="General" sourceLinked="1"/>
        <c:majorTickMark val="out"/>
        <c:minorTickMark val="none"/>
        <c:tickLblPos val="nextTo"/>
        <c:crossAx val="392330840"/>
        <c:crosses val="autoZero"/>
        <c:auto val="1"/>
        <c:lblAlgn val="ctr"/>
        <c:lblOffset val="100"/>
        <c:noMultiLvlLbl val="0"/>
      </c:catAx>
      <c:valAx>
        <c:axId val="392330840"/>
        <c:scaling>
          <c:orientation val="minMax"/>
        </c:scaling>
        <c:delete val="0"/>
        <c:axPos val="l"/>
        <c:majorGridlines/>
        <c:numFmt formatCode="0.0%" sourceLinked="1"/>
        <c:majorTickMark val="out"/>
        <c:minorTickMark val="none"/>
        <c:tickLblPos val="nextTo"/>
        <c:crossAx val="3923304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'TDS  vs Capex'!$A$52</c:f>
              <c:strCache>
                <c:ptCount val="1"/>
                <c:pt idx="0">
                  <c:v>Capital cost; RO-RO</c:v>
                </c:pt>
              </c:strCache>
            </c:strRef>
          </c:tx>
          <c:spPr>
            <a:ln w="28575">
              <a:noFill/>
            </a:ln>
          </c:spPr>
          <c:trendline>
            <c:trendlineType val="log"/>
            <c:dispRSqr val="1"/>
            <c:dispEq val="1"/>
            <c:trendlineLbl>
              <c:layout>
                <c:manualLayout>
                  <c:x val="-5.269050743657043E-2"/>
                  <c:y val="-5.0250437445319332E-2"/>
                </c:manualLayout>
              </c:layout>
              <c:numFmt formatCode="General" sourceLinked="0"/>
            </c:trendlineLbl>
          </c:trendline>
          <c:xVal>
            <c:numRef>
              <c:f>'TDS  vs Capex'!$D$51:$F$51</c:f>
              <c:numCache>
                <c:formatCode>General</c:formatCode>
                <c:ptCount val="3"/>
                <c:pt idx="0">
                  <c:v>92.8</c:v>
                </c:pt>
                <c:pt idx="1">
                  <c:v>453.9</c:v>
                </c:pt>
                <c:pt idx="2">
                  <c:v>947</c:v>
                </c:pt>
              </c:numCache>
            </c:numRef>
          </c:xVal>
          <c:yVal>
            <c:numRef>
              <c:f>'TDS  vs Capex'!$D$52:$F$52</c:f>
              <c:numCache>
                <c:formatCode>"R"\ #,##0.00</c:formatCode>
                <c:ptCount val="3"/>
                <c:pt idx="0">
                  <c:v>36000000</c:v>
                </c:pt>
                <c:pt idx="1">
                  <c:v>54000000</c:v>
                </c:pt>
                <c:pt idx="2">
                  <c:v>72000000</c:v>
                </c:pt>
              </c:numCache>
            </c:numRef>
          </c:yVal>
          <c:smooth val="0"/>
        </c:ser>
        <c:ser>
          <c:idx val="1"/>
          <c:order val="1"/>
          <c:tx>
            <c:strRef>
              <c:f>'TDS  vs Capex'!$A$53</c:f>
              <c:strCache>
                <c:ptCount val="1"/>
                <c:pt idx="0">
                  <c:v>Capital cost; UF </c:v>
                </c:pt>
              </c:strCache>
            </c:strRef>
          </c:tx>
          <c:spPr>
            <a:ln w="28575">
              <a:noFill/>
            </a:ln>
          </c:spPr>
          <c:xVal>
            <c:numRef>
              <c:f>'TDS  vs Capex'!$D$51:$F$51</c:f>
              <c:numCache>
                <c:formatCode>General</c:formatCode>
                <c:ptCount val="3"/>
                <c:pt idx="0">
                  <c:v>92.8</c:v>
                </c:pt>
                <c:pt idx="1">
                  <c:v>453.9</c:v>
                </c:pt>
                <c:pt idx="2">
                  <c:v>947</c:v>
                </c:pt>
              </c:numCache>
            </c:numRef>
          </c:xVal>
          <c:yVal>
            <c:numRef>
              <c:f>'TDS  vs Capex'!$D$53:$F$53</c:f>
              <c:numCache>
                <c:formatCode>"R"\ #,##0.00</c:formatCode>
                <c:ptCount val="3"/>
                <c:pt idx="0">
                  <c:v>30000000</c:v>
                </c:pt>
                <c:pt idx="1">
                  <c:v>45000000</c:v>
                </c:pt>
                <c:pt idx="2">
                  <c:v>60000000</c:v>
                </c:pt>
              </c:numCache>
            </c:numRef>
          </c:yVal>
          <c:smooth val="0"/>
        </c:ser>
        <c:dLbls>
          <c:showLegendKey val="0"/>
          <c:showVal val="0"/>
          <c:showCatName val="0"/>
          <c:showSerName val="0"/>
          <c:showPercent val="0"/>
          <c:showBubbleSize val="0"/>
        </c:dLbls>
        <c:axId val="389641392"/>
        <c:axId val="389641784"/>
      </c:scatterChart>
      <c:valAx>
        <c:axId val="389641392"/>
        <c:scaling>
          <c:orientation val="minMax"/>
        </c:scaling>
        <c:delete val="0"/>
        <c:axPos val="b"/>
        <c:numFmt formatCode="General" sourceLinked="1"/>
        <c:majorTickMark val="out"/>
        <c:minorTickMark val="none"/>
        <c:tickLblPos val="nextTo"/>
        <c:crossAx val="389641784"/>
        <c:crosses val="autoZero"/>
        <c:crossBetween val="midCat"/>
      </c:valAx>
      <c:valAx>
        <c:axId val="389641784"/>
        <c:scaling>
          <c:orientation val="minMax"/>
        </c:scaling>
        <c:delete val="0"/>
        <c:axPos val="l"/>
        <c:majorGridlines/>
        <c:numFmt formatCode="&quot;R&quot;\ #,##0.00" sourceLinked="1"/>
        <c:majorTickMark val="out"/>
        <c:minorTickMark val="none"/>
        <c:tickLblPos val="nextTo"/>
        <c:crossAx val="3896413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FromCGE!$U$9</c:f>
              <c:strCache>
                <c:ptCount val="1"/>
                <c:pt idx="0">
                  <c:v>Agriculture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FromCGE!$U$14:$U$44</c:f>
              <c:numCache>
                <c:formatCode>0</c:formatCode>
                <c:ptCount val="31"/>
                <c:pt idx="0">
                  <c:v>57.999493815336855</c:v>
                </c:pt>
                <c:pt idx="1">
                  <c:v>59.186821979275607</c:v>
                </c:pt>
                <c:pt idx="2">
                  <c:v>60.296653004672905</c:v>
                </c:pt>
                <c:pt idx="3">
                  <c:v>61.243272243599193</c:v>
                </c:pt>
                <c:pt idx="4">
                  <c:v>63.227632747772596</c:v>
                </c:pt>
                <c:pt idx="5">
                  <c:v>65.486142003585286</c:v>
                </c:pt>
                <c:pt idx="6">
                  <c:v>68.025520986468763</c:v>
                </c:pt>
                <c:pt idx="7">
                  <c:v>70.833853062340552</c:v>
                </c:pt>
                <c:pt idx="8">
                  <c:v>74.425075820170093</c:v>
                </c:pt>
                <c:pt idx="9">
                  <c:v>78.229735640567213</c:v>
                </c:pt>
                <c:pt idx="10">
                  <c:v>82.076290334180669</c:v>
                </c:pt>
                <c:pt idx="11">
                  <c:v>86.051214666114149</c:v>
                </c:pt>
                <c:pt idx="12">
                  <c:v>90.126454303050238</c:v>
                </c:pt>
                <c:pt idx="13">
                  <c:v>94.420517749957369</c:v>
                </c:pt>
                <c:pt idx="14">
                  <c:v>98.785350560339964</c:v>
                </c:pt>
                <c:pt idx="15">
                  <c:v>103.33086729776115</c:v>
                </c:pt>
                <c:pt idx="16">
                  <c:v>108.13531987732679</c:v>
                </c:pt>
                <c:pt idx="17">
                  <c:v>113.29202067319231</c:v>
                </c:pt>
                <c:pt idx="18">
                  <c:v>118.86381359389219</c:v>
                </c:pt>
                <c:pt idx="19">
                  <c:v>123.77376918842222</c:v>
                </c:pt>
                <c:pt idx="20">
                  <c:v>128.70710551909556</c:v>
                </c:pt>
                <c:pt idx="21">
                  <c:v>133.70514311214757</c:v>
                </c:pt>
                <c:pt idx="22">
                  <c:v>138.78419159230856</c:v>
                </c:pt>
                <c:pt idx="23">
                  <c:v>143.96802033554712</c:v>
                </c:pt>
                <c:pt idx="24">
                  <c:v>148.78446254471766</c:v>
                </c:pt>
                <c:pt idx="25">
                  <c:v>153.60741854166778</c:v>
                </c:pt>
                <c:pt idx="26">
                  <c:v>158.4148294837982</c:v>
                </c:pt>
                <c:pt idx="27">
                  <c:v>163.10496548248253</c:v>
                </c:pt>
                <c:pt idx="28">
                  <c:v>167.92190106703273</c:v>
                </c:pt>
                <c:pt idx="29">
                  <c:v>172.70897152802769</c:v>
                </c:pt>
                <c:pt idx="30">
                  <c:v>177.46445815642164</c:v>
                </c:pt>
              </c:numCache>
            </c:numRef>
          </c:val>
        </c:ser>
        <c:ser>
          <c:idx val="1"/>
          <c:order val="1"/>
          <c:tx>
            <c:strRef>
              <c:f>FromCGE!$V$9</c:f>
              <c:strCache>
                <c:ptCount val="1"/>
                <c:pt idx="0">
                  <c:v>Mining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FromCGE!$V$14:$V$44</c:f>
              <c:numCache>
                <c:formatCode>0</c:formatCode>
                <c:ptCount val="31"/>
                <c:pt idx="0">
                  <c:v>166.23304551721415</c:v>
                </c:pt>
                <c:pt idx="1">
                  <c:v>169.92833253137312</c:v>
                </c:pt>
                <c:pt idx="2">
                  <c:v>174.06017507334045</c:v>
                </c:pt>
                <c:pt idx="3">
                  <c:v>178.22013174801367</c:v>
                </c:pt>
                <c:pt idx="4">
                  <c:v>184.76089828002469</c:v>
                </c:pt>
                <c:pt idx="5">
                  <c:v>190.56422341955206</c:v>
                </c:pt>
                <c:pt idx="6">
                  <c:v>197.39999659502195</c:v>
                </c:pt>
                <c:pt idx="7">
                  <c:v>204.84670517489647</c:v>
                </c:pt>
                <c:pt idx="8">
                  <c:v>212.56029395974258</c:v>
                </c:pt>
                <c:pt idx="9">
                  <c:v>220.72261012943181</c:v>
                </c:pt>
                <c:pt idx="10">
                  <c:v>229.16765550445564</c:v>
                </c:pt>
                <c:pt idx="11">
                  <c:v>237.68723148197898</c:v>
                </c:pt>
                <c:pt idx="12">
                  <c:v>246.83795064328427</c:v>
                </c:pt>
                <c:pt idx="13">
                  <c:v>256.33397861917388</c:v>
                </c:pt>
                <c:pt idx="14">
                  <c:v>265.0101425500992</c:v>
                </c:pt>
                <c:pt idx="15">
                  <c:v>274.04519896333142</c:v>
                </c:pt>
                <c:pt idx="16">
                  <c:v>284.52129063444966</c:v>
                </c:pt>
                <c:pt idx="17">
                  <c:v>295.90293704150122</c:v>
                </c:pt>
                <c:pt idx="18">
                  <c:v>308.20919093299671</c:v>
                </c:pt>
                <c:pt idx="19">
                  <c:v>319.3171987180873</c:v>
                </c:pt>
                <c:pt idx="20">
                  <c:v>330.96941521147346</c:v>
                </c:pt>
                <c:pt idx="21">
                  <c:v>343.3500763370626</c:v>
                </c:pt>
                <c:pt idx="22">
                  <c:v>356.33296514038875</c:v>
                </c:pt>
                <c:pt idx="23">
                  <c:v>369.88100522983251</c:v>
                </c:pt>
                <c:pt idx="24">
                  <c:v>382.87801971789906</c:v>
                </c:pt>
                <c:pt idx="25">
                  <c:v>396.9916266919995</c:v>
                </c:pt>
                <c:pt idx="26">
                  <c:v>411.05465977172639</c:v>
                </c:pt>
                <c:pt idx="27">
                  <c:v>425.25282223896534</c:v>
                </c:pt>
                <c:pt idx="28">
                  <c:v>440.42028043767584</c:v>
                </c:pt>
                <c:pt idx="29">
                  <c:v>455.48085946575657</c:v>
                </c:pt>
                <c:pt idx="30">
                  <c:v>470.89106448135766</c:v>
                </c:pt>
              </c:numCache>
            </c:numRef>
          </c:val>
        </c:ser>
        <c:ser>
          <c:idx val="2"/>
          <c:order val="2"/>
          <c:tx>
            <c:strRef>
              <c:f>FromCGE!$W$9</c:f>
              <c:strCache>
                <c:ptCount val="1"/>
                <c:pt idx="0">
                  <c:v>Iron and Steel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FromCGE!$W$14:$W$44</c:f>
              <c:numCache>
                <c:formatCode>0</c:formatCode>
                <c:ptCount val="31"/>
                <c:pt idx="0">
                  <c:v>20.906340539320912</c:v>
                </c:pt>
                <c:pt idx="1">
                  <c:v>19.919586755014176</c:v>
                </c:pt>
                <c:pt idx="2">
                  <c:v>19.18065103964005</c:v>
                </c:pt>
                <c:pt idx="3">
                  <c:v>18.746383640222312</c:v>
                </c:pt>
                <c:pt idx="4">
                  <c:v>19.247683148368299</c:v>
                </c:pt>
                <c:pt idx="5">
                  <c:v>20.212310041061887</c:v>
                </c:pt>
                <c:pt idx="6">
                  <c:v>21.42070845564843</c:v>
                </c:pt>
                <c:pt idx="7">
                  <c:v>22.757104224750073</c:v>
                </c:pt>
                <c:pt idx="8">
                  <c:v>24.171741050864103</c:v>
                </c:pt>
                <c:pt idx="9">
                  <c:v>25.704982259271084</c:v>
                </c:pt>
                <c:pt idx="10">
                  <c:v>27.245927159860116</c:v>
                </c:pt>
                <c:pt idx="11">
                  <c:v>29.034881338618334</c:v>
                </c:pt>
                <c:pt idx="12">
                  <c:v>31.09051831391378</c:v>
                </c:pt>
                <c:pt idx="13">
                  <c:v>33.156979074280862</c:v>
                </c:pt>
                <c:pt idx="14">
                  <c:v>34.873416096208466</c:v>
                </c:pt>
                <c:pt idx="15">
                  <c:v>36.706210839028934</c:v>
                </c:pt>
                <c:pt idx="16">
                  <c:v>38.821856152385074</c:v>
                </c:pt>
                <c:pt idx="17">
                  <c:v>41.108453226324713</c:v>
                </c:pt>
                <c:pt idx="18">
                  <c:v>43.548297458907875</c:v>
                </c:pt>
                <c:pt idx="19">
                  <c:v>45.665533109028111</c:v>
                </c:pt>
                <c:pt idx="20">
                  <c:v>47.815173047963818</c:v>
                </c:pt>
                <c:pt idx="21">
                  <c:v>50.0474630150987</c:v>
                </c:pt>
                <c:pt idx="22">
                  <c:v>52.327808474239546</c:v>
                </c:pt>
                <c:pt idx="23">
                  <c:v>54.693529450236611</c:v>
                </c:pt>
                <c:pt idx="24">
                  <c:v>56.961557615106599</c:v>
                </c:pt>
                <c:pt idx="25">
                  <c:v>59.121553978957564</c:v>
                </c:pt>
                <c:pt idx="26">
                  <c:v>61.330061435523717</c:v>
                </c:pt>
                <c:pt idx="27">
                  <c:v>63.478414343820887</c:v>
                </c:pt>
                <c:pt idx="28">
                  <c:v>65.603893126943575</c:v>
                </c:pt>
                <c:pt idx="29">
                  <c:v>67.835106256366885</c:v>
                </c:pt>
                <c:pt idx="30">
                  <c:v>69.913347821365591</c:v>
                </c:pt>
              </c:numCache>
            </c:numRef>
          </c:val>
        </c:ser>
        <c:ser>
          <c:idx val="3"/>
          <c:order val="3"/>
          <c:tx>
            <c:strRef>
              <c:f>FromCGE!$X$9</c:f>
              <c:strCache>
                <c:ptCount val="1"/>
                <c:pt idx="0">
                  <c:v>Non Metallic Minerals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FromCGE!$X$14:$X$44</c:f>
              <c:numCache>
                <c:formatCode>0</c:formatCode>
                <c:ptCount val="31"/>
                <c:pt idx="0">
                  <c:v>12.323450762592538</c:v>
                </c:pt>
                <c:pt idx="1">
                  <c:v>12.575196575765233</c:v>
                </c:pt>
                <c:pt idx="2">
                  <c:v>12.819609982423046</c:v>
                </c:pt>
                <c:pt idx="3">
                  <c:v>13.046404695102154</c:v>
                </c:pt>
                <c:pt idx="4">
                  <c:v>13.851499830169564</c:v>
                </c:pt>
                <c:pt idx="5">
                  <c:v>14.73504429310659</c:v>
                </c:pt>
                <c:pt idx="6">
                  <c:v>15.707157578620693</c:v>
                </c:pt>
                <c:pt idx="7">
                  <c:v>16.764803706031401</c:v>
                </c:pt>
                <c:pt idx="8">
                  <c:v>18.026482578453958</c:v>
                </c:pt>
                <c:pt idx="9">
                  <c:v>19.379503480442136</c:v>
                </c:pt>
                <c:pt idx="10">
                  <c:v>20.68723170369395</c:v>
                </c:pt>
                <c:pt idx="11">
                  <c:v>22.068680263386099</c:v>
                </c:pt>
                <c:pt idx="12">
                  <c:v>23.513220128616439</c:v>
                </c:pt>
                <c:pt idx="13">
                  <c:v>25.040103450121183</c:v>
                </c:pt>
                <c:pt idx="14">
                  <c:v>26.495535621289172</c:v>
                </c:pt>
                <c:pt idx="15">
                  <c:v>28.027277938667687</c:v>
                </c:pt>
                <c:pt idx="16">
                  <c:v>29.654961001424919</c:v>
                </c:pt>
                <c:pt idx="17">
                  <c:v>31.40305419746641</c:v>
                </c:pt>
                <c:pt idx="18">
                  <c:v>33.290125832529284</c:v>
                </c:pt>
                <c:pt idx="19">
                  <c:v>34.941736988344537</c:v>
                </c:pt>
                <c:pt idx="20">
                  <c:v>36.604683144231764</c:v>
                </c:pt>
                <c:pt idx="21">
                  <c:v>38.281517861122602</c:v>
                </c:pt>
                <c:pt idx="22">
                  <c:v>39.978280644745467</c:v>
                </c:pt>
                <c:pt idx="23">
                  <c:v>41.705717067043679</c:v>
                </c:pt>
                <c:pt idx="24">
                  <c:v>43.310457752070775</c:v>
                </c:pt>
                <c:pt idx="25">
                  <c:v>44.900903625142078</c:v>
                </c:pt>
                <c:pt idx="26">
                  <c:v>46.492058175336943</c:v>
                </c:pt>
                <c:pt idx="27">
                  <c:v>48.046841490916925</c:v>
                </c:pt>
                <c:pt idx="28">
                  <c:v>49.620133010216279</c:v>
                </c:pt>
                <c:pt idx="29">
                  <c:v>51.187733203060652</c:v>
                </c:pt>
                <c:pt idx="30">
                  <c:v>52.733244530146678</c:v>
                </c:pt>
              </c:numCache>
            </c:numRef>
          </c:val>
        </c:ser>
        <c:ser>
          <c:idx val="4"/>
          <c:order val="4"/>
          <c:tx>
            <c:strRef>
              <c:f>FromCGE!$Y$9</c:f>
              <c:strCache>
                <c:ptCount val="1"/>
                <c:pt idx="0">
                  <c:v>Non Ferous Metals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FromCGE!$Y$14:$Y$44</c:f>
              <c:numCache>
                <c:formatCode>0</c:formatCode>
                <c:ptCount val="31"/>
                <c:pt idx="0">
                  <c:v>10.924024019219463</c:v>
                </c:pt>
                <c:pt idx="1">
                  <c:v>10.289616819371506</c:v>
                </c:pt>
                <c:pt idx="2">
                  <c:v>9.6319516994667236</c:v>
                </c:pt>
                <c:pt idx="3">
                  <c:v>9.0361258895631451</c:v>
                </c:pt>
                <c:pt idx="4">
                  <c:v>8.8131482210565011</c:v>
                </c:pt>
                <c:pt idx="5">
                  <c:v>8.7261600364824776</c:v>
                </c:pt>
                <c:pt idx="6">
                  <c:v>8.7049579867132856</c:v>
                </c:pt>
                <c:pt idx="7">
                  <c:v>8.6997873519920574</c:v>
                </c:pt>
                <c:pt idx="8">
                  <c:v>8.7082972619108112</c:v>
                </c:pt>
                <c:pt idx="9">
                  <c:v>8.7341219549513625</c:v>
                </c:pt>
                <c:pt idx="10">
                  <c:v>8.766879073869374</c:v>
                </c:pt>
                <c:pt idx="11">
                  <c:v>8.8667350030173555</c:v>
                </c:pt>
                <c:pt idx="12">
                  <c:v>9.0578031407034345</c:v>
                </c:pt>
                <c:pt idx="13">
                  <c:v>9.2542094824591494</c:v>
                </c:pt>
                <c:pt idx="14">
                  <c:v>9.3572362602530657</c:v>
                </c:pt>
                <c:pt idx="15">
                  <c:v>9.4757443408965472</c:v>
                </c:pt>
                <c:pt idx="16">
                  <c:v>9.6687762890113635</c:v>
                </c:pt>
                <c:pt idx="17">
                  <c:v>9.9036338696293189</c:v>
                </c:pt>
                <c:pt idx="18">
                  <c:v>10.168857336146829</c:v>
                </c:pt>
                <c:pt idx="19">
                  <c:v>10.463190986626509</c:v>
                </c:pt>
                <c:pt idx="20">
                  <c:v>10.796134618083375</c:v>
                </c:pt>
                <c:pt idx="21">
                  <c:v>11.186252528511938</c:v>
                </c:pt>
                <c:pt idx="22">
                  <c:v>11.626510610033648</c:v>
                </c:pt>
                <c:pt idx="23">
                  <c:v>12.126287859112699</c:v>
                </c:pt>
                <c:pt idx="24">
                  <c:v>12.658956601060435</c:v>
                </c:pt>
                <c:pt idx="25">
                  <c:v>13.228825368368259</c:v>
                </c:pt>
                <c:pt idx="26">
                  <c:v>13.849759023242445</c:v>
                </c:pt>
                <c:pt idx="27">
                  <c:v>14.502516794785203</c:v>
                </c:pt>
                <c:pt idx="28">
                  <c:v>15.197993304901761</c:v>
                </c:pt>
                <c:pt idx="29">
                  <c:v>15.963511640546521</c:v>
                </c:pt>
                <c:pt idx="30">
                  <c:v>16.736477444423045</c:v>
                </c:pt>
              </c:numCache>
            </c:numRef>
          </c:val>
        </c:ser>
        <c:ser>
          <c:idx val="5"/>
          <c:order val="5"/>
          <c:tx>
            <c:strRef>
              <c:f>FromCGE!$Z$9</c:f>
              <c:strCache>
                <c:ptCount val="1"/>
                <c:pt idx="0">
                  <c:v>Chemicals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FromCGE!$Z$14:$Z$44</c:f>
              <c:numCache>
                <c:formatCode>0</c:formatCode>
                <c:ptCount val="31"/>
                <c:pt idx="0">
                  <c:v>52.446759185352349</c:v>
                </c:pt>
                <c:pt idx="1">
                  <c:v>53.238434520555188</c:v>
                </c:pt>
                <c:pt idx="2">
                  <c:v>54.125187511640931</c:v>
                </c:pt>
                <c:pt idx="3">
                  <c:v>55.14957388058432</c:v>
                </c:pt>
                <c:pt idx="4">
                  <c:v>58.341944668501668</c:v>
                </c:pt>
                <c:pt idx="5">
                  <c:v>61.873038898169355</c:v>
                </c:pt>
                <c:pt idx="6">
                  <c:v>65.880859931966484</c:v>
                </c:pt>
                <c:pt idx="7">
                  <c:v>70.259619396182501</c:v>
                </c:pt>
                <c:pt idx="8">
                  <c:v>74.936132200117243</c:v>
                </c:pt>
                <c:pt idx="9">
                  <c:v>80.00075141558068</c:v>
                </c:pt>
                <c:pt idx="10">
                  <c:v>84.839080959945875</c:v>
                </c:pt>
                <c:pt idx="11">
                  <c:v>90.09042604619296</c:v>
                </c:pt>
                <c:pt idx="12">
                  <c:v>95.807288321906384</c:v>
                </c:pt>
                <c:pt idx="13">
                  <c:v>101.74905352816982</c:v>
                </c:pt>
                <c:pt idx="14">
                  <c:v>107.08302684255513</c:v>
                </c:pt>
                <c:pt idx="15">
                  <c:v>112.72014562651884</c:v>
                </c:pt>
                <c:pt idx="16">
                  <c:v>118.88491118293953</c:v>
                </c:pt>
                <c:pt idx="17">
                  <c:v>125.51513217183607</c:v>
                </c:pt>
                <c:pt idx="18">
                  <c:v>132.64369476435076</c:v>
                </c:pt>
                <c:pt idx="19">
                  <c:v>138.23833069828203</c:v>
                </c:pt>
                <c:pt idx="20">
                  <c:v>143.84310955726079</c:v>
                </c:pt>
                <c:pt idx="21">
                  <c:v>149.54305417536071</c:v>
                </c:pt>
                <c:pt idx="22">
                  <c:v>155.30247063662287</c:v>
                </c:pt>
                <c:pt idx="23">
                  <c:v>161.19869406545249</c:v>
                </c:pt>
                <c:pt idx="24">
                  <c:v>166.65139059563981</c:v>
                </c:pt>
                <c:pt idx="25">
                  <c:v>171.88711919751088</c:v>
                </c:pt>
                <c:pt idx="26">
                  <c:v>177.18502848172142</c:v>
                </c:pt>
                <c:pt idx="27">
                  <c:v>182.31831400277071</c:v>
                </c:pt>
                <c:pt idx="28">
                  <c:v>187.43311825022354</c:v>
                </c:pt>
                <c:pt idx="29">
                  <c:v>192.69087769767259</c:v>
                </c:pt>
                <c:pt idx="30">
                  <c:v>197.70891452162715</c:v>
                </c:pt>
              </c:numCache>
            </c:numRef>
          </c:val>
        </c:ser>
        <c:ser>
          <c:idx val="6"/>
          <c:order val="6"/>
          <c:tx>
            <c:strRef>
              <c:f>FromCGE!$AA$9</c:f>
              <c:strCache>
                <c:ptCount val="1"/>
                <c:pt idx="0">
                  <c:v>Pulp and Paper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FromCGE!$AA$14:$AA$44</c:f>
              <c:numCache>
                <c:formatCode>0</c:formatCode>
                <c:ptCount val="31"/>
                <c:pt idx="0">
                  <c:v>11.732766485269591</c:v>
                </c:pt>
                <c:pt idx="1">
                  <c:v>12.070111132838369</c:v>
                </c:pt>
                <c:pt idx="2">
                  <c:v>12.396480425204741</c:v>
                </c:pt>
                <c:pt idx="3">
                  <c:v>12.699358182849963</c:v>
                </c:pt>
                <c:pt idx="4">
                  <c:v>13.532860004096863</c:v>
                </c:pt>
                <c:pt idx="5">
                  <c:v>14.442543305764605</c:v>
                </c:pt>
                <c:pt idx="6">
                  <c:v>15.450735140494817</c:v>
                </c:pt>
                <c:pt idx="7">
                  <c:v>16.558594206178146</c:v>
                </c:pt>
                <c:pt idx="8">
                  <c:v>17.770568281383881</c:v>
                </c:pt>
                <c:pt idx="9">
                  <c:v>19.085983130612984</c:v>
                </c:pt>
                <c:pt idx="10">
                  <c:v>20.324512544545623</c:v>
                </c:pt>
                <c:pt idx="11">
                  <c:v>21.653929023766484</c:v>
                </c:pt>
                <c:pt idx="12">
                  <c:v>23.048702619591026</c:v>
                </c:pt>
                <c:pt idx="13">
                  <c:v>24.538991262067171</c:v>
                </c:pt>
                <c:pt idx="14">
                  <c:v>25.93393776815612</c:v>
                </c:pt>
                <c:pt idx="15">
                  <c:v>27.394703066730195</c:v>
                </c:pt>
                <c:pt idx="16">
                  <c:v>28.950385581042635</c:v>
                </c:pt>
                <c:pt idx="17">
                  <c:v>30.624483190855074</c:v>
                </c:pt>
                <c:pt idx="18">
                  <c:v>32.4362041656331</c:v>
                </c:pt>
                <c:pt idx="19">
                  <c:v>33.847815709194414</c:v>
                </c:pt>
                <c:pt idx="20">
                  <c:v>35.262461026872643</c:v>
                </c:pt>
                <c:pt idx="21">
                  <c:v>36.677208116487492</c:v>
                </c:pt>
                <c:pt idx="22">
                  <c:v>38.098709409903535</c:v>
                </c:pt>
                <c:pt idx="23">
                  <c:v>39.533230862285443</c:v>
                </c:pt>
                <c:pt idx="24">
                  <c:v>40.827736306331836</c:v>
                </c:pt>
                <c:pt idx="25">
                  <c:v>42.10314253974115</c:v>
                </c:pt>
                <c:pt idx="26">
                  <c:v>43.351846637799412</c:v>
                </c:pt>
                <c:pt idx="27">
                  <c:v>44.548320942244395</c:v>
                </c:pt>
                <c:pt idx="28">
                  <c:v>45.754003685595286</c:v>
                </c:pt>
                <c:pt idx="29">
                  <c:v>46.929250625343194</c:v>
                </c:pt>
                <c:pt idx="30">
                  <c:v>48.065991412903479</c:v>
                </c:pt>
              </c:numCache>
            </c:numRef>
          </c:val>
        </c:ser>
        <c:ser>
          <c:idx val="7"/>
          <c:order val="7"/>
          <c:tx>
            <c:strRef>
              <c:f>FromCGE!$AB$9</c:f>
              <c:strCache>
                <c:ptCount val="1"/>
                <c:pt idx="0">
                  <c:v>Food and Beverages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FromCGE!$AB$14:$AB$44</c:f>
              <c:numCache>
                <c:formatCode>0</c:formatCode>
                <c:ptCount val="31"/>
                <c:pt idx="0">
                  <c:v>60.801524199631395</c:v>
                </c:pt>
                <c:pt idx="1">
                  <c:v>62.467904593800355</c:v>
                </c:pt>
                <c:pt idx="2">
                  <c:v>63.976555501232532</c:v>
                </c:pt>
                <c:pt idx="3">
                  <c:v>65.218056338831886</c:v>
                </c:pt>
                <c:pt idx="4">
                  <c:v>68.473650776371215</c:v>
                </c:pt>
                <c:pt idx="5">
                  <c:v>72.061682694760847</c:v>
                </c:pt>
                <c:pt idx="6">
                  <c:v>75.867632883991433</c:v>
                </c:pt>
                <c:pt idx="7">
                  <c:v>79.984904640943455</c:v>
                </c:pt>
                <c:pt idx="8">
                  <c:v>84.343421804237892</c:v>
                </c:pt>
                <c:pt idx="9">
                  <c:v>89.045909954542026</c:v>
                </c:pt>
                <c:pt idx="10">
                  <c:v>93.431765656394646</c:v>
                </c:pt>
                <c:pt idx="11">
                  <c:v>98.029887500945165</c:v>
                </c:pt>
                <c:pt idx="12">
                  <c:v>102.73148024538688</c:v>
                </c:pt>
                <c:pt idx="13">
                  <c:v>107.83868549106631</c:v>
                </c:pt>
                <c:pt idx="14">
                  <c:v>112.80445710842227</c:v>
                </c:pt>
                <c:pt idx="15">
                  <c:v>117.99770648909802</c:v>
                </c:pt>
                <c:pt idx="16">
                  <c:v>123.41098435823935</c:v>
                </c:pt>
                <c:pt idx="17">
                  <c:v>129.25957971285897</c:v>
                </c:pt>
                <c:pt idx="18">
                  <c:v>135.74749632325052</c:v>
                </c:pt>
                <c:pt idx="19">
                  <c:v>141.19732305323296</c:v>
                </c:pt>
                <c:pt idx="20">
                  <c:v>146.7315386282927</c:v>
                </c:pt>
                <c:pt idx="21">
                  <c:v>152.32007026290665</c:v>
                </c:pt>
                <c:pt idx="22">
                  <c:v>158.01521833980215</c:v>
                </c:pt>
                <c:pt idx="23">
                  <c:v>163.83861958110919</c:v>
                </c:pt>
                <c:pt idx="24">
                  <c:v>169.25980424384721</c:v>
                </c:pt>
                <c:pt idx="25">
                  <c:v>174.72660461736325</c:v>
                </c:pt>
                <c:pt idx="26">
                  <c:v>180.20382849134978</c:v>
                </c:pt>
                <c:pt idx="27">
                  <c:v>185.64771443440213</c:v>
                </c:pt>
                <c:pt idx="28">
                  <c:v>191.16448808088688</c:v>
                </c:pt>
                <c:pt idx="29">
                  <c:v>196.6438804351144</c:v>
                </c:pt>
                <c:pt idx="30">
                  <c:v>202.11712051314933</c:v>
                </c:pt>
              </c:numCache>
            </c:numRef>
          </c:val>
        </c:ser>
        <c:ser>
          <c:idx val="8"/>
          <c:order val="8"/>
          <c:tx>
            <c:strRef>
              <c:f>FromCGE!$AC$9</c:f>
              <c:strCache>
                <c:ptCount val="1"/>
                <c:pt idx="0">
                  <c:v>Other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FromCGE!$AC$14:$AC$44</c:f>
              <c:numCache>
                <c:formatCode>0</c:formatCode>
                <c:ptCount val="31"/>
                <c:pt idx="0">
                  <c:v>185.13939520856738</c:v>
                </c:pt>
                <c:pt idx="1">
                  <c:v>190.0503740522804</c:v>
                </c:pt>
                <c:pt idx="2">
                  <c:v>194.7405735497685</c:v>
                </c:pt>
                <c:pt idx="3">
                  <c:v>199.05373824920841</c:v>
                </c:pt>
                <c:pt idx="4">
                  <c:v>211.731035252949</c:v>
                </c:pt>
                <c:pt idx="5">
                  <c:v>225.47218447194203</c:v>
                </c:pt>
                <c:pt idx="6">
                  <c:v>240.46691269806735</c:v>
                </c:pt>
                <c:pt idx="7">
                  <c:v>256.80849467052985</c:v>
                </c:pt>
                <c:pt idx="8">
                  <c:v>274.79601175770881</c:v>
                </c:pt>
                <c:pt idx="9">
                  <c:v>294.20967913903792</c:v>
                </c:pt>
                <c:pt idx="10">
                  <c:v>312.21425172974909</c:v>
                </c:pt>
                <c:pt idx="11">
                  <c:v>331.37977867753528</c:v>
                </c:pt>
                <c:pt idx="12">
                  <c:v>351.56964665932389</c:v>
                </c:pt>
                <c:pt idx="13">
                  <c:v>373.17394805059962</c:v>
                </c:pt>
                <c:pt idx="14">
                  <c:v>393.65482263239971</c:v>
                </c:pt>
                <c:pt idx="15">
                  <c:v>415.29962226036025</c:v>
                </c:pt>
                <c:pt idx="16">
                  <c:v>438.27685079769572</c:v>
                </c:pt>
                <c:pt idx="17">
                  <c:v>463.09689480455586</c:v>
                </c:pt>
                <c:pt idx="18">
                  <c:v>490.09727915631265</c:v>
                </c:pt>
                <c:pt idx="19">
                  <c:v>511.40153667651924</c:v>
                </c:pt>
                <c:pt idx="20">
                  <c:v>533.31233860307407</c:v>
                </c:pt>
                <c:pt idx="21">
                  <c:v>555.79935301154921</c:v>
                </c:pt>
                <c:pt idx="22">
                  <c:v>578.90537190392502</c:v>
                </c:pt>
                <c:pt idx="23">
                  <c:v>602.71584895778892</c:v>
                </c:pt>
                <c:pt idx="24">
                  <c:v>624.82747043092388</c:v>
                </c:pt>
                <c:pt idx="25">
                  <c:v>647.12910453014649</c:v>
                </c:pt>
                <c:pt idx="26">
                  <c:v>669.59928923544351</c:v>
                </c:pt>
                <c:pt idx="27">
                  <c:v>691.81661730269184</c:v>
                </c:pt>
                <c:pt idx="28">
                  <c:v>714.49192073143922</c:v>
                </c:pt>
                <c:pt idx="29">
                  <c:v>737.22566586211997</c:v>
                </c:pt>
                <c:pt idx="30">
                  <c:v>759.85460602587011</c:v>
                </c:pt>
              </c:numCache>
            </c:numRef>
          </c:val>
        </c:ser>
        <c:ser>
          <c:idx val="9"/>
          <c:order val="9"/>
          <c:tx>
            <c:strRef>
              <c:f>FromCGE!$AD$9</c:f>
              <c:strCache>
                <c:ptCount val="1"/>
                <c:pt idx="0">
                  <c:v>Commerce                                              </c:v>
                </c:pt>
              </c:strCache>
            </c:strRef>
          </c:tx>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FromCGE!$AD$14:$AD$44</c:f>
              <c:numCache>
                <c:formatCode>0</c:formatCode>
                <c:ptCount val="31"/>
                <c:pt idx="0">
                  <c:v>1153.7039602307084</c:v>
                </c:pt>
                <c:pt idx="1">
                  <c:v>1182.6883828786024</c:v>
                </c:pt>
                <c:pt idx="2">
                  <c:v>1211.2983096791831</c:v>
                </c:pt>
                <c:pt idx="3">
                  <c:v>1238.8785286924601</c:v>
                </c:pt>
                <c:pt idx="4">
                  <c:v>1312.4677104495079</c:v>
                </c:pt>
                <c:pt idx="5">
                  <c:v>1393.3195854224371</c:v>
                </c:pt>
                <c:pt idx="6">
                  <c:v>1481.8432408889771</c:v>
                </c:pt>
                <c:pt idx="7">
                  <c:v>1578.1140130955744</c:v>
                </c:pt>
                <c:pt idx="8">
                  <c:v>1680.5007166493756</c:v>
                </c:pt>
                <c:pt idx="9">
                  <c:v>1790.9155819112464</c:v>
                </c:pt>
                <c:pt idx="10">
                  <c:v>1888.6470954848462</c:v>
                </c:pt>
                <c:pt idx="11">
                  <c:v>1991.8623426847573</c:v>
                </c:pt>
                <c:pt idx="12">
                  <c:v>2101.3141495643931</c:v>
                </c:pt>
                <c:pt idx="13">
                  <c:v>2217.4635830781426</c:v>
                </c:pt>
                <c:pt idx="14">
                  <c:v>2324.1724308369057</c:v>
                </c:pt>
                <c:pt idx="15">
                  <c:v>2437.2126662286164</c:v>
                </c:pt>
                <c:pt idx="16">
                  <c:v>2558.0876850139648</c:v>
                </c:pt>
                <c:pt idx="17">
                  <c:v>2688.3815317768945</c:v>
                </c:pt>
                <c:pt idx="18">
                  <c:v>2828.7383835762544</c:v>
                </c:pt>
                <c:pt idx="19">
                  <c:v>2917.3238734843953</c:v>
                </c:pt>
                <c:pt idx="20">
                  <c:v>3008.1710108686357</c:v>
                </c:pt>
                <c:pt idx="21">
                  <c:v>3101.7046947146009</c:v>
                </c:pt>
                <c:pt idx="22">
                  <c:v>3197.554889470227</c:v>
                </c:pt>
                <c:pt idx="23">
                  <c:v>3296.0549880572348</c:v>
                </c:pt>
                <c:pt idx="24">
                  <c:v>3382.9608877572064</c:v>
                </c:pt>
                <c:pt idx="25">
                  <c:v>3469.6298155039831</c:v>
                </c:pt>
                <c:pt idx="26">
                  <c:v>3556.186688509476</c:v>
                </c:pt>
                <c:pt idx="27">
                  <c:v>3639.9775042793358</c:v>
                </c:pt>
                <c:pt idx="28">
                  <c:v>3725.3928882012074</c:v>
                </c:pt>
                <c:pt idx="29">
                  <c:v>3810.2727626379715</c:v>
                </c:pt>
                <c:pt idx="30">
                  <c:v>3893.8815773441993</c:v>
                </c:pt>
              </c:numCache>
            </c:numRef>
          </c:val>
        </c:ser>
        <c:ser>
          <c:idx val="10"/>
          <c:order val="10"/>
          <c:tx>
            <c:strRef>
              <c:f>FromCGE!$AE$9</c:f>
              <c:strCache>
                <c:ptCount val="1"/>
                <c:pt idx="0">
                  <c:v>Freight                                               </c:v>
                </c:pt>
              </c:strCache>
            </c:strRef>
          </c:tx>
          <c:spPr>
            <a:ln w="25400">
              <a:noFill/>
            </a:ln>
          </c:spPr>
          <c:cat>
            <c:numRef>
              <c:f>FromCGE!$T$14:$T$44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FromCGE!$AE$14:$AE$44</c:f>
              <c:numCache>
                <c:formatCode>0</c:formatCode>
                <c:ptCount val="31"/>
                <c:pt idx="0">
                  <c:v>103.87853060021749</c:v>
                </c:pt>
                <c:pt idx="1">
                  <c:v>106.55937320007658</c:v>
                </c:pt>
                <c:pt idx="2">
                  <c:v>109.14702080817185</c:v>
                </c:pt>
                <c:pt idx="3">
                  <c:v>111.50150052701488</c:v>
                </c:pt>
                <c:pt idx="4">
                  <c:v>118.14824587066498</c:v>
                </c:pt>
                <c:pt idx="5">
                  <c:v>125.31605488651144</c:v>
                </c:pt>
                <c:pt idx="6">
                  <c:v>133.1715391912513</c:v>
                </c:pt>
                <c:pt idx="7">
                  <c:v>141.7391314631594</c:v>
                </c:pt>
                <c:pt idx="8">
                  <c:v>151.22242946031758</c:v>
                </c:pt>
                <c:pt idx="9">
                  <c:v>161.4919272681193</c:v>
                </c:pt>
                <c:pt idx="10">
                  <c:v>170.43519468097637</c:v>
                </c:pt>
                <c:pt idx="11">
                  <c:v>179.93034977434127</c:v>
                </c:pt>
                <c:pt idx="12">
                  <c:v>189.92052662483599</c:v>
                </c:pt>
                <c:pt idx="13">
                  <c:v>200.61380053016882</c:v>
                </c:pt>
                <c:pt idx="14">
                  <c:v>210.24810371197248</c:v>
                </c:pt>
                <c:pt idx="15">
                  <c:v>220.43380926837685</c:v>
                </c:pt>
                <c:pt idx="16">
                  <c:v>231.33704662882451</c:v>
                </c:pt>
                <c:pt idx="17">
                  <c:v>243.12794882780207</c:v>
                </c:pt>
                <c:pt idx="18">
                  <c:v>255.90211616680838</c:v>
                </c:pt>
                <c:pt idx="19">
                  <c:v>263.49386913019299</c:v>
                </c:pt>
                <c:pt idx="20">
                  <c:v>271.23824348247621</c:v>
                </c:pt>
                <c:pt idx="21">
                  <c:v>279.18774550243046</c:v>
                </c:pt>
                <c:pt idx="22">
                  <c:v>287.34423600960537</c:v>
                </c:pt>
                <c:pt idx="23">
                  <c:v>295.72509844980539</c:v>
                </c:pt>
                <c:pt idx="24">
                  <c:v>303.03049275142286</c:v>
                </c:pt>
                <c:pt idx="25">
                  <c:v>310.33236600515988</c:v>
                </c:pt>
                <c:pt idx="26">
                  <c:v>317.56559837630994</c:v>
                </c:pt>
                <c:pt idx="27">
                  <c:v>324.51181845098904</c:v>
                </c:pt>
                <c:pt idx="28">
                  <c:v>331.63192185142572</c:v>
                </c:pt>
                <c:pt idx="29">
                  <c:v>338.6250926186126</c:v>
                </c:pt>
                <c:pt idx="30">
                  <c:v>345.48768343681417</c:v>
                </c:pt>
              </c:numCache>
            </c:numRef>
          </c:val>
        </c:ser>
        <c:dLbls>
          <c:showLegendKey val="0"/>
          <c:showVal val="0"/>
          <c:showCatName val="0"/>
          <c:showSerName val="0"/>
          <c:showPercent val="0"/>
          <c:showBubbleSize val="0"/>
        </c:dLbls>
        <c:axId val="392331624"/>
        <c:axId val="392332016"/>
      </c:areaChart>
      <c:catAx>
        <c:axId val="392331624"/>
        <c:scaling>
          <c:orientation val="minMax"/>
        </c:scaling>
        <c:delete val="0"/>
        <c:axPos val="b"/>
        <c:numFmt formatCode="General" sourceLinked="1"/>
        <c:majorTickMark val="out"/>
        <c:minorTickMark val="none"/>
        <c:tickLblPos val="nextTo"/>
        <c:crossAx val="392332016"/>
        <c:crosses val="autoZero"/>
        <c:auto val="1"/>
        <c:lblAlgn val="ctr"/>
        <c:lblOffset val="100"/>
        <c:noMultiLvlLbl val="0"/>
      </c:catAx>
      <c:valAx>
        <c:axId val="392332016"/>
        <c:scaling>
          <c:orientation val="minMax"/>
          <c:max val="9000"/>
        </c:scaling>
        <c:delete val="0"/>
        <c:axPos val="l"/>
        <c:majorGridlines/>
        <c:numFmt formatCode="0" sourceLinked="1"/>
        <c:majorTickMark val="out"/>
        <c:minorTickMark val="none"/>
        <c:tickLblPos val="nextTo"/>
        <c:crossAx val="392331624"/>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FromCGE!$U$48</c:f>
              <c:strCache>
                <c:ptCount val="1"/>
                <c:pt idx="0">
                  <c:v>Agriculture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FromCGE!$U$51:$U$81</c:f>
              <c:numCache>
                <c:formatCode>0.0%</c:formatCode>
                <c:ptCount val="31"/>
                <c:pt idx="0">
                  <c:v>1.9439542842432322E-2</c:v>
                </c:pt>
                <c:pt idx="1">
                  <c:v>2.0471353900415989E-2</c:v>
                </c:pt>
                <c:pt idx="2">
                  <c:v>1.875131977496447E-2</c:v>
                </c:pt>
                <c:pt idx="3">
                  <c:v>1.5699366245966129E-2</c:v>
                </c:pt>
                <c:pt idx="4">
                  <c:v>3.2401281503713131E-2</c:v>
                </c:pt>
                <c:pt idx="5">
                  <c:v>3.5720288071235062E-2</c:v>
                </c:pt>
                <c:pt idx="6">
                  <c:v>3.8777348996134942E-2</c:v>
                </c:pt>
                <c:pt idx="7">
                  <c:v>4.1283507059510782E-2</c:v>
                </c:pt>
                <c:pt idx="8">
                  <c:v>5.0699243406523653E-2</c:v>
                </c:pt>
                <c:pt idx="9">
                  <c:v>5.1120671070462143E-2</c:v>
                </c:pt>
                <c:pt idx="10">
                  <c:v>4.9169982003860468E-2</c:v>
                </c:pt>
                <c:pt idx="11">
                  <c:v>4.8429629503834004E-2</c:v>
                </c:pt>
                <c:pt idx="12">
                  <c:v>4.7358304618341007E-2</c:v>
                </c:pt>
                <c:pt idx="13">
                  <c:v>4.7644872752547585E-2</c:v>
                </c:pt>
                <c:pt idx="14">
                  <c:v>4.6227588181008139E-2</c:v>
                </c:pt>
                <c:pt idx="15">
                  <c:v>4.6014077103919249E-2</c:v>
                </c:pt>
                <c:pt idx="16">
                  <c:v>4.6495811998954695E-2</c:v>
                </c:pt>
                <c:pt idx="17">
                  <c:v>4.7687479000529054E-2</c:v>
                </c:pt>
                <c:pt idx="18">
                  <c:v>4.9180806270306965E-2</c:v>
                </c:pt>
                <c:pt idx="19">
                  <c:v>4.1307404213912324E-2</c:v>
                </c:pt>
                <c:pt idx="20">
                  <c:v>3.9857688450638307E-2</c:v>
                </c:pt>
                <c:pt idx="21">
                  <c:v>3.8832646984749974E-2</c:v>
                </c:pt>
                <c:pt idx="22">
                  <c:v>3.7986934249050197E-2</c:v>
                </c:pt>
                <c:pt idx="23">
                  <c:v>3.7351723447484053E-2</c:v>
                </c:pt>
                <c:pt idx="24">
                  <c:v>3.3454945049218754E-2</c:v>
                </c:pt>
                <c:pt idx="25">
                  <c:v>3.2415723486587611E-2</c:v>
                </c:pt>
                <c:pt idx="26">
                  <c:v>3.1296736757713051E-2</c:v>
                </c:pt>
                <c:pt idx="27">
                  <c:v>2.9606672645277943E-2</c:v>
                </c:pt>
                <c:pt idx="28">
                  <c:v>2.9532734152520668E-2</c:v>
                </c:pt>
                <c:pt idx="29">
                  <c:v>2.8507719544480503E-2</c:v>
                </c:pt>
                <c:pt idx="30">
                  <c:v>2.7534682108984798E-2</c:v>
                </c:pt>
              </c:numCache>
            </c:numRef>
          </c:val>
          <c:smooth val="0"/>
        </c:ser>
        <c:ser>
          <c:idx val="1"/>
          <c:order val="1"/>
          <c:tx>
            <c:strRef>
              <c:f>FromCGE!$V$48</c:f>
              <c:strCache>
                <c:ptCount val="1"/>
                <c:pt idx="0">
                  <c:v>Mining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FromCGE!$V$51:$V$81</c:f>
              <c:numCache>
                <c:formatCode>0.0%</c:formatCode>
                <c:ptCount val="31"/>
                <c:pt idx="0">
                  <c:v>2.2726682477385074E-2</c:v>
                </c:pt>
                <c:pt idx="1">
                  <c:v>2.2229557322140936E-2</c:v>
                </c:pt>
                <c:pt idx="2">
                  <c:v>2.4315206772269615E-2</c:v>
                </c:pt>
                <c:pt idx="3">
                  <c:v>2.3899531716088607E-2</c:v>
                </c:pt>
                <c:pt idx="4">
                  <c:v>3.6700492070441459E-2</c:v>
                </c:pt>
                <c:pt idx="5">
                  <c:v>3.1409920570595107E-2</c:v>
                </c:pt>
                <c:pt idx="6">
                  <c:v>3.5871230458720538E-2</c:v>
                </c:pt>
                <c:pt idx="7">
                  <c:v>3.7723954956047523E-2</c:v>
                </c:pt>
                <c:pt idx="8">
                  <c:v>3.7655420321553779E-2</c:v>
                </c:pt>
                <c:pt idx="9">
                  <c:v>3.84000041476944E-2</c:v>
                </c:pt>
                <c:pt idx="10">
                  <c:v>3.8260898464691273E-2</c:v>
                </c:pt>
                <c:pt idx="11">
                  <c:v>3.7176171125762103E-2</c:v>
                </c:pt>
                <c:pt idx="12">
                  <c:v>3.8498993421946182E-2</c:v>
                </c:pt>
                <c:pt idx="13">
                  <c:v>3.8470696872753951E-2</c:v>
                </c:pt>
                <c:pt idx="14">
                  <c:v>3.3847108282960781E-2</c:v>
                </c:pt>
                <c:pt idx="15">
                  <c:v>3.4093247625509804E-2</c:v>
                </c:pt>
                <c:pt idx="16">
                  <c:v>3.8227605193404512E-2</c:v>
                </c:pt>
                <c:pt idx="17">
                  <c:v>4.0002793399649628E-2</c:v>
                </c:pt>
                <c:pt idx="18">
                  <c:v>4.1588819680318023E-2</c:v>
                </c:pt>
                <c:pt idx="19">
                  <c:v>3.6040481957935633E-2</c:v>
                </c:pt>
                <c:pt idx="20">
                  <c:v>3.6491039443426354E-2</c:v>
                </c:pt>
                <c:pt idx="21">
                  <c:v>3.7407266522432314E-2</c:v>
                </c:pt>
                <c:pt idx="22">
                  <c:v>3.781239527257596E-2</c:v>
                </c:pt>
                <c:pt idx="23">
                  <c:v>3.8020731772896887E-2</c:v>
                </c:pt>
                <c:pt idx="24">
                  <c:v>3.5138366945852262E-2</c:v>
                </c:pt>
                <c:pt idx="25">
                  <c:v>3.6861888766817286E-2</c:v>
                </c:pt>
                <c:pt idx="26">
                  <c:v>3.5424004271600085E-2</c:v>
                </c:pt>
                <c:pt idx="27">
                  <c:v>3.4540813805939319E-2</c:v>
                </c:pt>
                <c:pt idx="28">
                  <c:v>3.5666919548831055E-2</c:v>
                </c:pt>
                <c:pt idx="29">
                  <c:v>3.4195925340027467E-2</c:v>
                </c:pt>
                <c:pt idx="30">
                  <c:v>3.3832826770538782E-2</c:v>
                </c:pt>
              </c:numCache>
            </c:numRef>
          </c:val>
          <c:smooth val="0"/>
        </c:ser>
        <c:ser>
          <c:idx val="2"/>
          <c:order val="2"/>
          <c:tx>
            <c:strRef>
              <c:f>FromCGE!$W$48</c:f>
              <c:strCache>
                <c:ptCount val="1"/>
                <c:pt idx="0">
                  <c:v>Iron and Steel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FromCGE!$W$51:$W$81</c:f>
              <c:numCache>
                <c:formatCode>0.0%</c:formatCode>
                <c:ptCount val="31"/>
                <c:pt idx="0">
                  <c:v>-4.0982158724216844E-2</c:v>
                </c:pt>
                <c:pt idx="1">
                  <c:v>-4.7198780793359596E-2</c:v>
                </c:pt>
                <c:pt idx="2">
                  <c:v>-3.7095935998176288E-2</c:v>
                </c:pt>
                <c:pt idx="3">
                  <c:v>-2.2640910286113369E-2</c:v>
                </c:pt>
                <c:pt idx="4">
                  <c:v>2.674113139722567E-2</c:v>
                </c:pt>
                <c:pt idx="5">
                  <c:v>5.0116519752423372E-2</c:v>
                </c:pt>
                <c:pt idx="6">
                  <c:v>5.9785270072131746E-2</c:v>
                </c:pt>
                <c:pt idx="7">
                  <c:v>6.2388028475745871E-2</c:v>
                </c:pt>
                <c:pt idx="8">
                  <c:v>6.2162426824740935E-2</c:v>
                </c:pt>
                <c:pt idx="9">
                  <c:v>6.3431144872047485E-2</c:v>
                </c:pt>
                <c:pt idx="10">
                  <c:v>5.994732402638614E-2</c:v>
                </c:pt>
                <c:pt idx="11">
                  <c:v>6.5659508236290964E-2</c:v>
                </c:pt>
                <c:pt idx="12">
                  <c:v>7.0798876403924238E-2</c:v>
                </c:pt>
                <c:pt idx="13">
                  <c:v>6.6465947576122897E-2</c:v>
                </c:pt>
                <c:pt idx="14">
                  <c:v>5.1766990535606627E-2</c:v>
                </c:pt>
                <c:pt idx="15">
                  <c:v>5.2555641172753687E-2</c:v>
                </c:pt>
                <c:pt idx="16">
                  <c:v>5.7637257156127442E-2</c:v>
                </c:pt>
                <c:pt idx="17">
                  <c:v>5.8899735884966331E-2</c:v>
                </c:pt>
                <c:pt idx="18">
                  <c:v>5.9351399556448303E-2</c:v>
                </c:pt>
                <c:pt idx="19">
                  <c:v>4.8618103890698761E-2</c:v>
                </c:pt>
                <c:pt idx="20">
                  <c:v>4.7073575902494502E-2</c:v>
                </c:pt>
                <c:pt idx="21">
                  <c:v>4.668580755518037E-2</c:v>
                </c:pt>
                <c:pt idx="22">
                  <c:v>4.5563657411623382E-2</c:v>
                </c:pt>
                <c:pt idx="23">
                  <c:v>4.5209632219963547E-2</c:v>
                </c:pt>
                <c:pt idx="24">
                  <c:v>4.1467943057753809E-2</c:v>
                </c:pt>
                <c:pt idx="25">
                  <c:v>3.7920247519322103E-2</c:v>
                </c:pt>
                <c:pt idx="26">
                  <c:v>3.7355368861789362E-2</c:v>
                </c:pt>
                <c:pt idx="27">
                  <c:v>3.5029361751997223E-2</c:v>
                </c:pt>
                <c:pt idx="28">
                  <c:v>3.3483488916568716E-2</c:v>
                </c:pt>
                <c:pt idx="29">
                  <c:v>3.4010376870560188E-2</c:v>
                </c:pt>
                <c:pt idx="30">
                  <c:v>3.0636667054732447E-2</c:v>
                </c:pt>
              </c:numCache>
            </c:numRef>
          </c:val>
          <c:smooth val="0"/>
        </c:ser>
        <c:ser>
          <c:idx val="3"/>
          <c:order val="3"/>
          <c:tx>
            <c:strRef>
              <c:f>FromCGE!$X$48</c:f>
              <c:strCache>
                <c:ptCount val="1"/>
                <c:pt idx="0">
                  <c:v>Non Metallic Minerals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FromCGE!$X$51:$X$81</c:f>
              <c:numCache>
                <c:formatCode>0.0%</c:formatCode>
                <c:ptCount val="31"/>
                <c:pt idx="0">
                  <c:v>1.9523057262980981E-2</c:v>
                </c:pt>
                <c:pt idx="1">
                  <c:v>2.0428191585498245E-2</c:v>
                </c:pt>
                <c:pt idx="2">
                  <c:v>1.9436149978668604E-2</c:v>
                </c:pt>
                <c:pt idx="3">
                  <c:v>1.7691233429883324E-2</c:v>
                </c:pt>
                <c:pt idx="4">
                  <c:v>6.1710115076351713E-2</c:v>
                </c:pt>
                <c:pt idx="5">
                  <c:v>6.3786916490631729E-2</c:v>
                </c:pt>
                <c:pt idx="6">
                  <c:v>6.5972878409933378E-2</c:v>
                </c:pt>
                <c:pt idx="7">
                  <c:v>6.7335297434736985E-2</c:v>
                </c:pt>
                <c:pt idx="8">
                  <c:v>7.5257598868792464E-2</c:v>
                </c:pt>
                <c:pt idx="9">
                  <c:v>7.5057399362278732E-2</c:v>
                </c:pt>
                <c:pt idx="10">
                  <c:v>6.7479965344394932E-2</c:v>
                </c:pt>
                <c:pt idx="11">
                  <c:v>6.6777835694926457E-2</c:v>
                </c:pt>
                <c:pt idx="12">
                  <c:v>6.5456558706274759E-2</c:v>
                </c:pt>
                <c:pt idx="13">
                  <c:v>6.4937227362001027E-2</c:v>
                </c:pt>
                <c:pt idx="14">
                  <c:v>5.8124047852563754E-2</c:v>
                </c:pt>
                <c:pt idx="15">
                  <c:v>5.7811336191586848E-2</c:v>
                </c:pt>
                <c:pt idx="16">
                  <c:v>5.8074960626540495E-2</c:v>
                </c:pt>
                <c:pt idx="17">
                  <c:v>5.8947748943507072E-2</c:v>
                </c:pt>
                <c:pt idx="18">
                  <c:v>6.0091977780146077E-2</c:v>
                </c:pt>
                <c:pt idx="19">
                  <c:v>4.9612643824896274E-2</c:v>
                </c:pt>
                <c:pt idx="20">
                  <c:v>4.7591971642449549E-2</c:v>
                </c:pt>
                <c:pt idx="21">
                  <c:v>4.5809294681876667E-2</c:v>
                </c:pt>
                <c:pt idx="22">
                  <c:v>4.4323289107249364E-2</c:v>
                </c:pt>
                <c:pt idx="23">
                  <c:v>4.3209372550274017E-2</c:v>
                </c:pt>
                <c:pt idx="24">
                  <c:v>3.8477714756646186E-2</c:v>
                </c:pt>
                <c:pt idx="25">
                  <c:v>3.6721982533081343E-2</c:v>
                </c:pt>
                <c:pt idx="26">
                  <c:v>3.5437027358707907E-2</c:v>
                </c:pt>
                <c:pt idx="27">
                  <c:v>3.3441911943678182E-2</c:v>
                </c:pt>
                <c:pt idx="28">
                  <c:v>3.2744952019307716E-2</c:v>
                </c:pt>
                <c:pt idx="29">
                  <c:v>3.1592019161287288E-2</c:v>
                </c:pt>
                <c:pt idx="30">
                  <c:v>3.0193001924015972E-2</c:v>
                </c:pt>
              </c:numCache>
            </c:numRef>
          </c:val>
          <c:smooth val="0"/>
        </c:ser>
        <c:ser>
          <c:idx val="4"/>
          <c:order val="4"/>
          <c:tx>
            <c:strRef>
              <c:f>FromCGE!$Y$48</c:f>
              <c:strCache>
                <c:ptCount val="1"/>
                <c:pt idx="0">
                  <c:v>Non Ferous Metals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FromCGE!$Y$51:$Y$81</c:f>
              <c:numCache>
                <c:formatCode>0.0%</c:formatCode>
                <c:ptCount val="31"/>
                <c:pt idx="0">
                  <c:v>-3.9372740980218035E-2</c:v>
                </c:pt>
                <c:pt idx="1">
                  <c:v>-5.8074496973990142E-2</c:v>
                </c:pt>
                <c:pt idx="2">
                  <c:v>-6.391541409653323E-2</c:v>
                </c:pt>
                <c:pt idx="3">
                  <c:v>-6.185930209103585E-2</c:v>
                </c:pt>
                <c:pt idx="4">
                  <c:v>-2.4676246350682884E-2</c:v>
                </c:pt>
                <c:pt idx="5">
                  <c:v>-9.8702736402628277E-3</c:v>
                </c:pt>
                <c:pt idx="6">
                  <c:v>-2.4297113140888671E-3</c:v>
                </c:pt>
                <c:pt idx="7">
                  <c:v>-5.9398732643167751E-4</c:v>
                </c:pt>
                <c:pt idx="8">
                  <c:v>9.7817447420767145E-4</c:v>
                </c:pt>
                <c:pt idx="9">
                  <c:v>2.9655272740292116E-3</c:v>
                </c:pt>
                <c:pt idx="10">
                  <c:v>3.7504764745632801E-3</c:v>
                </c:pt>
                <c:pt idx="11">
                  <c:v>1.1390134197882595E-2</c:v>
                </c:pt>
                <c:pt idx="12">
                  <c:v>2.1548872005429098E-2</c:v>
                </c:pt>
                <c:pt idx="13">
                  <c:v>2.1683661998914028E-2</c:v>
                </c:pt>
                <c:pt idx="14">
                  <c:v>1.113296365175187E-2</c:v>
                </c:pt>
                <c:pt idx="15">
                  <c:v>1.266485929684924E-2</c:v>
                </c:pt>
                <c:pt idx="16">
                  <c:v>2.0371164646317608E-2</c:v>
                </c:pt>
                <c:pt idx="17">
                  <c:v>2.4290310748514621E-2</c:v>
                </c:pt>
                <c:pt idx="18">
                  <c:v>2.678041918844043E-2</c:v>
                </c:pt>
                <c:pt idx="19">
                  <c:v>2.8944614006278346E-2</c:v>
                </c:pt>
                <c:pt idx="20">
                  <c:v>3.1820467760018456E-2</c:v>
                </c:pt>
                <c:pt idx="21">
                  <c:v>3.6134961653323749E-2</c:v>
                </c:pt>
                <c:pt idx="22">
                  <c:v>3.9357066220305992E-2</c:v>
                </c:pt>
                <c:pt idx="23">
                  <c:v>4.2986005504329405E-2</c:v>
                </c:pt>
                <c:pt idx="24">
                  <c:v>4.392677694414493E-2</c:v>
                </c:pt>
                <c:pt idx="25">
                  <c:v>4.5017040919477225E-2</c:v>
                </c:pt>
                <c:pt idx="26">
                  <c:v>4.6937928166994602E-2</c:v>
                </c:pt>
                <c:pt idx="27">
                  <c:v>4.7131345061478092E-2</c:v>
                </c:pt>
                <c:pt idx="28">
                  <c:v>4.7955573502016957E-2</c:v>
                </c:pt>
                <c:pt idx="29">
                  <c:v>5.0369698175736222E-2</c:v>
                </c:pt>
                <c:pt idx="30">
                  <c:v>4.8420787435843993E-2</c:v>
                </c:pt>
              </c:numCache>
            </c:numRef>
          </c:val>
          <c:smooth val="0"/>
        </c:ser>
        <c:ser>
          <c:idx val="5"/>
          <c:order val="5"/>
          <c:tx>
            <c:strRef>
              <c:f>FromCGE!$Z$48</c:f>
              <c:strCache>
                <c:ptCount val="1"/>
                <c:pt idx="0">
                  <c:v>Chemicals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FromCGE!$Z$51:$Z$81</c:f>
              <c:numCache>
                <c:formatCode>0.0%</c:formatCode>
                <c:ptCount val="31"/>
                <c:pt idx="0">
                  <c:v>1.7309736008382037E-2</c:v>
                </c:pt>
                <c:pt idx="1">
                  <c:v>1.5094838031935787E-2</c:v>
                </c:pt>
                <c:pt idx="2">
                  <c:v>1.6656255937491427E-2</c:v>
                </c:pt>
                <c:pt idx="3">
                  <c:v>1.8926241479035433E-2</c:v>
                </c:pt>
                <c:pt idx="4">
                  <c:v>5.7885683665114263E-2</c:v>
                </c:pt>
                <c:pt idx="5">
                  <c:v>6.0524109193331288E-2</c:v>
                </c:pt>
                <c:pt idx="6">
                  <c:v>6.4774918206186749E-2</c:v>
                </c:pt>
                <c:pt idx="7">
                  <c:v>6.6464819505055894E-2</c:v>
                </c:pt>
                <c:pt idx="8">
                  <c:v>6.6560463095660216E-2</c:v>
                </c:pt>
                <c:pt idx="9">
                  <c:v>6.758581029960764E-2</c:v>
                </c:pt>
                <c:pt idx="10">
                  <c:v>6.0478551247993728E-2</c:v>
                </c:pt>
                <c:pt idx="11">
                  <c:v>6.1897713021270784E-2</c:v>
                </c:pt>
                <c:pt idx="12">
                  <c:v>6.3456934622355465E-2</c:v>
                </c:pt>
                <c:pt idx="13">
                  <c:v>6.2017883089431347E-2</c:v>
                </c:pt>
                <c:pt idx="14">
                  <c:v>5.2422829789847247E-2</c:v>
                </c:pt>
                <c:pt idx="15">
                  <c:v>5.2642505074609103E-2</c:v>
                </c:pt>
                <c:pt idx="16">
                  <c:v>5.4690894180058125E-2</c:v>
                </c:pt>
                <c:pt idx="17">
                  <c:v>5.5770079843807885E-2</c:v>
                </c:pt>
                <c:pt idx="18">
                  <c:v>5.6794447563145889E-2</c:v>
                </c:pt>
                <c:pt idx="19">
                  <c:v>4.2177925938134297E-2</c:v>
                </c:pt>
                <c:pt idx="20">
                  <c:v>4.0544318140036895E-2</c:v>
                </c:pt>
                <c:pt idx="21">
                  <c:v>3.9626122068995517E-2</c:v>
                </c:pt>
                <c:pt idx="22">
                  <c:v>3.8513433425723775E-2</c:v>
                </c:pt>
                <c:pt idx="23">
                  <c:v>3.7966063287078189E-2</c:v>
                </c:pt>
                <c:pt idx="24">
                  <c:v>3.3825934892334431E-2</c:v>
                </c:pt>
                <c:pt idx="25">
                  <c:v>3.1417251204191698E-2</c:v>
                </c:pt>
                <c:pt idx="26">
                  <c:v>3.0822026158474625E-2</c:v>
                </c:pt>
                <c:pt idx="27">
                  <c:v>2.8971327685165305E-2</c:v>
                </c:pt>
                <c:pt idx="28">
                  <c:v>2.8054253767260562E-2</c:v>
                </c:pt>
                <c:pt idx="29">
                  <c:v>2.8051389725213483E-2</c:v>
                </c:pt>
                <c:pt idx="30">
                  <c:v>2.6041901328758055E-2</c:v>
                </c:pt>
              </c:numCache>
            </c:numRef>
          </c:val>
          <c:smooth val="0"/>
        </c:ser>
        <c:ser>
          <c:idx val="6"/>
          <c:order val="6"/>
          <c:tx>
            <c:strRef>
              <c:f>FromCGE!$AA$48</c:f>
              <c:strCache>
                <c:ptCount val="1"/>
                <c:pt idx="0">
                  <c:v>Pulp and Paper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FromCGE!$AA$51:$AA$81</c:f>
              <c:numCache>
                <c:formatCode>0.0%</c:formatCode>
                <c:ptCount val="31"/>
                <c:pt idx="0">
                  <c:v>2.870693386705736E-2</c:v>
                </c:pt>
                <c:pt idx="1">
                  <c:v>2.8752353333914238E-2</c:v>
                </c:pt>
                <c:pt idx="2">
                  <c:v>2.7039460430355211E-2</c:v>
                </c:pt>
                <c:pt idx="3">
                  <c:v>2.4432560473326426E-2</c:v>
                </c:pt>
                <c:pt idx="4">
                  <c:v>6.5633381565102678E-2</c:v>
                </c:pt>
                <c:pt idx="5">
                  <c:v>6.7220328991236977E-2</c:v>
                </c:pt>
                <c:pt idx="6">
                  <c:v>6.980708407000602E-2</c:v>
                </c:pt>
                <c:pt idx="7">
                  <c:v>7.1702676643504271E-2</c:v>
                </c:pt>
                <c:pt idx="8">
                  <c:v>7.3193053716694045E-2</c:v>
                </c:pt>
                <c:pt idx="9">
                  <c:v>7.4022103761707481E-2</c:v>
                </c:pt>
                <c:pt idx="10">
                  <c:v>6.4892094133002676E-2</c:v>
                </c:pt>
                <c:pt idx="11">
                  <c:v>6.5409513576630829E-2</c:v>
                </c:pt>
                <c:pt idx="12">
                  <c:v>6.4412033229336529E-2</c:v>
                </c:pt>
                <c:pt idx="13">
                  <c:v>6.4658244200236359E-2</c:v>
                </c:pt>
                <c:pt idx="14">
                  <c:v>5.6846122613250394E-2</c:v>
                </c:pt>
                <c:pt idx="15">
                  <c:v>5.6326397928189831E-2</c:v>
                </c:pt>
                <c:pt idx="16">
                  <c:v>5.6787712227542197E-2</c:v>
                </c:pt>
                <c:pt idx="17">
                  <c:v>5.7826435683422384E-2</c:v>
                </c:pt>
                <c:pt idx="18">
                  <c:v>5.9159234246899395E-2</c:v>
                </c:pt>
                <c:pt idx="19">
                  <c:v>4.3519628139995215E-2</c:v>
                </c:pt>
                <c:pt idx="20">
                  <c:v>4.1794286811067449E-2</c:v>
                </c:pt>
                <c:pt idx="21">
                  <c:v>4.0120486444117143E-2</c:v>
                </c:pt>
                <c:pt idx="22">
                  <c:v>3.8757074663407609E-2</c:v>
                </c:pt>
                <c:pt idx="23">
                  <c:v>3.7652757130114622E-2</c:v>
                </c:pt>
                <c:pt idx="24">
                  <c:v>3.2744741975575531E-2</c:v>
                </c:pt>
                <c:pt idx="25">
                  <c:v>3.1238720262125153E-2</c:v>
                </c:pt>
                <c:pt idx="26">
                  <c:v>2.9658216055478803E-2</c:v>
                </c:pt>
                <c:pt idx="27">
                  <c:v>2.7599154297656803E-2</c:v>
                </c:pt>
                <c:pt idx="28">
                  <c:v>2.7064605755041216E-2</c:v>
                </c:pt>
                <c:pt idx="29">
                  <c:v>2.5686209841301988E-2</c:v>
                </c:pt>
                <c:pt idx="30">
                  <c:v>2.4222436378440904E-2</c:v>
                </c:pt>
              </c:numCache>
            </c:numRef>
          </c:val>
          <c:smooth val="0"/>
        </c:ser>
        <c:ser>
          <c:idx val="7"/>
          <c:order val="7"/>
          <c:tx>
            <c:strRef>
              <c:f>FromCGE!$AB$48</c:f>
              <c:strCache>
                <c:ptCount val="1"/>
                <c:pt idx="0">
                  <c:v>Food and Beverages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FromCGE!$AB$51:$AB$81</c:f>
              <c:numCache>
                <c:formatCode>0.0%</c:formatCode>
                <c:ptCount val="31"/>
                <c:pt idx="0">
                  <c:v>2.6425669069413349E-2</c:v>
                </c:pt>
                <c:pt idx="1">
                  <c:v>2.7406885207313048E-2</c:v>
                </c:pt>
                <c:pt idx="2">
                  <c:v>2.4150816603217828E-2</c:v>
                </c:pt>
                <c:pt idx="3">
                  <c:v>1.9405559237640313E-2</c:v>
                </c:pt>
                <c:pt idx="4">
                  <c:v>4.9918605679159178E-2</c:v>
                </c:pt>
                <c:pt idx="5">
                  <c:v>5.2400184270995354E-2</c:v>
                </c:pt>
                <c:pt idx="6">
                  <c:v>5.281517232052213E-2</c:v>
                </c:pt>
                <c:pt idx="7">
                  <c:v>5.4269147466979861E-2</c:v>
                </c:pt>
                <c:pt idx="8">
                  <c:v>5.449174669720569E-2</c:v>
                </c:pt>
                <c:pt idx="9">
                  <c:v>5.5754059412228552E-2</c:v>
                </c:pt>
                <c:pt idx="10">
                  <c:v>4.9253870324775129E-2</c:v>
                </c:pt>
                <c:pt idx="11">
                  <c:v>4.9213688858889881E-2</c:v>
                </c:pt>
                <c:pt idx="12">
                  <c:v>4.7960809343950084E-2</c:v>
                </c:pt>
                <c:pt idx="13">
                  <c:v>4.9714121060849603E-2</c:v>
                </c:pt>
                <c:pt idx="14">
                  <c:v>4.6048146773518761E-2</c:v>
                </c:pt>
                <c:pt idx="15">
                  <c:v>4.6037625762289203E-2</c:v>
                </c:pt>
                <c:pt idx="16">
                  <c:v>4.5876127852039872E-2</c:v>
                </c:pt>
                <c:pt idx="17">
                  <c:v>4.7391205775024314E-2</c:v>
                </c:pt>
                <c:pt idx="18">
                  <c:v>5.0192926704573759E-2</c:v>
                </c:pt>
                <c:pt idx="19">
                  <c:v>4.0146793698536909E-2</c:v>
                </c:pt>
                <c:pt idx="20">
                  <c:v>3.9194904374874495E-2</c:v>
                </c:pt>
                <c:pt idx="21">
                  <c:v>3.8086778662977716E-2</c:v>
                </c:pt>
                <c:pt idx="22">
                  <c:v>3.7389347753487678E-2</c:v>
                </c:pt>
                <c:pt idx="23">
                  <c:v>3.6853420211616417E-2</c:v>
                </c:pt>
                <c:pt idx="24">
                  <c:v>3.3088564079693406E-2</c:v>
                </c:pt>
                <c:pt idx="25">
                  <c:v>3.2298278956060855E-2</c:v>
                </c:pt>
                <c:pt idx="26">
                  <c:v>3.1347394897194958E-2</c:v>
                </c:pt>
                <c:pt idx="27">
                  <c:v>3.020960203025691E-2</c:v>
                </c:pt>
                <c:pt idx="28">
                  <c:v>2.9716356397342381E-2</c:v>
                </c:pt>
                <c:pt idx="29">
                  <c:v>2.8663233476235561E-2</c:v>
                </c:pt>
                <c:pt idx="30">
                  <c:v>2.783325911756962E-2</c:v>
                </c:pt>
              </c:numCache>
            </c:numRef>
          </c:val>
          <c:smooth val="0"/>
        </c:ser>
        <c:ser>
          <c:idx val="8"/>
          <c:order val="8"/>
          <c:tx>
            <c:strRef>
              <c:f>FromCGE!$AC$48</c:f>
              <c:strCache>
                <c:ptCount val="1"/>
                <c:pt idx="0">
                  <c:v>Other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FromCGE!$AC$51:$AC$81</c:f>
              <c:numCache>
                <c:formatCode>0.0%</c:formatCode>
                <c:ptCount val="31"/>
                <c:pt idx="0">
                  <c:v>2.6604908063559529E-2</c:v>
                </c:pt>
                <c:pt idx="1">
                  <c:v>2.6525844692214751E-2</c:v>
                </c:pt>
                <c:pt idx="2">
                  <c:v>2.4678717528847871E-2</c:v>
                </c:pt>
                <c:pt idx="3">
                  <c:v>2.214825919847474E-2</c:v>
                </c:pt>
                <c:pt idx="4">
                  <c:v>6.3687811719813414E-2</c:v>
                </c:pt>
                <c:pt idx="5">
                  <c:v>6.489907916700477E-2</c:v>
                </c:pt>
                <c:pt idx="6">
                  <c:v>6.6503672110345358E-2</c:v>
                </c:pt>
                <c:pt idx="7">
                  <c:v>6.7957715217898507E-2</c:v>
                </c:pt>
                <c:pt idx="8">
                  <c:v>7.0042531537969133E-2</c:v>
                </c:pt>
                <c:pt idx="9">
                  <c:v>7.0647558736938176E-2</c:v>
                </c:pt>
                <c:pt idx="10">
                  <c:v>6.119639790029674E-2</c:v>
                </c:pt>
                <c:pt idx="11">
                  <c:v>6.1385817084275152E-2</c:v>
                </c:pt>
                <c:pt idx="12">
                  <c:v>6.0926674712506568E-2</c:v>
                </c:pt>
                <c:pt idx="13">
                  <c:v>6.1450985875952435E-2</c:v>
                </c:pt>
                <c:pt idx="14">
                  <c:v>5.4882916368596657E-2</c:v>
                </c:pt>
                <c:pt idx="15">
                  <c:v>5.4984210489840146E-2</c:v>
                </c:pt>
                <c:pt idx="16">
                  <c:v>5.53268707837411E-2</c:v>
                </c:pt>
                <c:pt idx="17">
                  <c:v>5.6630971865581969E-2</c:v>
                </c:pt>
                <c:pt idx="18">
                  <c:v>5.8303963284296989E-2</c:v>
                </c:pt>
                <c:pt idx="19">
                  <c:v>4.3469446630842734E-2</c:v>
                </c:pt>
                <c:pt idx="20">
                  <c:v>4.2844614955496851E-2</c:v>
                </c:pt>
                <c:pt idx="21">
                  <c:v>4.2164811838736549E-2</c:v>
                </c:pt>
                <c:pt idx="22">
                  <c:v>4.157259048103934E-2</c:v>
                </c:pt>
                <c:pt idx="23">
                  <c:v>4.1130171198023424E-2</c:v>
                </c:pt>
                <c:pt idx="24">
                  <c:v>3.6686643484438397E-2</c:v>
                </c:pt>
                <c:pt idx="25">
                  <c:v>3.5692467368379166E-2</c:v>
                </c:pt>
                <c:pt idx="26">
                  <c:v>3.4722877626732096E-2</c:v>
                </c:pt>
                <c:pt idx="27">
                  <c:v>3.3180035320252932E-2</c:v>
                </c:pt>
                <c:pt idx="28">
                  <c:v>3.27764654124032E-2</c:v>
                </c:pt>
                <c:pt idx="29">
                  <c:v>3.1818057658941523E-2</c:v>
                </c:pt>
                <c:pt idx="30">
                  <c:v>3.0694726474677969E-2</c:v>
                </c:pt>
              </c:numCache>
            </c:numRef>
          </c:val>
          <c:smooth val="0"/>
        </c:ser>
        <c:ser>
          <c:idx val="9"/>
          <c:order val="9"/>
          <c:tx>
            <c:strRef>
              <c:f>FromCGE!$AD$48</c:f>
              <c:strCache>
                <c:ptCount val="1"/>
                <c:pt idx="0">
                  <c:v>Commerce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FromCGE!$AD$51:$AD$81</c:f>
              <c:numCache>
                <c:formatCode>0.0%</c:formatCode>
                <c:ptCount val="31"/>
                <c:pt idx="0">
                  <c:v>2.5373856386196714E-2</c:v>
                </c:pt>
                <c:pt idx="1">
                  <c:v>2.5122928972262537E-2</c:v>
                </c:pt>
                <c:pt idx="2">
                  <c:v>2.4190587490971804E-2</c:v>
                </c:pt>
                <c:pt idx="3">
                  <c:v>2.2769138529204813E-2</c:v>
                </c:pt>
                <c:pt idx="4">
                  <c:v>5.9399836265396688E-2</c:v>
                </c:pt>
                <c:pt idx="5">
                  <c:v>6.1602944079468536E-2</c:v>
                </c:pt>
                <c:pt idx="6">
                  <c:v>6.3534350907513248E-2</c:v>
                </c:pt>
                <c:pt idx="7">
                  <c:v>6.4966907126318585E-2</c:v>
                </c:pt>
                <c:pt idx="8">
                  <c:v>6.4879154930614247E-2</c:v>
                </c:pt>
                <c:pt idx="9">
                  <c:v>6.5703551428421214E-2</c:v>
                </c:pt>
                <c:pt idx="10">
                  <c:v>5.4570698117050176E-2</c:v>
                </c:pt>
                <c:pt idx="11">
                  <c:v>5.4650361863084918E-2</c:v>
                </c:pt>
                <c:pt idx="12">
                  <c:v>5.4949483472893856E-2</c:v>
                </c:pt>
                <c:pt idx="13">
                  <c:v>5.5274663970557469E-2</c:v>
                </c:pt>
                <c:pt idx="14">
                  <c:v>4.8122029409221057E-2</c:v>
                </c:pt>
                <c:pt idx="15">
                  <c:v>4.8636768034894251E-2</c:v>
                </c:pt>
                <c:pt idx="16">
                  <c:v>4.9595597651473033E-2</c:v>
                </c:pt>
                <c:pt idx="17">
                  <c:v>5.0934081550929378E-2</c:v>
                </c:pt>
                <c:pt idx="18">
                  <c:v>5.2208680256254691E-2</c:v>
                </c:pt>
                <c:pt idx="19">
                  <c:v>3.1316254066643623E-2</c:v>
                </c:pt>
                <c:pt idx="20">
                  <c:v>3.1140573115639114E-2</c:v>
                </c:pt>
                <c:pt idx="21">
                  <c:v>3.1093206971287479E-2</c:v>
                </c:pt>
                <c:pt idx="22">
                  <c:v>3.090242437294477E-2</c:v>
                </c:pt>
                <c:pt idx="23">
                  <c:v>3.0804818679227575E-2</c:v>
                </c:pt>
                <c:pt idx="24">
                  <c:v>2.6366641337860708E-2</c:v>
                </c:pt>
                <c:pt idx="25">
                  <c:v>2.5619252076022558E-2</c:v>
                </c:pt>
                <c:pt idx="26">
                  <c:v>2.4947005187329951E-2</c:v>
                </c:pt>
                <c:pt idx="27">
                  <c:v>2.356198453826952E-2</c:v>
                </c:pt>
                <c:pt idx="28">
                  <c:v>2.3465909836380305E-2</c:v>
                </c:pt>
                <c:pt idx="29">
                  <c:v>2.2784140353515392E-2</c:v>
                </c:pt>
                <c:pt idx="30">
                  <c:v>2.1942999862388568E-2</c:v>
                </c:pt>
              </c:numCache>
            </c:numRef>
          </c:val>
          <c:smooth val="0"/>
        </c:ser>
        <c:ser>
          <c:idx val="10"/>
          <c:order val="10"/>
          <c:tx>
            <c:strRef>
              <c:f>FromCGE!$AE$48</c:f>
              <c:strCache>
                <c:ptCount val="1"/>
                <c:pt idx="0">
                  <c:v>Freight                                               </c:v>
                </c:pt>
              </c:strCache>
            </c:strRef>
          </c:tx>
          <c:marker>
            <c:symbol val="none"/>
          </c:marker>
          <c:cat>
            <c:numRef>
              <c:f>FromCGE!$T$51:$T$81</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FromCGE!$AE$51:$AE$81</c:f>
              <c:numCache>
                <c:formatCode>0.0%</c:formatCode>
                <c:ptCount val="31"/>
                <c:pt idx="0">
                  <c:v>2.5687204521031237E-2</c:v>
                </c:pt>
                <c:pt idx="1">
                  <c:v>2.5807475176718331E-2</c:v>
                </c:pt>
                <c:pt idx="2">
                  <c:v>2.4283622645158376E-2</c:v>
                </c:pt>
                <c:pt idx="3">
                  <c:v>2.1571635225674957E-2</c:v>
                </c:pt>
                <c:pt idx="4">
                  <c:v>5.9611263635323875E-2</c:v>
                </c:pt>
                <c:pt idx="5">
                  <c:v>6.0667925816630053E-2</c:v>
                </c:pt>
                <c:pt idx="6">
                  <c:v>6.268537827698073E-2</c:v>
                </c:pt>
                <c:pt idx="7">
                  <c:v>6.4335009747119809E-2</c:v>
                </c:pt>
                <c:pt idx="8">
                  <c:v>6.6906703175495741E-2</c:v>
                </c:pt>
                <c:pt idx="9">
                  <c:v>6.7909885090799538E-2</c:v>
                </c:pt>
                <c:pt idx="10">
                  <c:v>5.5379036984361862E-2</c:v>
                </c:pt>
                <c:pt idx="11">
                  <c:v>5.571123447324422E-2</c:v>
                </c:pt>
                <c:pt idx="12">
                  <c:v>5.5522466682379257E-2</c:v>
                </c:pt>
                <c:pt idx="13">
                  <c:v>5.6303939839299488E-2</c:v>
                </c:pt>
                <c:pt idx="14">
                  <c:v>4.8024129727579856E-2</c:v>
                </c:pt>
                <c:pt idx="15">
                  <c:v>4.8446123301821409E-2</c:v>
                </c:pt>
                <c:pt idx="16">
                  <c:v>4.9462636410610772E-2</c:v>
                </c:pt>
                <c:pt idx="17">
                  <c:v>5.0968499731458117E-2</c:v>
                </c:pt>
                <c:pt idx="18">
                  <c:v>5.2540925058573773E-2</c:v>
                </c:pt>
                <c:pt idx="19">
                  <c:v>2.9666628307348342E-2</c:v>
                </c:pt>
                <c:pt idx="20">
                  <c:v>2.9391098843581487E-2</c:v>
                </c:pt>
                <c:pt idx="21">
                  <c:v>2.9308190164812897E-2</c:v>
                </c:pt>
                <c:pt idx="22">
                  <c:v>2.9215073507242728E-2</c:v>
                </c:pt>
                <c:pt idx="23">
                  <c:v>2.916662800196157E-2</c:v>
                </c:pt>
                <c:pt idx="24">
                  <c:v>2.4703328665414137E-2</c:v>
                </c:pt>
                <c:pt idx="25">
                  <c:v>2.4096166651211615E-2</c:v>
                </c:pt>
                <c:pt idx="26">
                  <c:v>2.3308017994583929E-2</c:v>
                </c:pt>
                <c:pt idx="27">
                  <c:v>2.1873339272876713E-2</c:v>
                </c:pt>
                <c:pt idx="28">
                  <c:v>2.1940967926602717E-2</c:v>
                </c:pt>
                <c:pt idx="29">
                  <c:v>2.1087146038733628E-2</c:v>
                </c:pt>
                <c:pt idx="30">
                  <c:v>2.0266043384832066E-2</c:v>
                </c:pt>
              </c:numCache>
            </c:numRef>
          </c:val>
          <c:smooth val="0"/>
        </c:ser>
        <c:dLbls>
          <c:showLegendKey val="0"/>
          <c:showVal val="0"/>
          <c:showCatName val="0"/>
          <c:showSerName val="0"/>
          <c:showPercent val="0"/>
          <c:showBubbleSize val="0"/>
        </c:dLbls>
        <c:smooth val="0"/>
        <c:axId val="392333192"/>
        <c:axId val="392333584"/>
      </c:lineChart>
      <c:catAx>
        <c:axId val="392333192"/>
        <c:scaling>
          <c:orientation val="minMax"/>
        </c:scaling>
        <c:delete val="0"/>
        <c:axPos val="b"/>
        <c:numFmt formatCode="General" sourceLinked="1"/>
        <c:majorTickMark val="out"/>
        <c:minorTickMark val="none"/>
        <c:tickLblPos val="nextTo"/>
        <c:crossAx val="392333584"/>
        <c:crosses val="autoZero"/>
        <c:auto val="1"/>
        <c:lblAlgn val="ctr"/>
        <c:lblOffset val="100"/>
        <c:noMultiLvlLbl val="0"/>
      </c:catAx>
      <c:valAx>
        <c:axId val="392333584"/>
        <c:scaling>
          <c:orientation val="minMax"/>
        </c:scaling>
        <c:delete val="0"/>
        <c:axPos val="l"/>
        <c:majorGridlines/>
        <c:numFmt formatCode="0.0%" sourceLinked="1"/>
        <c:majorTickMark val="out"/>
        <c:minorTickMark val="none"/>
        <c:tickLblPos val="nextTo"/>
        <c:crossAx val="392333192"/>
        <c:crosses val="autoZero"/>
        <c:crossBetween val="between"/>
      </c:valAx>
    </c:plotArea>
    <c:legend>
      <c:legendPos val="r"/>
      <c:layout>
        <c:manualLayout>
          <c:xMode val="edge"/>
          <c:yMode val="edge"/>
          <c:x val="0.64444444444444449"/>
          <c:y val="8.1414041994750649E-2"/>
          <c:w val="0.33940866747671122"/>
          <c:h val="0.54214240186452567"/>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FromCGE!$I$559</c:f>
              <c:strCache>
                <c:ptCount val="1"/>
                <c:pt idx="0">
                  <c:v>base</c:v>
                </c:pt>
              </c:strCache>
            </c:strRef>
          </c:tx>
          <c:marker>
            <c:symbol val="none"/>
          </c:marker>
          <c:cat>
            <c:strRef>
              <c:f>FromCGE!$B$560:$B$593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FromCGE!$I$560:$I$593</c:f>
              <c:numCache>
                <c:formatCode>0.00000</c:formatCode>
                <c:ptCount val="34"/>
                <c:pt idx="0">
                  <c:v>0.11215628075508476</c:v>
                </c:pt>
                <c:pt idx="1">
                  <c:v>0.11139085537116863</c:v>
                </c:pt>
                <c:pt idx="2">
                  <c:v>0.10995154311530081</c:v>
                </c:pt>
                <c:pt idx="3">
                  <c:v>0.10926525282792897</c:v>
                </c:pt>
                <c:pt idx="4">
                  <c:v>0.10870123357661569</c:v>
                </c:pt>
                <c:pt idx="5">
                  <c:v>0.10853249428313158</c:v>
                </c:pt>
                <c:pt idx="6">
                  <c:v>0.1088039113311788</c:v>
                </c:pt>
                <c:pt idx="7">
                  <c:v>0.1091764826976095</c:v>
                </c:pt>
                <c:pt idx="8">
                  <c:v>0.10927558403550376</c:v>
                </c:pt>
                <c:pt idx="9">
                  <c:v>0.1095002015090305</c:v>
                </c:pt>
                <c:pt idx="10">
                  <c:v>0.10963275333397635</c:v>
                </c:pt>
                <c:pt idx="11">
                  <c:v>0.10998762662806168</c:v>
                </c:pt>
                <c:pt idx="12">
                  <c:v>0.11035947193322726</c:v>
                </c:pt>
                <c:pt idx="13">
                  <c:v>0.11079488707077736</c:v>
                </c:pt>
                <c:pt idx="14">
                  <c:v>0.11136200318740475</c:v>
                </c:pt>
                <c:pt idx="15">
                  <c:v>0.11203397503970934</c:v>
                </c:pt>
                <c:pt idx="16">
                  <c:v>0.11275079597352033</c:v>
                </c:pt>
                <c:pt idx="17">
                  <c:v>0.11346934011778438</c:v>
                </c:pt>
                <c:pt idx="18">
                  <c:v>0.1141983859765303</c:v>
                </c:pt>
                <c:pt idx="19">
                  <c:v>0.11487051760282944</c:v>
                </c:pt>
                <c:pt idx="20">
                  <c:v>0.11565315927654793</c:v>
                </c:pt>
                <c:pt idx="21">
                  <c:v>0.11654740635254729</c:v>
                </c:pt>
                <c:pt idx="22">
                  <c:v>0.11751340501784308</c:v>
                </c:pt>
                <c:pt idx="23">
                  <c:v>0.11851183715135416</c:v>
                </c:pt>
                <c:pt idx="24">
                  <c:v>0.11941349273726169</c:v>
                </c:pt>
                <c:pt idx="25">
                  <c:v>0.1202066786562189</c:v>
                </c:pt>
                <c:pt idx="26">
                  <c:v>0.12097483115186365</c:v>
                </c:pt>
                <c:pt idx="27">
                  <c:v>0.12173243982687709</c:v>
                </c:pt>
                <c:pt idx="28">
                  <c:v>0.12253812194646392</c:v>
                </c:pt>
                <c:pt idx="29">
                  <c:v>0.12340344342013118</c:v>
                </c:pt>
                <c:pt idx="30">
                  <c:v>0.12435429065443965</c:v>
                </c:pt>
                <c:pt idx="31">
                  <c:v>0.12530473334761888</c:v>
                </c:pt>
                <c:pt idx="32">
                  <c:v>0.12625496058991256</c:v>
                </c:pt>
                <c:pt idx="33">
                  <c:v>0.12730516677749443</c:v>
                </c:pt>
              </c:numCache>
            </c:numRef>
          </c:val>
          <c:smooth val="0"/>
        </c:ser>
        <c:ser>
          <c:idx val="1"/>
          <c:order val="1"/>
          <c:tx>
            <c:strRef>
              <c:f>FromCGE!$J$559</c:f>
              <c:strCache>
                <c:ptCount val="1"/>
                <c:pt idx="0">
                  <c:v>sim1</c:v>
                </c:pt>
              </c:strCache>
            </c:strRef>
          </c:tx>
          <c:marker>
            <c:symbol val="none"/>
          </c:marker>
          <c:cat>
            <c:strRef>
              <c:f>FromCGE!$B$560:$B$593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FromCGE!$J$560:$J$593</c:f>
              <c:numCache>
                <c:formatCode>0.00000</c:formatCode>
                <c:ptCount val="34"/>
                <c:pt idx="0">
                  <c:v>0.11215628075508476</c:v>
                </c:pt>
                <c:pt idx="1">
                  <c:v>0.11139085537140775</c:v>
                </c:pt>
                <c:pt idx="2">
                  <c:v>0.10994079207717344</c:v>
                </c:pt>
                <c:pt idx="3">
                  <c:v>0.1092433672925483</c:v>
                </c:pt>
                <c:pt idx="4">
                  <c:v>0.10866925330085578</c:v>
                </c:pt>
                <c:pt idx="5">
                  <c:v>0.10848960791430286</c:v>
                </c:pt>
                <c:pt idx="6">
                  <c:v>0.10875170924155951</c:v>
                </c:pt>
                <c:pt idx="7">
                  <c:v>0.10886354883658708</c:v>
                </c:pt>
                <c:pt idx="8">
                  <c:v>0.1097409372112096</c:v>
                </c:pt>
                <c:pt idx="9">
                  <c:v>0.11087973304880661</c:v>
                </c:pt>
                <c:pt idx="10">
                  <c:v>0.11231542455172626</c:v>
                </c:pt>
                <c:pt idx="11">
                  <c:v>0.11416217744723288</c:v>
                </c:pt>
                <c:pt idx="12">
                  <c:v>0.11633484521224109</c:v>
                </c:pt>
                <c:pt idx="13">
                  <c:v>0.11866963084055024</c:v>
                </c:pt>
                <c:pt idx="14">
                  <c:v>0.12137056474068872</c:v>
                </c:pt>
                <c:pt idx="15">
                  <c:v>0.12436215984926703</c:v>
                </c:pt>
                <c:pt idx="16">
                  <c:v>0.12771222032133522</c:v>
                </c:pt>
                <c:pt idx="17">
                  <c:v>0.13129747143306314</c:v>
                </c:pt>
                <c:pt idx="18">
                  <c:v>0.13514180414848329</c:v>
                </c:pt>
                <c:pt idx="19">
                  <c:v>0.13911259377492186</c:v>
                </c:pt>
                <c:pt idx="20">
                  <c:v>0.1432215231337621</c:v>
                </c:pt>
                <c:pt idx="21">
                  <c:v>0.14735189944871099</c:v>
                </c:pt>
                <c:pt idx="22">
                  <c:v>0.15131384249680371</c:v>
                </c:pt>
                <c:pt idx="23">
                  <c:v>0.15532994693992033</c:v>
                </c:pt>
                <c:pt idx="24">
                  <c:v>0.15946689365686204</c:v>
                </c:pt>
                <c:pt idx="25">
                  <c:v>0.1637644313949512</c:v>
                </c:pt>
                <c:pt idx="26">
                  <c:v>0.16824270087983101</c:v>
                </c:pt>
                <c:pt idx="27">
                  <c:v>0.17239842264870309</c:v>
                </c:pt>
                <c:pt idx="28">
                  <c:v>0.1765423052753009</c:v>
                </c:pt>
                <c:pt idx="29">
                  <c:v>0.18072735670592779</c:v>
                </c:pt>
                <c:pt idx="30">
                  <c:v>0.18502448883483261</c:v>
                </c:pt>
                <c:pt idx="31">
                  <c:v>0.18937489810595309</c:v>
                </c:pt>
                <c:pt idx="32">
                  <c:v>0.19381739662234035</c:v>
                </c:pt>
                <c:pt idx="33">
                  <c:v>0.19836774769713977</c:v>
                </c:pt>
              </c:numCache>
            </c:numRef>
          </c:val>
          <c:smooth val="0"/>
        </c:ser>
        <c:ser>
          <c:idx val="2"/>
          <c:order val="2"/>
          <c:tx>
            <c:strRef>
              <c:f>FromCGE!$K$559</c:f>
              <c:strCache>
                <c:ptCount val="1"/>
                <c:pt idx="0">
                  <c:v>sim2</c:v>
                </c:pt>
              </c:strCache>
            </c:strRef>
          </c:tx>
          <c:marker>
            <c:symbol val="none"/>
          </c:marker>
          <c:cat>
            <c:strRef>
              <c:f>FromCGE!$B$560:$B$593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FromCGE!$K$560:$K$593</c:f>
              <c:numCache>
                <c:formatCode>0.00000</c:formatCode>
                <c:ptCount val="34"/>
                <c:pt idx="0">
                  <c:v>0.11215628075508476</c:v>
                </c:pt>
                <c:pt idx="1">
                  <c:v>0.11139085537138703</c:v>
                </c:pt>
                <c:pt idx="2">
                  <c:v>0.10993464695804141</c:v>
                </c:pt>
                <c:pt idx="3">
                  <c:v>0.10923099478585896</c:v>
                </c:pt>
                <c:pt idx="4">
                  <c:v>0.10865124172929838</c:v>
                </c:pt>
                <c:pt idx="5">
                  <c:v>0.10847726993999153</c:v>
                </c:pt>
                <c:pt idx="6">
                  <c:v>0.10872334147008907</c:v>
                </c:pt>
                <c:pt idx="7">
                  <c:v>0.10902369470946985</c:v>
                </c:pt>
                <c:pt idx="8">
                  <c:v>0.11023301787499186</c:v>
                </c:pt>
                <c:pt idx="9">
                  <c:v>0.11184342628071998</c:v>
                </c:pt>
                <c:pt idx="10">
                  <c:v>0.11392927598557283</c:v>
                </c:pt>
                <c:pt idx="11">
                  <c:v>0.11671629457514028</c:v>
                </c:pt>
                <c:pt idx="12">
                  <c:v>0.12002170863050113</c:v>
                </c:pt>
                <c:pt idx="13">
                  <c:v>0.12307772159326859</c:v>
                </c:pt>
                <c:pt idx="14">
                  <c:v>0.12690208449306942</c:v>
                </c:pt>
                <c:pt idx="15">
                  <c:v>0.131145922009855</c:v>
                </c:pt>
                <c:pt idx="16">
                  <c:v>0.13587784778225689</c:v>
                </c:pt>
                <c:pt idx="17">
                  <c:v>0.1408106200395664</c:v>
                </c:pt>
                <c:pt idx="18">
                  <c:v>0.14612794869841106</c:v>
                </c:pt>
                <c:pt idx="19">
                  <c:v>0.15176039619389781</c:v>
                </c:pt>
                <c:pt idx="20">
                  <c:v>0.15772987274303329</c:v>
                </c:pt>
                <c:pt idx="21">
                  <c:v>0.16398018497514413</c:v>
                </c:pt>
                <c:pt idx="22">
                  <c:v>0.16958691804134141</c:v>
                </c:pt>
                <c:pt idx="23">
                  <c:v>0.17502853690985548</c:v>
                </c:pt>
                <c:pt idx="24">
                  <c:v>0.18076326177069504</c:v>
                </c:pt>
                <c:pt idx="25">
                  <c:v>0.18683431680911933</c:v>
                </c:pt>
                <c:pt idx="26">
                  <c:v>0.19316808446131462</c:v>
                </c:pt>
                <c:pt idx="27">
                  <c:v>0.19820805225720095</c:v>
                </c:pt>
                <c:pt idx="28">
                  <c:v>0.2028978045852719</c:v>
                </c:pt>
                <c:pt idx="29">
                  <c:v>0.20761846536543382</c:v>
                </c:pt>
                <c:pt idx="30">
                  <c:v>0.2124057606143992</c:v>
                </c:pt>
                <c:pt idx="31">
                  <c:v>0.21720551170146887</c:v>
                </c:pt>
                <c:pt idx="32">
                  <c:v>0.22202870848724457</c:v>
                </c:pt>
                <c:pt idx="33">
                  <c:v>0.22690071229319703</c:v>
                </c:pt>
              </c:numCache>
            </c:numRef>
          </c:val>
          <c:smooth val="0"/>
        </c:ser>
        <c:ser>
          <c:idx val="3"/>
          <c:order val="3"/>
          <c:tx>
            <c:strRef>
              <c:f>FromCGE!$L$559</c:f>
              <c:strCache>
                <c:ptCount val="1"/>
                <c:pt idx="0">
                  <c:v>sim3</c:v>
                </c:pt>
              </c:strCache>
            </c:strRef>
          </c:tx>
          <c:marker>
            <c:symbol val="none"/>
          </c:marker>
          <c:cat>
            <c:strRef>
              <c:f>FromCGE!$B$560:$B$593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FromCGE!$L$560:$L$593</c:f>
              <c:numCache>
                <c:formatCode>0.00000</c:formatCode>
                <c:ptCount val="34"/>
                <c:pt idx="0">
                  <c:v>0.11215628075508476</c:v>
                </c:pt>
                <c:pt idx="1">
                  <c:v>0.11139085537140184</c:v>
                </c:pt>
                <c:pt idx="2">
                  <c:v>0.10994938735021778</c:v>
                </c:pt>
                <c:pt idx="3">
                  <c:v>0.10926084079761496</c:v>
                </c:pt>
                <c:pt idx="4">
                  <c:v>0.1086947740134572</c:v>
                </c:pt>
                <c:pt idx="5">
                  <c:v>0.10853562112929631</c:v>
                </c:pt>
                <c:pt idx="6">
                  <c:v>0.10879431888028168</c:v>
                </c:pt>
                <c:pt idx="7">
                  <c:v>0.10896774239800652</c:v>
                </c:pt>
                <c:pt idx="8">
                  <c:v>0.1093120325792092</c:v>
                </c:pt>
                <c:pt idx="9">
                  <c:v>0.10982769519084301</c:v>
                </c:pt>
                <c:pt idx="10">
                  <c:v>0.11040950888541919</c:v>
                </c:pt>
                <c:pt idx="11">
                  <c:v>0.11126292344835617</c:v>
                </c:pt>
                <c:pt idx="12">
                  <c:v>0.11228747399268045</c:v>
                </c:pt>
                <c:pt idx="13">
                  <c:v>0.11337272302625385</c:v>
                </c:pt>
                <c:pt idx="14">
                  <c:v>0.11456753577724063</c:v>
                </c:pt>
                <c:pt idx="15">
                  <c:v>0.11586857176247672</c:v>
                </c:pt>
                <c:pt idx="16">
                  <c:v>0.1172807700851974</c:v>
                </c:pt>
                <c:pt idx="17">
                  <c:v>0.11873316673923855</c:v>
                </c:pt>
                <c:pt idx="18">
                  <c:v>0.12024082400519787</c:v>
                </c:pt>
                <c:pt idx="19">
                  <c:v>0.12187678825263147</c:v>
                </c:pt>
                <c:pt idx="20">
                  <c:v>0.12361076596242515</c:v>
                </c:pt>
                <c:pt idx="21">
                  <c:v>0.12545017664877811</c:v>
                </c:pt>
                <c:pt idx="22">
                  <c:v>0.12679980651698275</c:v>
                </c:pt>
                <c:pt idx="23">
                  <c:v>0.12804908602084722</c:v>
                </c:pt>
                <c:pt idx="24">
                  <c:v>0.12924125587058663</c:v>
                </c:pt>
                <c:pt idx="25">
                  <c:v>0.13044837232113629</c:v>
                </c:pt>
                <c:pt idx="26">
                  <c:v>0.13170140352804441</c:v>
                </c:pt>
                <c:pt idx="27">
                  <c:v>0.13278409579048017</c:v>
                </c:pt>
                <c:pt idx="28">
                  <c:v>0.13387452775997499</c:v>
                </c:pt>
                <c:pt idx="29">
                  <c:v>0.13489929730072808</c:v>
                </c:pt>
                <c:pt idx="30">
                  <c:v>0.13596352937197353</c:v>
                </c:pt>
                <c:pt idx="31">
                  <c:v>0.13700222965664291</c:v>
                </c:pt>
                <c:pt idx="32">
                  <c:v>0.13801930573878363</c:v>
                </c:pt>
                <c:pt idx="33">
                  <c:v>0.13906747977239522</c:v>
                </c:pt>
              </c:numCache>
            </c:numRef>
          </c:val>
          <c:smooth val="0"/>
        </c:ser>
        <c:ser>
          <c:idx val="4"/>
          <c:order val="4"/>
          <c:tx>
            <c:strRef>
              <c:f>FromCGE!$M$559</c:f>
              <c:strCache>
                <c:ptCount val="1"/>
                <c:pt idx="0">
                  <c:v>sim4</c:v>
                </c:pt>
              </c:strCache>
            </c:strRef>
          </c:tx>
          <c:marker>
            <c:symbol val="none"/>
          </c:marker>
          <c:cat>
            <c:strRef>
              <c:f>FromCGE!$B$560:$B$593</c:f>
              <c:strCach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strCache>
            </c:strRef>
          </c:cat>
          <c:val>
            <c:numRef>
              <c:f>FromCGE!$M$560:$M$593</c:f>
              <c:numCache>
                <c:formatCode>0.00000</c:formatCode>
                <c:ptCount val="34"/>
                <c:pt idx="0">
                  <c:v>0.11215628075508476</c:v>
                </c:pt>
                <c:pt idx="1">
                  <c:v>0.11139085539873195</c:v>
                </c:pt>
                <c:pt idx="2">
                  <c:v>0.10993912657491618</c:v>
                </c:pt>
                <c:pt idx="3">
                  <c:v>0.10924000410448419</c:v>
                </c:pt>
                <c:pt idx="4">
                  <c:v>0.10866435246806641</c:v>
                </c:pt>
                <c:pt idx="5">
                  <c:v>0.10848304344654336</c:v>
                </c:pt>
                <c:pt idx="6">
                  <c:v>0.10874372217445219</c:v>
                </c:pt>
                <c:pt idx="7">
                  <c:v>0.10901404754869035</c:v>
                </c:pt>
                <c:pt idx="8">
                  <c:v>0.11012749788803659</c:v>
                </c:pt>
                <c:pt idx="9">
                  <c:v>0.11162198485251573</c:v>
                </c:pt>
                <c:pt idx="10">
                  <c:v>0.11353105194099744</c:v>
                </c:pt>
                <c:pt idx="11">
                  <c:v>0.11607120155063032</c:v>
                </c:pt>
                <c:pt idx="12">
                  <c:v>0.11914886449546759</c:v>
                </c:pt>
                <c:pt idx="13">
                  <c:v>0.12210638502384039</c:v>
                </c:pt>
                <c:pt idx="14">
                  <c:v>0.12550682025364748</c:v>
                </c:pt>
                <c:pt idx="15">
                  <c:v>0.12932508871821874</c:v>
                </c:pt>
                <c:pt idx="16">
                  <c:v>0.13352398407438865</c:v>
                </c:pt>
                <c:pt idx="17">
                  <c:v>0.13776740810157018</c:v>
                </c:pt>
                <c:pt idx="18">
                  <c:v>0.14211690087302256</c:v>
                </c:pt>
                <c:pt idx="19">
                  <c:v>0.14673022863152843</c:v>
                </c:pt>
                <c:pt idx="20">
                  <c:v>0.15155581093142015</c:v>
                </c:pt>
                <c:pt idx="21">
                  <c:v>0.1565391475192365</c:v>
                </c:pt>
                <c:pt idx="22">
                  <c:v>0.16041193544617177</c:v>
                </c:pt>
                <c:pt idx="23">
                  <c:v>0.16382734531267645</c:v>
                </c:pt>
                <c:pt idx="24">
                  <c:v>0.16727242112257604</c:v>
                </c:pt>
                <c:pt idx="25">
                  <c:v>0.17073499391972272</c:v>
                </c:pt>
                <c:pt idx="26">
                  <c:v>0.17419914174842036</c:v>
                </c:pt>
                <c:pt idx="27">
                  <c:v>0.17723455286180925</c:v>
                </c:pt>
                <c:pt idx="28">
                  <c:v>0.18014616305794481</c:v>
                </c:pt>
                <c:pt idx="29">
                  <c:v>0.18300549551090717</c:v>
                </c:pt>
                <c:pt idx="30">
                  <c:v>0.18583750259517223</c:v>
                </c:pt>
                <c:pt idx="31">
                  <c:v>0.18861075085587592</c:v>
                </c:pt>
                <c:pt idx="32">
                  <c:v>0.19131247438243448</c:v>
                </c:pt>
                <c:pt idx="33">
                  <c:v>0.19397499349971623</c:v>
                </c:pt>
              </c:numCache>
            </c:numRef>
          </c:val>
          <c:smooth val="0"/>
        </c:ser>
        <c:dLbls>
          <c:showLegendKey val="0"/>
          <c:showVal val="0"/>
          <c:showCatName val="0"/>
          <c:showSerName val="0"/>
          <c:showPercent val="0"/>
          <c:showBubbleSize val="0"/>
        </c:dLbls>
        <c:smooth val="0"/>
        <c:axId val="395878168"/>
        <c:axId val="395878560"/>
      </c:lineChart>
      <c:catAx>
        <c:axId val="395878168"/>
        <c:scaling>
          <c:orientation val="minMax"/>
        </c:scaling>
        <c:delete val="0"/>
        <c:axPos val="b"/>
        <c:numFmt formatCode="General" sourceLinked="0"/>
        <c:majorTickMark val="out"/>
        <c:minorTickMark val="none"/>
        <c:tickLblPos val="nextTo"/>
        <c:crossAx val="395878560"/>
        <c:crosses val="autoZero"/>
        <c:auto val="1"/>
        <c:lblAlgn val="ctr"/>
        <c:lblOffset val="100"/>
        <c:noMultiLvlLbl val="0"/>
      </c:catAx>
      <c:valAx>
        <c:axId val="395878560"/>
        <c:scaling>
          <c:orientation val="minMax"/>
        </c:scaling>
        <c:delete val="0"/>
        <c:axPos val="l"/>
        <c:majorGridlines/>
        <c:numFmt formatCode="0.00000" sourceLinked="1"/>
        <c:majorTickMark val="out"/>
        <c:minorTickMark val="none"/>
        <c:tickLblPos val="nextTo"/>
        <c:crossAx val="395878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70491027677335"/>
          <c:y val="4.9344531933508309E-2"/>
          <c:w val="0.55501898099647418"/>
          <c:h val="0.80342607174103242"/>
        </c:manualLayout>
      </c:layout>
      <c:lineChart>
        <c:grouping val="standard"/>
        <c:varyColors val="0"/>
        <c:ser>
          <c:idx val="1"/>
          <c:order val="0"/>
          <c:tx>
            <c:strRef>
              <c:f>FromCGE!$K$11</c:f>
              <c:strCache>
                <c:ptCount val="1"/>
                <c:pt idx="0">
                  <c:v>SO Moderate</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FromCGE!$K$14:$K$44</c:f>
              <c:numCache>
                <c:formatCode>0.0%</c:formatCode>
                <c:ptCount val="31"/>
                <c:pt idx="0">
                  <c:v>2.2980293307542921E-2</c:v>
                </c:pt>
                <c:pt idx="1">
                  <c:v>2.2671804426307673E-2</c:v>
                </c:pt>
                <c:pt idx="2">
                  <c:v>2.2162533571458809E-2</c:v>
                </c:pt>
                <c:pt idx="3">
                  <c:v>2.1260576137831277E-2</c:v>
                </c:pt>
                <c:pt idx="4">
                  <c:v>5.8909799193313184E-2</c:v>
                </c:pt>
                <c:pt idx="5">
                  <c:v>6.0955032121783326E-2</c:v>
                </c:pt>
                <c:pt idx="6">
                  <c:v>6.3281035426294929E-2</c:v>
                </c:pt>
                <c:pt idx="7">
                  <c:v>6.4905711274546363E-2</c:v>
                </c:pt>
                <c:pt idx="8">
                  <c:v>6.5605508173538052E-2</c:v>
                </c:pt>
                <c:pt idx="9">
                  <c:v>6.6366715264549514E-2</c:v>
                </c:pt>
                <c:pt idx="10">
                  <c:v>5.4964869186750143E-2</c:v>
                </c:pt>
                <c:pt idx="11">
                  <c:v>5.7788215811862553E-2</c:v>
                </c:pt>
                <c:pt idx="12">
                  <c:v>5.893623096261158E-2</c:v>
                </c:pt>
                <c:pt idx="13">
                  <c:v>5.9177827251163162E-2</c:v>
                </c:pt>
                <c:pt idx="14">
                  <c:v>5.6907451114776908E-2</c:v>
                </c:pt>
                <c:pt idx="15">
                  <c:v>5.7611709094418151E-2</c:v>
                </c:pt>
                <c:pt idx="16">
                  <c:v>5.9354415998225107E-2</c:v>
                </c:pt>
                <c:pt idx="17">
                  <c:v>6.1045108167118389E-2</c:v>
                </c:pt>
                <c:pt idx="18">
                  <c:v>6.2537467275585623E-2</c:v>
                </c:pt>
                <c:pt idx="19">
                  <c:v>5.0068397928029418E-2</c:v>
                </c:pt>
                <c:pt idx="20">
                  <c:v>5.0117683274757852E-2</c:v>
                </c:pt>
                <c:pt idx="21">
                  <c:v>5.037085261617924E-2</c:v>
                </c:pt>
                <c:pt idx="22">
                  <c:v>5.0495810777831052E-2</c:v>
                </c:pt>
                <c:pt idx="23">
                  <c:v>5.0971275350656597E-2</c:v>
                </c:pt>
                <c:pt idx="24">
                  <c:v>3.8398768847695441E-2</c:v>
                </c:pt>
                <c:pt idx="25">
                  <c:v>3.7734425376874103E-2</c:v>
                </c:pt>
                <c:pt idx="26">
                  <c:v>3.7317372223361511E-2</c:v>
                </c:pt>
                <c:pt idx="27">
                  <c:v>3.5873865382969994E-2</c:v>
                </c:pt>
                <c:pt idx="28">
                  <c:v>3.5851450689807107E-2</c:v>
                </c:pt>
                <c:pt idx="29">
                  <c:v>3.5267061423635671E-2</c:v>
                </c:pt>
                <c:pt idx="30">
                  <c:v>3.4660040766498756E-2</c:v>
                </c:pt>
              </c:numCache>
            </c:numRef>
          </c:val>
          <c:smooth val="0"/>
        </c:ser>
        <c:ser>
          <c:idx val="2"/>
          <c:order val="1"/>
          <c:tx>
            <c:strRef>
              <c:f>FromCGE!$L$11</c:f>
              <c:strCache>
                <c:ptCount val="1"/>
                <c:pt idx="0">
                  <c:v>Weathering the Storm</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FromCGE!$L$14:$L$44</c:f>
              <c:numCache>
                <c:formatCode>0.0%</c:formatCode>
                <c:ptCount val="31"/>
                <c:pt idx="0">
                  <c:v>2.2978340167709055E-2</c:v>
                </c:pt>
                <c:pt idx="1">
                  <c:v>2.2665270019816441E-2</c:v>
                </c:pt>
                <c:pt idx="2">
                  <c:v>2.2153404933884069E-2</c:v>
                </c:pt>
                <c:pt idx="3">
                  <c:v>2.124739940227327E-2</c:v>
                </c:pt>
                <c:pt idx="4">
                  <c:v>3.3738303737689934E-2</c:v>
                </c:pt>
                <c:pt idx="5">
                  <c:v>3.4676827241986174E-2</c:v>
                </c:pt>
                <c:pt idx="6">
                  <c:v>3.6094483526073917E-2</c:v>
                </c:pt>
                <c:pt idx="7">
                  <c:v>3.668985980482331E-2</c:v>
                </c:pt>
                <c:pt idx="8">
                  <c:v>3.7304814735081182E-2</c:v>
                </c:pt>
                <c:pt idx="9">
                  <c:v>3.7366898437539708E-2</c:v>
                </c:pt>
                <c:pt idx="10">
                  <c:v>3.2294161152954137E-2</c:v>
                </c:pt>
                <c:pt idx="11">
                  <c:v>3.192918870268735E-2</c:v>
                </c:pt>
                <c:pt idx="12">
                  <c:v>3.2166166357668224E-2</c:v>
                </c:pt>
                <c:pt idx="13">
                  <c:v>3.1848147911011981E-2</c:v>
                </c:pt>
                <c:pt idx="14">
                  <c:v>3.0587350079207765E-2</c:v>
                </c:pt>
                <c:pt idx="15">
                  <c:v>3.0792909776860222E-2</c:v>
                </c:pt>
                <c:pt idx="16">
                  <c:v>3.0587326734507814E-2</c:v>
                </c:pt>
                <c:pt idx="17">
                  <c:v>3.0209076346961128E-2</c:v>
                </c:pt>
                <c:pt idx="18">
                  <c:v>3.0564123312484481E-2</c:v>
                </c:pt>
                <c:pt idx="19">
                  <c:v>2.3097277732180954E-2</c:v>
                </c:pt>
                <c:pt idx="20">
                  <c:v>2.315871875583575E-2</c:v>
                </c:pt>
                <c:pt idx="21">
                  <c:v>2.3514647701616376E-2</c:v>
                </c:pt>
                <c:pt idx="22">
                  <c:v>2.3527467588843276E-2</c:v>
                </c:pt>
                <c:pt idx="23">
                  <c:v>2.3025073834371801E-2</c:v>
                </c:pt>
                <c:pt idx="24">
                  <c:v>2.0929484255406194E-2</c:v>
                </c:pt>
                <c:pt idx="25">
                  <c:v>2.0764645358043454E-2</c:v>
                </c:pt>
                <c:pt idx="26">
                  <c:v>2.0851129860647521E-2</c:v>
                </c:pt>
                <c:pt idx="27">
                  <c:v>1.960323425852506E-2</c:v>
                </c:pt>
                <c:pt idx="28">
                  <c:v>1.9806852498638783E-2</c:v>
                </c:pt>
                <c:pt idx="29">
                  <c:v>1.9723957555982885E-2</c:v>
                </c:pt>
                <c:pt idx="30">
                  <c:v>1.9284585623083883E-2</c:v>
                </c:pt>
              </c:numCache>
            </c:numRef>
          </c:val>
          <c:smooth val="0"/>
        </c:ser>
        <c:ser>
          <c:idx val="3"/>
          <c:order val="2"/>
          <c:tx>
            <c:strRef>
              <c:f>FromCGE!$M$11</c:f>
              <c:strCache>
                <c:ptCount val="1"/>
                <c:pt idx="0">
                  <c:v>SO Low</c:v>
                </c:pt>
              </c:strCache>
            </c:strRef>
          </c:tx>
          <c:marker>
            <c:symbol val="none"/>
          </c:marker>
          <c:cat>
            <c:numRef>
              <c:f>FromCGE!$I$14:$I$44</c:f>
              <c:numCache>
                <c:formatCode>General</c:formatCode>
                <c:ptCount val="3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numCache>
            </c:numRef>
          </c:cat>
          <c:val>
            <c:numRef>
              <c:f>FromCGE!$M$14:$M$44</c:f>
              <c:numCache>
                <c:formatCode>0.0%</c:formatCode>
                <c:ptCount val="31"/>
                <c:pt idx="0">
                  <c:v>2.2979741294057776E-2</c:v>
                </c:pt>
                <c:pt idx="1">
                  <c:v>2.2669867795249488E-2</c:v>
                </c:pt>
                <c:pt idx="2">
                  <c:v>2.2175481317884715E-2</c:v>
                </c:pt>
                <c:pt idx="3">
                  <c:v>2.1243535872365049E-2</c:v>
                </c:pt>
                <c:pt idx="4">
                  <c:v>5.5741274213288117E-2</c:v>
                </c:pt>
                <c:pt idx="5">
                  <c:v>5.7613093567548068E-2</c:v>
                </c:pt>
                <c:pt idx="6">
                  <c:v>5.9791720722923936E-2</c:v>
                </c:pt>
                <c:pt idx="7">
                  <c:v>6.1369832869923924E-2</c:v>
                </c:pt>
                <c:pt idx="8">
                  <c:v>6.2139806849922596E-2</c:v>
                </c:pt>
                <c:pt idx="9">
                  <c:v>6.3023173449907821E-2</c:v>
                </c:pt>
                <c:pt idx="10">
                  <c:v>5.3714757567859373E-2</c:v>
                </c:pt>
                <c:pt idx="11">
                  <c:v>5.3499395334500877E-2</c:v>
                </c:pt>
                <c:pt idx="12">
                  <c:v>5.4172222972405981E-2</c:v>
                </c:pt>
                <c:pt idx="13">
                  <c:v>5.4384762005476928E-2</c:v>
                </c:pt>
                <c:pt idx="14">
                  <c:v>4.8689391021781381E-2</c:v>
                </c:pt>
                <c:pt idx="15">
                  <c:v>4.9329881457766511E-2</c:v>
                </c:pt>
                <c:pt idx="16">
                  <c:v>5.0271598361119274E-2</c:v>
                </c:pt>
                <c:pt idx="17">
                  <c:v>5.1589816304207226E-2</c:v>
                </c:pt>
                <c:pt idx="18">
                  <c:v>5.2505819119951669E-2</c:v>
                </c:pt>
                <c:pt idx="19">
                  <c:v>3.4352768116158394E-2</c:v>
                </c:pt>
                <c:pt idx="20">
                  <c:v>3.3962834417222254E-2</c:v>
                </c:pt>
                <c:pt idx="21">
                  <c:v>3.3945895932823822E-2</c:v>
                </c:pt>
                <c:pt idx="22">
                  <c:v>3.3714315223603686E-2</c:v>
                </c:pt>
                <c:pt idx="23">
                  <c:v>3.3550294696017113E-2</c:v>
                </c:pt>
                <c:pt idx="24">
                  <c:v>2.9060429641595498E-2</c:v>
                </c:pt>
                <c:pt idx="25">
                  <c:v>2.8281928925921296E-2</c:v>
                </c:pt>
                <c:pt idx="26">
                  <c:v>2.7544553477673706E-2</c:v>
                </c:pt>
                <c:pt idx="27">
                  <c:v>2.6001653146278558E-2</c:v>
                </c:pt>
                <c:pt idx="28">
                  <c:v>2.5939339248448157E-2</c:v>
                </c:pt>
                <c:pt idx="29">
                  <c:v>2.5170062811973759E-2</c:v>
                </c:pt>
                <c:pt idx="30">
                  <c:v>2.4342321340319106E-2</c:v>
                </c:pt>
              </c:numCache>
            </c:numRef>
          </c:val>
          <c:smooth val="0"/>
        </c:ser>
        <c:dLbls>
          <c:showLegendKey val="0"/>
          <c:showVal val="0"/>
          <c:showCatName val="0"/>
          <c:showSerName val="0"/>
          <c:showPercent val="0"/>
          <c:showBubbleSize val="0"/>
        </c:dLbls>
        <c:smooth val="0"/>
        <c:axId val="395879344"/>
        <c:axId val="395879736"/>
      </c:lineChart>
      <c:catAx>
        <c:axId val="395879344"/>
        <c:scaling>
          <c:orientation val="minMax"/>
        </c:scaling>
        <c:delete val="0"/>
        <c:axPos val="b"/>
        <c:numFmt formatCode="General" sourceLinked="1"/>
        <c:majorTickMark val="out"/>
        <c:minorTickMark val="none"/>
        <c:tickLblPos val="nextTo"/>
        <c:crossAx val="395879736"/>
        <c:crosses val="autoZero"/>
        <c:auto val="1"/>
        <c:lblAlgn val="ctr"/>
        <c:lblOffset val="100"/>
        <c:noMultiLvlLbl val="0"/>
      </c:catAx>
      <c:valAx>
        <c:axId val="395879736"/>
        <c:scaling>
          <c:orientation val="minMax"/>
        </c:scaling>
        <c:delete val="0"/>
        <c:axPos val="l"/>
        <c:majorGridlines/>
        <c:title>
          <c:tx>
            <c:rich>
              <a:bodyPr rot="-5400000" vert="horz"/>
              <a:lstStyle/>
              <a:p>
                <a:pPr>
                  <a:defRPr sz="1100"/>
                </a:pPr>
                <a:r>
                  <a:rPr lang="en-ZA" sz="1100"/>
                  <a:t>GDP</a:t>
                </a:r>
                <a:r>
                  <a:rPr lang="en-ZA" sz="1100" baseline="0"/>
                  <a:t> Growth Rate</a:t>
                </a:r>
                <a:endParaRPr lang="en-ZA" sz="1100"/>
              </a:p>
            </c:rich>
          </c:tx>
          <c:layout>
            <c:manualLayout>
              <c:xMode val="edge"/>
              <c:yMode val="edge"/>
              <c:x val="8.5836909871244635E-3"/>
              <c:y val="0.27514645669291338"/>
            </c:manualLayout>
          </c:layout>
          <c:overlay val="0"/>
        </c:title>
        <c:numFmt formatCode="0.0%" sourceLinked="1"/>
        <c:majorTickMark val="out"/>
        <c:minorTickMark val="none"/>
        <c:tickLblPos val="nextTo"/>
        <c:crossAx val="395879344"/>
        <c:crosses val="autoZero"/>
        <c:crossBetween val="between"/>
      </c:valAx>
    </c:plotArea>
    <c:legend>
      <c:legendPos val="r"/>
      <c:layout>
        <c:manualLayout>
          <c:xMode val="edge"/>
          <c:yMode val="edge"/>
          <c:x val="0.70958512160228904"/>
          <c:y val="0.25500262467191603"/>
          <c:w val="0.27324749642346208"/>
          <c:h val="0.40554995625546808"/>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'Non-Energy Water Demand'!$A$63:$A$70</c:f>
              <c:strCache>
                <c:ptCount val="1"/>
                <c:pt idx="0">
                  <c:v>Table 10 Orange River System demand</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forward val="20"/>
            <c:backward val="4"/>
            <c:dispRSqr val="1"/>
            <c:dispEq val="1"/>
            <c:trendlineLbl>
              <c:layout>
                <c:manualLayout>
                  <c:x val="-6.7281641813919147E-4"/>
                  <c:y val="0.2114821697021552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'Non-Energy Water Demand'!$F$25:$K$25</c:f>
              <c:numCache>
                <c:formatCode>General</c:formatCode>
                <c:ptCount val="6"/>
                <c:pt idx="0">
                  <c:v>2012</c:v>
                </c:pt>
                <c:pt idx="1">
                  <c:v>2013</c:v>
                </c:pt>
                <c:pt idx="2">
                  <c:v>2014</c:v>
                </c:pt>
                <c:pt idx="3">
                  <c:v>2015</c:v>
                </c:pt>
                <c:pt idx="4">
                  <c:v>2020</c:v>
                </c:pt>
                <c:pt idx="5">
                  <c:v>2025</c:v>
                </c:pt>
              </c:numCache>
            </c:numRef>
          </c:xVal>
          <c:yVal>
            <c:numRef>
              <c:f>'Non-Energy Water Demand'!$F$70:$K$70</c:f>
              <c:numCache>
                <c:formatCode>#,##0</c:formatCode>
                <c:ptCount val="6"/>
                <c:pt idx="0">
                  <c:v>3626.5</c:v>
                </c:pt>
                <c:pt idx="3">
                  <c:v>3799.5</c:v>
                </c:pt>
                <c:pt idx="4">
                  <c:v>3917.5</c:v>
                </c:pt>
                <c:pt idx="5">
                  <c:v>4024.5</c:v>
                </c:pt>
              </c:numCache>
            </c:numRef>
          </c:yVal>
          <c:smooth val="0"/>
        </c:ser>
        <c:dLbls>
          <c:showLegendKey val="0"/>
          <c:showVal val="0"/>
          <c:showCatName val="0"/>
          <c:showSerName val="0"/>
          <c:showPercent val="0"/>
          <c:showBubbleSize val="0"/>
        </c:dLbls>
        <c:axId val="395880520"/>
        <c:axId val="395880912"/>
      </c:scatterChart>
      <c:valAx>
        <c:axId val="395880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880912"/>
        <c:crosses val="autoZero"/>
        <c:crossBetween val="midCat"/>
      </c:valAx>
      <c:valAx>
        <c:axId val="39588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8805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'Non-Energy Water Demand'!$A$36:$A$47</c:f>
              <c:strCache>
                <c:ptCount val="1"/>
                <c:pt idx="0">
                  <c:v>Table 8 Summary of water requirement for Vaal system</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forward val="20"/>
            <c:backward val="4"/>
            <c:dispRSqr val="1"/>
            <c:dispEq val="1"/>
            <c:trendlineLbl>
              <c:layout>
                <c:manualLayout>
                  <c:x val="-6.7281641813919147E-4"/>
                  <c:y val="0.2114821697021552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'Non-Energy Water Demand'!$D$25:$L$25</c:f>
              <c:numCache>
                <c:formatCode>General</c:formatCode>
                <c:ptCount val="9"/>
                <c:pt idx="0">
                  <c:v>2010</c:v>
                </c:pt>
                <c:pt idx="1">
                  <c:v>2011</c:v>
                </c:pt>
                <c:pt idx="2">
                  <c:v>2012</c:v>
                </c:pt>
                <c:pt idx="3">
                  <c:v>2013</c:v>
                </c:pt>
                <c:pt idx="4">
                  <c:v>2014</c:v>
                </c:pt>
                <c:pt idx="5">
                  <c:v>2015</c:v>
                </c:pt>
                <c:pt idx="6">
                  <c:v>2020</c:v>
                </c:pt>
                <c:pt idx="7">
                  <c:v>2025</c:v>
                </c:pt>
                <c:pt idx="8">
                  <c:v>2030</c:v>
                </c:pt>
              </c:numCache>
            </c:numRef>
          </c:xVal>
          <c:yVal>
            <c:numRef>
              <c:f>'Non-Energy Water Demand'!$D$47:$L$47</c:f>
              <c:numCache>
                <c:formatCode>General</c:formatCode>
                <c:ptCount val="9"/>
                <c:pt idx="0">
                  <c:v>2762</c:v>
                </c:pt>
                <c:pt idx="5">
                  <c:v>2749</c:v>
                </c:pt>
                <c:pt idx="6">
                  <c:v>2816</c:v>
                </c:pt>
                <c:pt idx="7">
                  <c:v>2908</c:v>
                </c:pt>
                <c:pt idx="8">
                  <c:v>3012</c:v>
                </c:pt>
              </c:numCache>
            </c:numRef>
          </c:yVal>
          <c:smooth val="0"/>
        </c:ser>
        <c:dLbls>
          <c:showLegendKey val="0"/>
          <c:showVal val="0"/>
          <c:showCatName val="0"/>
          <c:showSerName val="0"/>
          <c:showPercent val="0"/>
          <c:showBubbleSize val="0"/>
        </c:dLbls>
        <c:axId val="395881696"/>
        <c:axId val="394841776"/>
      </c:scatterChart>
      <c:valAx>
        <c:axId val="3958816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841776"/>
        <c:crosses val="autoZero"/>
        <c:crossBetween val="midCat"/>
      </c:valAx>
      <c:valAx>
        <c:axId val="394841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8816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'Non-Energy Water Demand'!$A$26:$A$35</c:f>
              <c:strCache>
                <c:ptCount val="1"/>
                <c:pt idx="0">
                  <c:v>Table 9 Lephalale water requirements per major user group</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forward val="20"/>
            <c:dispRSqr val="1"/>
            <c:dispEq val="1"/>
            <c:trendlineLbl>
              <c:layout>
                <c:manualLayout>
                  <c:x val="-6.7281641813919147E-4"/>
                  <c:y val="0.2114821697021552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'Non-Energy Water Demand'!$J$25:$L$25</c:f>
              <c:numCache>
                <c:formatCode>General</c:formatCode>
                <c:ptCount val="3"/>
                <c:pt idx="0">
                  <c:v>2020</c:v>
                </c:pt>
                <c:pt idx="1">
                  <c:v>2025</c:v>
                </c:pt>
                <c:pt idx="2">
                  <c:v>2030</c:v>
                </c:pt>
              </c:numCache>
            </c:numRef>
          </c:xVal>
          <c:yVal>
            <c:numRef>
              <c:f>'Non-Energy Water Demand'!$J$35:$L$35</c:f>
              <c:numCache>
                <c:formatCode>General</c:formatCode>
                <c:ptCount val="3"/>
                <c:pt idx="0">
                  <c:v>40.299999999999997</c:v>
                </c:pt>
                <c:pt idx="1">
                  <c:v>40.6</c:v>
                </c:pt>
                <c:pt idx="2">
                  <c:v>43.6</c:v>
                </c:pt>
              </c:numCache>
            </c:numRef>
          </c:yVal>
          <c:smooth val="0"/>
        </c:ser>
        <c:dLbls>
          <c:showLegendKey val="0"/>
          <c:showVal val="0"/>
          <c:showCatName val="0"/>
          <c:showSerName val="0"/>
          <c:showPercent val="0"/>
          <c:showBubbleSize val="0"/>
        </c:dLbls>
        <c:axId val="394842560"/>
        <c:axId val="394842952"/>
      </c:scatterChart>
      <c:valAx>
        <c:axId val="394842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842952"/>
        <c:crosses val="autoZero"/>
        <c:crossBetween val="midCat"/>
      </c:valAx>
      <c:valAx>
        <c:axId val="394842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8425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'Non-Energy Water Demand'!$A$26:$A$35</c:f>
              <c:strCache>
                <c:ptCount val="1"/>
                <c:pt idx="0">
                  <c:v>Table 9 Lephalale water requirements per major user group</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backward val="3"/>
            <c:dispRSqr val="1"/>
            <c:dispEq val="1"/>
            <c:trendlineLbl>
              <c:layout>
                <c:manualLayout>
                  <c:x val="-2.1301411955549744E-3"/>
                  <c:y val="0.15138278893768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'Non-Energy Water Demand'!$C$25:$E$25</c:f>
              <c:numCache>
                <c:formatCode>General</c:formatCode>
                <c:ptCount val="3"/>
                <c:pt idx="0">
                  <c:v>2009</c:v>
                </c:pt>
                <c:pt idx="1">
                  <c:v>2010</c:v>
                </c:pt>
                <c:pt idx="2">
                  <c:v>2011</c:v>
                </c:pt>
              </c:numCache>
            </c:numRef>
          </c:xVal>
          <c:yVal>
            <c:numRef>
              <c:f>'Non-Energy Water Demand'!$C$35:$E$35</c:f>
              <c:numCache>
                <c:formatCode>General</c:formatCode>
                <c:ptCount val="3"/>
                <c:pt idx="0">
                  <c:v>16</c:v>
                </c:pt>
                <c:pt idx="1">
                  <c:v>16.3</c:v>
                </c:pt>
                <c:pt idx="2">
                  <c:v>18.100000000000001</c:v>
                </c:pt>
              </c:numCache>
            </c:numRef>
          </c:yVal>
          <c:smooth val="0"/>
        </c:ser>
        <c:dLbls>
          <c:showLegendKey val="0"/>
          <c:showVal val="0"/>
          <c:showCatName val="0"/>
          <c:showSerName val="0"/>
          <c:showPercent val="0"/>
          <c:showBubbleSize val="0"/>
        </c:dLbls>
        <c:axId val="394843736"/>
        <c:axId val="394844128"/>
      </c:scatterChart>
      <c:valAx>
        <c:axId val="394843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844128"/>
        <c:crosses val="autoZero"/>
        <c:crossBetween val="midCat"/>
      </c:valAx>
      <c:valAx>
        <c:axId val="394844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8437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'Non-Energy Water Demand'!$N$2:$W$2</c:f>
              <c:numCache>
                <c:formatCode>General</c:formatCode>
                <c:ptCount val="10"/>
                <c:pt idx="0">
                  <c:v>2006</c:v>
                </c:pt>
                <c:pt idx="1">
                  <c:v>2010</c:v>
                </c:pt>
                <c:pt idx="2">
                  <c:v>2015</c:v>
                </c:pt>
                <c:pt idx="3">
                  <c:v>2020</c:v>
                </c:pt>
                <c:pt idx="4">
                  <c:v>2025</c:v>
                </c:pt>
                <c:pt idx="5">
                  <c:v>2030</c:v>
                </c:pt>
                <c:pt idx="6">
                  <c:v>2035</c:v>
                </c:pt>
                <c:pt idx="7">
                  <c:v>2040</c:v>
                </c:pt>
                <c:pt idx="8">
                  <c:v>2045</c:v>
                </c:pt>
                <c:pt idx="9">
                  <c:v>2050</c:v>
                </c:pt>
              </c:numCache>
            </c:numRef>
          </c:cat>
          <c:val>
            <c:numRef>
              <c:f>'Non-Energy Water Demand'!$N$3:$W$3</c:f>
              <c:numCache>
                <c:formatCode>0.0</c:formatCode>
                <c:ptCount val="10"/>
                <c:pt idx="0" formatCode="0">
                  <c:v>12.300000000000182</c:v>
                </c:pt>
                <c:pt idx="1">
                  <c:v>13</c:v>
                </c:pt>
                <c:pt idx="2">
                  <c:v>25.405800000000003</c:v>
                </c:pt>
                <c:pt idx="3" formatCode="General">
                  <c:v>40.299999999999997</c:v>
                </c:pt>
                <c:pt idx="4" formatCode="General">
                  <c:v>40.6</c:v>
                </c:pt>
                <c:pt idx="5" formatCode="General">
                  <c:v>43.6</c:v>
                </c:pt>
                <c:pt idx="6" formatCode="0">
                  <c:v>44.800000000000068</c:v>
                </c:pt>
                <c:pt idx="7">
                  <c:v>46.4</c:v>
                </c:pt>
                <c:pt idx="8">
                  <c:v>46.8</c:v>
                </c:pt>
                <c:pt idx="9">
                  <c:v>47</c:v>
                </c:pt>
              </c:numCache>
            </c:numRef>
          </c:val>
          <c:smooth val="0"/>
        </c:ser>
        <c:dLbls>
          <c:showLegendKey val="0"/>
          <c:showVal val="0"/>
          <c:showCatName val="0"/>
          <c:showSerName val="0"/>
          <c:showPercent val="0"/>
          <c:showBubbleSize val="0"/>
        </c:dLbls>
        <c:marker val="1"/>
        <c:smooth val="0"/>
        <c:axId val="394844912"/>
        <c:axId val="394845304"/>
      </c:lineChart>
      <c:catAx>
        <c:axId val="39484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94845304"/>
        <c:crosses val="autoZero"/>
        <c:auto val="1"/>
        <c:lblAlgn val="ctr"/>
        <c:lblOffset val="100"/>
        <c:noMultiLvlLbl val="0"/>
      </c:catAx>
      <c:valAx>
        <c:axId val="394845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4844912"/>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rgbClr val="C00000"/>
                </a:solidFill>
                <a:prstDash val="sysDot"/>
              </a:ln>
              <a:effectLst/>
            </c:spPr>
            <c:trendlineType val="linear"/>
            <c:dispRSqr val="1"/>
            <c:dispEq val="1"/>
            <c:trendlineLbl>
              <c:layout>
                <c:manualLayout>
                  <c:x val="3.6895737983676208E-2"/>
                  <c:y val="0.2007873393306034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'Non-Energy Water Demand'!$N$2:$W$2</c:f>
              <c:numCache>
                <c:formatCode>General</c:formatCode>
                <c:ptCount val="10"/>
                <c:pt idx="0">
                  <c:v>2006</c:v>
                </c:pt>
                <c:pt idx="1">
                  <c:v>2010</c:v>
                </c:pt>
                <c:pt idx="2">
                  <c:v>2015</c:v>
                </c:pt>
                <c:pt idx="3">
                  <c:v>2020</c:v>
                </c:pt>
                <c:pt idx="4">
                  <c:v>2025</c:v>
                </c:pt>
                <c:pt idx="5">
                  <c:v>2030</c:v>
                </c:pt>
                <c:pt idx="6">
                  <c:v>2035</c:v>
                </c:pt>
                <c:pt idx="7">
                  <c:v>2040</c:v>
                </c:pt>
                <c:pt idx="8">
                  <c:v>2045</c:v>
                </c:pt>
                <c:pt idx="9">
                  <c:v>2050</c:v>
                </c:pt>
              </c:numCache>
            </c:numRef>
          </c:xVal>
          <c:yVal>
            <c:numRef>
              <c:f>'Non-Energy Water Demand'!$N$8:$W$8</c:f>
              <c:numCache>
                <c:formatCode>0.0</c:formatCode>
                <c:ptCount val="10"/>
                <c:pt idx="0" formatCode="0">
                  <c:v>229.5</c:v>
                </c:pt>
                <c:pt idx="1">
                  <c:v>255</c:v>
                </c:pt>
                <c:pt idx="2" formatCode="0">
                  <c:v>307.71042699816184</c:v>
                </c:pt>
                <c:pt idx="3" formatCode="0">
                  <c:v>360.42085399632367</c:v>
                </c:pt>
                <c:pt idx="4" formatCode="0">
                  <c:v>363.23437018433657</c:v>
                </c:pt>
                <c:pt idx="5" formatCode="0">
                  <c:v>446.11893118179313</c:v>
                </c:pt>
                <c:pt idx="6" formatCode="0">
                  <c:v>449.07633095915992</c:v>
                </c:pt>
                <c:pt idx="7" formatCode="0">
                  <c:v>452.10840878690612</c:v>
                </c:pt>
                <c:pt idx="8" formatCode="0">
                  <c:v>455.21705037938489</c:v>
                </c:pt>
                <c:pt idx="9" formatCode="0">
                  <c:v>458.40418906759987</c:v>
                </c:pt>
              </c:numCache>
            </c:numRef>
          </c:yVal>
          <c:smooth val="0"/>
        </c:ser>
        <c:dLbls>
          <c:showLegendKey val="0"/>
          <c:showVal val="0"/>
          <c:showCatName val="0"/>
          <c:showSerName val="0"/>
          <c:showPercent val="0"/>
          <c:showBubbleSize val="0"/>
        </c:dLbls>
        <c:axId val="395024976"/>
        <c:axId val="395025368"/>
      </c:scatterChart>
      <c:valAx>
        <c:axId val="39502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95025368"/>
        <c:crosses val="autoZero"/>
        <c:crossBetween val="midCat"/>
      </c:valAx>
      <c:valAx>
        <c:axId val="395025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024976"/>
        <c:crosses val="autoZero"/>
        <c:crossBetween val="midCat"/>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'TDS  vs Capex'!$A$57</c:f>
              <c:strCache>
                <c:ptCount val="1"/>
                <c:pt idx="0">
                  <c:v>Capital cost; RO-RO</c:v>
                </c:pt>
              </c:strCache>
            </c:strRef>
          </c:tx>
          <c:spPr>
            <a:ln w="25400" cap="rnd">
              <a:noFill/>
              <a:round/>
            </a:ln>
            <a:effectLst>
              <a:outerShdw blurRad="40000" dist="23000" dir="5400000" rotWithShape="0">
                <a:srgbClr val="000000">
                  <a:alpha val="35000"/>
                </a:srgbClr>
              </a:outerShdw>
            </a:effectLst>
          </c:spPr>
          <c:marker>
            <c:symbol val="circle"/>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c:spPr>
          </c:marker>
          <c:trendline>
            <c:spPr>
              <a:ln w="9525" cap="rnd">
                <a:solidFill>
                  <a:schemeClr val="accent1"/>
                </a:solidFill>
              </a:ln>
              <a:effectLst/>
            </c:spPr>
            <c:trendlineType val="linear"/>
            <c:dispRSqr val="1"/>
            <c:dispEq val="1"/>
            <c:trendlineLbl>
              <c:layout>
                <c:manualLayout>
                  <c:x val="0.13147222222222221"/>
                  <c:y val="0.4204208494556737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Ref>
              <c:f>'TDS  vs Capex'!$D$56:$F$56</c:f>
              <c:numCache>
                <c:formatCode>General</c:formatCode>
                <c:ptCount val="3"/>
                <c:pt idx="0">
                  <c:v>1</c:v>
                </c:pt>
                <c:pt idx="1">
                  <c:v>4.8911637931034484</c:v>
                </c:pt>
                <c:pt idx="2">
                  <c:v>10.204741379310345</c:v>
                </c:pt>
              </c:numCache>
            </c:numRef>
          </c:xVal>
          <c:yVal>
            <c:numRef>
              <c:f>'TDS  vs Capex'!$D$57:$F$57</c:f>
              <c:numCache>
                <c:formatCode>General</c:formatCode>
                <c:ptCount val="3"/>
                <c:pt idx="0">
                  <c:v>1</c:v>
                </c:pt>
                <c:pt idx="1">
                  <c:v>1.5</c:v>
                </c:pt>
                <c:pt idx="2">
                  <c:v>2</c:v>
                </c:pt>
              </c:numCache>
            </c:numRef>
          </c:yVal>
          <c:smooth val="0"/>
        </c:ser>
        <c:ser>
          <c:idx val="1"/>
          <c:order val="1"/>
          <c:tx>
            <c:strRef>
              <c:f>'TDS  vs Capex'!$A$58</c:f>
              <c:strCache>
                <c:ptCount val="1"/>
                <c:pt idx="0">
                  <c:v>Capital cost; UF </c:v>
                </c:pt>
              </c:strCache>
            </c:strRef>
          </c:tx>
          <c:spPr>
            <a:ln w="25400" cap="rnd">
              <a:noFill/>
              <a:round/>
            </a:ln>
            <a:effectLst>
              <a:outerShdw blurRad="40000" dist="23000" dir="5400000" rotWithShape="0">
                <a:srgbClr val="000000">
                  <a:alpha val="35000"/>
                </a:srgbClr>
              </a:outerShdw>
            </a:effectLst>
          </c:spPr>
          <c:marker>
            <c:symbol val="circle"/>
            <c:size val="5"/>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c:spPr>
          </c:marker>
          <c:trendline>
            <c:spPr>
              <a:ln w="9525" cap="rnd">
                <a:solidFill>
                  <a:schemeClr val="accent2"/>
                </a:solidFill>
              </a:ln>
              <a:effectLst/>
            </c:spPr>
            <c:trendlineType val="power"/>
            <c:dispRSqr val="1"/>
            <c:dispEq val="1"/>
            <c:trendlineLbl>
              <c:layout>
                <c:manualLayout>
                  <c:x val="-0.41643416447944009"/>
                  <c:y val="3.578753686716995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Ref>
              <c:f>'TDS  vs Capex'!$D$56:$F$56</c:f>
              <c:numCache>
                <c:formatCode>General</c:formatCode>
                <c:ptCount val="3"/>
                <c:pt idx="0">
                  <c:v>1</c:v>
                </c:pt>
                <c:pt idx="1">
                  <c:v>4.8911637931034484</c:v>
                </c:pt>
                <c:pt idx="2">
                  <c:v>10.204741379310345</c:v>
                </c:pt>
              </c:numCache>
            </c:numRef>
          </c:xVal>
          <c:yVal>
            <c:numRef>
              <c:f>'TDS  vs Capex'!$D$58:$F$58</c:f>
              <c:numCache>
                <c:formatCode>General</c:formatCode>
                <c:ptCount val="3"/>
                <c:pt idx="0">
                  <c:v>1</c:v>
                </c:pt>
                <c:pt idx="1">
                  <c:v>1.5</c:v>
                </c:pt>
                <c:pt idx="2">
                  <c:v>2</c:v>
                </c:pt>
              </c:numCache>
            </c:numRef>
          </c:yVal>
          <c:smooth val="0"/>
        </c:ser>
        <c:dLbls>
          <c:showLegendKey val="0"/>
          <c:showVal val="0"/>
          <c:showCatName val="0"/>
          <c:showSerName val="0"/>
          <c:showPercent val="0"/>
          <c:showBubbleSize val="0"/>
        </c:dLbls>
        <c:axId val="390264056"/>
        <c:axId val="390264448"/>
      </c:scatterChart>
      <c:valAx>
        <c:axId val="390264056"/>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ZA"/>
                  <a:t>TDS increase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64448"/>
        <c:crosses val="autoZero"/>
        <c:crossBetween val="midCat"/>
      </c:valAx>
      <c:valAx>
        <c:axId val="39026444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Capex increase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64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'Non-Energy Water Demand'!$N$2:$W$2</c:f>
              <c:numCache>
                <c:formatCode>General</c:formatCode>
                <c:ptCount val="10"/>
                <c:pt idx="0">
                  <c:v>2006</c:v>
                </c:pt>
                <c:pt idx="1">
                  <c:v>2010</c:v>
                </c:pt>
                <c:pt idx="2">
                  <c:v>2015</c:v>
                </c:pt>
                <c:pt idx="3">
                  <c:v>2020</c:v>
                </c:pt>
                <c:pt idx="4">
                  <c:v>2025</c:v>
                </c:pt>
                <c:pt idx="5">
                  <c:v>2030</c:v>
                </c:pt>
                <c:pt idx="6">
                  <c:v>2035</c:v>
                </c:pt>
                <c:pt idx="7">
                  <c:v>2040</c:v>
                </c:pt>
                <c:pt idx="8">
                  <c:v>2045</c:v>
                </c:pt>
                <c:pt idx="9">
                  <c:v>2050</c:v>
                </c:pt>
              </c:numCache>
            </c:numRef>
          </c:cat>
          <c:val>
            <c:numRef>
              <c:f>'Non-Energy Water Demand'!$N$13:$W$13</c:f>
              <c:numCache>
                <c:formatCode>0</c:formatCode>
                <c:ptCount val="10"/>
                <c:pt idx="0">
                  <c:v>2665.0799999999981</c:v>
                </c:pt>
                <c:pt idx="1">
                  <c:v>2717.7999999999993</c:v>
                </c:pt>
                <c:pt idx="2">
                  <c:v>2783.7000000000007</c:v>
                </c:pt>
                <c:pt idx="3">
                  <c:v>2849.5999999999985</c:v>
                </c:pt>
                <c:pt idx="4">
                  <c:v>2915.5</c:v>
                </c:pt>
                <c:pt idx="5">
                  <c:v>2981.3999999999978</c:v>
                </c:pt>
                <c:pt idx="6">
                  <c:v>3047.2999999999993</c:v>
                </c:pt>
                <c:pt idx="7">
                  <c:v>3113.2000000000007</c:v>
                </c:pt>
                <c:pt idx="8">
                  <c:v>3179.0999999999985</c:v>
                </c:pt>
                <c:pt idx="9">
                  <c:v>3245</c:v>
                </c:pt>
              </c:numCache>
            </c:numRef>
          </c:val>
          <c:smooth val="0"/>
        </c:ser>
        <c:dLbls>
          <c:showLegendKey val="0"/>
          <c:showVal val="0"/>
          <c:showCatName val="0"/>
          <c:showSerName val="0"/>
          <c:showPercent val="0"/>
          <c:showBubbleSize val="0"/>
        </c:dLbls>
        <c:marker val="1"/>
        <c:smooth val="0"/>
        <c:axId val="395026152"/>
        <c:axId val="395026544"/>
      </c:lineChart>
      <c:catAx>
        <c:axId val="39502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95026544"/>
        <c:crosses val="autoZero"/>
        <c:auto val="1"/>
        <c:lblAlgn val="ctr"/>
        <c:lblOffset val="100"/>
        <c:noMultiLvlLbl val="0"/>
      </c:catAx>
      <c:valAx>
        <c:axId val="395026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026152"/>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'Non-Energy Water Demand'!$N$2:$W$2</c:f>
              <c:numCache>
                <c:formatCode>General</c:formatCode>
                <c:ptCount val="10"/>
                <c:pt idx="0">
                  <c:v>2006</c:v>
                </c:pt>
                <c:pt idx="1">
                  <c:v>2010</c:v>
                </c:pt>
                <c:pt idx="2">
                  <c:v>2015</c:v>
                </c:pt>
                <c:pt idx="3">
                  <c:v>2020</c:v>
                </c:pt>
                <c:pt idx="4">
                  <c:v>2025</c:v>
                </c:pt>
                <c:pt idx="5">
                  <c:v>2030</c:v>
                </c:pt>
                <c:pt idx="6">
                  <c:v>2035</c:v>
                </c:pt>
                <c:pt idx="7">
                  <c:v>2040</c:v>
                </c:pt>
                <c:pt idx="8">
                  <c:v>2045</c:v>
                </c:pt>
                <c:pt idx="9">
                  <c:v>2050</c:v>
                </c:pt>
              </c:numCache>
            </c:numRef>
          </c:cat>
          <c:val>
            <c:numRef>
              <c:f>'Non-Energy Water Demand'!$N$18:$W$18</c:f>
              <c:numCache>
                <c:formatCode>0</c:formatCode>
                <c:ptCount val="10"/>
                <c:pt idx="0">
                  <c:v>3492.4259999999995</c:v>
                </c:pt>
                <c:pt idx="1">
                  <c:v>3608.7100000000064</c:v>
                </c:pt>
                <c:pt idx="2">
                  <c:v>3754.0650000000023</c:v>
                </c:pt>
                <c:pt idx="3">
                  <c:v>3899.4200000000055</c:v>
                </c:pt>
                <c:pt idx="4">
                  <c:v>4044.7750000000015</c:v>
                </c:pt>
                <c:pt idx="5">
                  <c:v>4190.1300000000047</c:v>
                </c:pt>
                <c:pt idx="6">
                  <c:v>4335.4850000000006</c:v>
                </c:pt>
                <c:pt idx="7">
                  <c:v>4480.8400000000038</c:v>
                </c:pt>
                <c:pt idx="8">
                  <c:v>4626.1949999999997</c:v>
                </c:pt>
                <c:pt idx="9">
                  <c:v>4771.5500000000029</c:v>
                </c:pt>
              </c:numCache>
            </c:numRef>
          </c:val>
          <c:smooth val="0"/>
        </c:ser>
        <c:dLbls>
          <c:showLegendKey val="0"/>
          <c:showVal val="0"/>
          <c:showCatName val="0"/>
          <c:showSerName val="0"/>
          <c:showPercent val="0"/>
          <c:showBubbleSize val="0"/>
        </c:dLbls>
        <c:marker val="1"/>
        <c:smooth val="0"/>
        <c:axId val="395027328"/>
        <c:axId val="395027720"/>
      </c:lineChart>
      <c:catAx>
        <c:axId val="39502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95027720"/>
        <c:crosses val="autoZero"/>
        <c:auto val="1"/>
        <c:lblAlgn val="ctr"/>
        <c:lblOffset val="100"/>
        <c:noMultiLvlLbl val="0"/>
      </c:catAx>
      <c:valAx>
        <c:axId val="395027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02732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'Non-Energy Water Demand'!$N$2:$W$2</c:f>
              <c:numCache>
                <c:formatCode>General</c:formatCode>
                <c:ptCount val="10"/>
                <c:pt idx="0">
                  <c:v>2006</c:v>
                </c:pt>
                <c:pt idx="1">
                  <c:v>2010</c:v>
                </c:pt>
                <c:pt idx="2">
                  <c:v>2015</c:v>
                </c:pt>
                <c:pt idx="3">
                  <c:v>2020</c:v>
                </c:pt>
                <c:pt idx="4">
                  <c:v>2025</c:v>
                </c:pt>
                <c:pt idx="5">
                  <c:v>2030</c:v>
                </c:pt>
                <c:pt idx="6">
                  <c:v>2035</c:v>
                </c:pt>
                <c:pt idx="7">
                  <c:v>2040</c:v>
                </c:pt>
                <c:pt idx="8">
                  <c:v>2045</c:v>
                </c:pt>
                <c:pt idx="9">
                  <c:v>2050</c:v>
                </c:pt>
              </c:numCache>
            </c:numRef>
          </c:cat>
          <c:val>
            <c:numRef>
              <c:f>'Non-Energy Water Demand'!$N$8:$W$8</c:f>
              <c:numCache>
                <c:formatCode>0.0</c:formatCode>
                <c:ptCount val="10"/>
                <c:pt idx="0" formatCode="0">
                  <c:v>229.5</c:v>
                </c:pt>
                <c:pt idx="1">
                  <c:v>255</c:v>
                </c:pt>
                <c:pt idx="2" formatCode="0">
                  <c:v>307.71042699816184</c:v>
                </c:pt>
                <c:pt idx="3" formatCode="0">
                  <c:v>360.42085399632367</c:v>
                </c:pt>
                <c:pt idx="4" formatCode="0">
                  <c:v>363.23437018433657</c:v>
                </c:pt>
                <c:pt idx="5" formatCode="0">
                  <c:v>446.11893118179313</c:v>
                </c:pt>
                <c:pt idx="6" formatCode="0">
                  <c:v>449.07633095915992</c:v>
                </c:pt>
                <c:pt idx="7" formatCode="0">
                  <c:v>452.10840878690612</c:v>
                </c:pt>
                <c:pt idx="8" formatCode="0">
                  <c:v>455.21705037938489</c:v>
                </c:pt>
                <c:pt idx="9" formatCode="0">
                  <c:v>458.40418906759987</c:v>
                </c:pt>
              </c:numCache>
            </c:numRef>
          </c:val>
          <c:smooth val="0"/>
        </c:ser>
        <c:dLbls>
          <c:showLegendKey val="0"/>
          <c:showVal val="0"/>
          <c:showCatName val="0"/>
          <c:showSerName val="0"/>
          <c:showPercent val="0"/>
          <c:showBubbleSize val="0"/>
        </c:dLbls>
        <c:marker val="1"/>
        <c:smooth val="0"/>
        <c:axId val="396625784"/>
        <c:axId val="396626176"/>
      </c:lineChart>
      <c:catAx>
        <c:axId val="39662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96626176"/>
        <c:crosses val="autoZero"/>
        <c:auto val="1"/>
        <c:lblAlgn val="ctr"/>
        <c:lblOffset val="100"/>
        <c:noMultiLvlLbl val="0"/>
      </c:catAx>
      <c:valAx>
        <c:axId val="396626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625784"/>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'Non-Energy Water Demand'!$G$153</c:f>
              <c:strCache>
                <c:ptCount val="1"/>
              </c:strCache>
            </c:strRef>
          </c:tx>
          <c:spPr>
            <a:ln w="28575" cap="rnd">
              <a:solidFill>
                <a:schemeClr val="accent1"/>
              </a:solidFill>
              <a:round/>
            </a:ln>
            <a:effectLst/>
          </c:spPr>
          <c:marker>
            <c:symbol val="none"/>
          </c:marker>
          <c:cat>
            <c:numRef>
              <c:f>'Non-Energy Water Demand'!$M$144:$AW$144</c:f>
              <c:numCache>
                <c:formatCode>General</c:formatCode>
                <c:ptCount val="3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2045</c:v>
                </c:pt>
                <c:pt idx="36">
                  <c:v>2050</c:v>
                </c:pt>
              </c:numCache>
            </c:numRef>
          </c:cat>
          <c:val>
            <c:numRef>
              <c:f>'Non-Energy Water Demand'!$M$147:$AW$147</c:f>
              <c:numCache>
                <c:formatCode>#,##0.00</c:formatCode>
                <c:ptCount val="37"/>
                <c:pt idx="0">
                  <c:v>12</c:v>
                </c:pt>
                <c:pt idx="1">
                  <c:v>12.25</c:v>
                </c:pt>
                <c:pt idx="2">
                  <c:v>12.5</c:v>
                </c:pt>
                <c:pt idx="3">
                  <c:v>12.75</c:v>
                </c:pt>
                <c:pt idx="4">
                  <c:v>13</c:v>
                </c:pt>
                <c:pt idx="5">
                  <c:v>15</c:v>
                </c:pt>
                <c:pt idx="6">
                  <c:v>17</c:v>
                </c:pt>
                <c:pt idx="7">
                  <c:v>20</c:v>
                </c:pt>
                <c:pt idx="8">
                  <c:v>22</c:v>
                </c:pt>
                <c:pt idx="9">
                  <c:v>25</c:v>
                </c:pt>
                <c:pt idx="10">
                  <c:v>28.06</c:v>
                </c:pt>
                <c:pt idx="11">
                  <c:v>31.12</c:v>
                </c:pt>
                <c:pt idx="12">
                  <c:v>34.18</c:v>
                </c:pt>
                <c:pt idx="13">
                  <c:v>37.24</c:v>
                </c:pt>
                <c:pt idx="14">
                  <c:v>39</c:v>
                </c:pt>
                <c:pt idx="15">
                  <c:v>39.5</c:v>
                </c:pt>
                <c:pt idx="16">
                  <c:v>39.895000000000003</c:v>
                </c:pt>
                <c:pt idx="17">
                  <c:v>40.293950000000002</c:v>
                </c:pt>
                <c:pt idx="18">
                  <c:v>40.696889500000005</c:v>
                </c:pt>
                <c:pt idx="19">
                  <c:v>41.103858395000003</c:v>
                </c:pt>
                <c:pt idx="20">
                  <c:v>41.514896978950006</c:v>
                </c:pt>
                <c:pt idx="21">
                  <c:v>41.930045948739505</c:v>
                </c:pt>
                <c:pt idx="22">
                  <c:v>42.3493464082269</c:v>
                </c:pt>
                <c:pt idx="23">
                  <c:v>42.77283987230917</c:v>
                </c:pt>
                <c:pt idx="24">
                  <c:v>43.20056827103226</c:v>
                </c:pt>
                <c:pt idx="25">
                  <c:v>43.416571112387416</c:v>
                </c:pt>
                <c:pt idx="26">
                  <c:v>43.63365396794935</c:v>
                </c:pt>
                <c:pt idx="27">
                  <c:v>43.851822237789094</c:v>
                </c:pt>
                <c:pt idx="28">
                  <c:v>44.071081348978034</c:v>
                </c:pt>
                <c:pt idx="29">
                  <c:v>44.29143675572292</c:v>
                </c:pt>
                <c:pt idx="30">
                  <c:v>44.512893939501531</c:v>
                </c:pt>
                <c:pt idx="31">
                  <c:v>44.735458409199033</c:v>
                </c:pt>
                <c:pt idx="32">
                  <c:v>44.959135701245025</c:v>
                </c:pt>
                <c:pt idx="33">
                  <c:v>45.183931379751243</c:v>
                </c:pt>
                <c:pt idx="34">
                  <c:v>45.409851036649997</c:v>
                </c:pt>
                <c:pt idx="35">
                  <c:v>46.556506679686855</c:v>
                </c:pt>
                <c:pt idx="36">
                  <c:v>47.73211681461683</c:v>
                </c:pt>
              </c:numCache>
            </c:numRef>
          </c:val>
          <c:smooth val="0"/>
        </c:ser>
        <c:dLbls>
          <c:showLegendKey val="0"/>
          <c:showVal val="0"/>
          <c:showCatName val="0"/>
          <c:showSerName val="0"/>
          <c:showPercent val="0"/>
          <c:showBubbleSize val="0"/>
        </c:dLbls>
        <c:smooth val="0"/>
        <c:axId val="396626960"/>
        <c:axId val="396627352"/>
      </c:lineChart>
      <c:catAx>
        <c:axId val="39662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627352"/>
        <c:crosses val="autoZero"/>
        <c:auto val="1"/>
        <c:lblAlgn val="ctr"/>
        <c:lblOffset val="100"/>
        <c:noMultiLvlLbl val="0"/>
      </c:catAx>
      <c:valAx>
        <c:axId val="3966273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62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'Non-Energy Water Demand'!$M$145:$AW$145</c:f>
              <c:numCache>
                <c:formatCode>General</c:formatCode>
                <c:ptCount val="37"/>
                <c:pt idx="0">
                  <c:v>12</c:v>
                </c:pt>
                <c:pt idx="1">
                  <c:v>12.25</c:v>
                </c:pt>
                <c:pt idx="2">
                  <c:v>12.5</c:v>
                </c:pt>
                <c:pt idx="3">
                  <c:v>12.75</c:v>
                </c:pt>
                <c:pt idx="4">
                  <c:v>13</c:v>
                </c:pt>
                <c:pt idx="5">
                  <c:v>15</c:v>
                </c:pt>
                <c:pt idx="6">
                  <c:v>17</c:v>
                </c:pt>
                <c:pt idx="7">
                  <c:v>20</c:v>
                </c:pt>
                <c:pt idx="8">
                  <c:v>22</c:v>
                </c:pt>
                <c:pt idx="9">
                  <c:v>25</c:v>
                </c:pt>
                <c:pt idx="10">
                  <c:v>28.06</c:v>
                </c:pt>
                <c:pt idx="11">
                  <c:v>31.12</c:v>
                </c:pt>
                <c:pt idx="12">
                  <c:v>34.18</c:v>
                </c:pt>
                <c:pt idx="13">
                  <c:v>37.24</c:v>
                </c:pt>
                <c:pt idx="14">
                  <c:v>40.299999999999997</c:v>
                </c:pt>
                <c:pt idx="15">
                  <c:v>40.36</c:v>
                </c:pt>
                <c:pt idx="16">
                  <c:v>40.42</c:v>
                </c:pt>
                <c:pt idx="17">
                  <c:v>40.479999999999997</c:v>
                </c:pt>
                <c:pt idx="18">
                  <c:v>40.54</c:v>
                </c:pt>
                <c:pt idx="19">
                  <c:v>40.6</c:v>
                </c:pt>
                <c:pt idx="20">
                  <c:v>41.2</c:v>
                </c:pt>
                <c:pt idx="21">
                  <c:v>41.8</c:v>
                </c:pt>
                <c:pt idx="22">
                  <c:v>42.4</c:v>
                </c:pt>
                <c:pt idx="23">
                  <c:v>43</c:v>
                </c:pt>
                <c:pt idx="24">
                  <c:v>43.6</c:v>
                </c:pt>
                <c:pt idx="25">
                  <c:v>43.84</c:v>
                </c:pt>
                <c:pt idx="26">
                  <c:v>44.08</c:v>
                </c:pt>
                <c:pt idx="27">
                  <c:v>44.32</c:v>
                </c:pt>
                <c:pt idx="28">
                  <c:v>44.56</c:v>
                </c:pt>
                <c:pt idx="29">
                  <c:v>44.8</c:v>
                </c:pt>
                <c:pt idx="30">
                  <c:v>45.13</c:v>
                </c:pt>
                <c:pt idx="31">
                  <c:v>45.46</c:v>
                </c:pt>
                <c:pt idx="32">
                  <c:v>45.79</c:v>
                </c:pt>
                <c:pt idx="33">
                  <c:v>46.12</c:v>
                </c:pt>
                <c:pt idx="34">
                  <c:v>46.4</c:v>
                </c:pt>
                <c:pt idx="35">
                  <c:v>46.8</c:v>
                </c:pt>
                <c:pt idx="36">
                  <c:v>47</c:v>
                </c:pt>
              </c:numCache>
            </c:numRef>
          </c:val>
          <c:smooth val="0"/>
        </c:ser>
        <c:ser>
          <c:idx val="1"/>
          <c:order val="1"/>
          <c:spPr>
            <a:ln w="28575" cap="rnd">
              <a:solidFill>
                <a:schemeClr val="accent2"/>
              </a:solidFill>
              <a:round/>
            </a:ln>
            <a:effectLst/>
          </c:spPr>
          <c:marker>
            <c:symbol val="none"/>
          </c:marker>
          <c:val>
            <c:numRef>
              <c:f>'Non-Energy Water Demand'!$M$149:$AW$149</c:f>
              <c:numCache>
                <c:formatCode>General</c:formatCode>
                <c:ptCount val="37"/>
                <c:pt idx="0">
                  <c:v>230</c:v>
                </c:pt>
                <c:pt idx="1">
                  <c:v>236.25</c:v>
                </c:pt>
                <c:pt idx="2">
                  <c:v>242.5</c:v>
                </c:pt>
                <c:pt idx="3">
                  <c:v>248.75</c:v>
                </c:pt>
                <c:pt idx="4">
                  <c:v>255</c:v>
                </c:pt>
                <c:pt idx="5">
                  <c:v>265.60000000000002</c:v>
                </c:pt>
                <c:pt idx="6">
                  <c:v>276.2</c:v>
                </c:pt>
                <c:pt idx="7">
                  <c:v>286.8</c:v>
                </c:pt>
                <c:pt idx="8">
                  <c:v>297.39999999999998</c:v>
                </c:pt>
                <c:pt idx="9">
                  <c:v>308</c:v>
                </c:pt>
                <c:pt idx="10">
                  <c:v>318.48399999999998</c:v>
                </c:pt>
                <c:pt idx="11">
                  <c:v>328.96800000000002</c:v>
                </c:pt>
                <c:pt idx="12">
                  <c:v>339.452</c:v>
                </c:pt>
                <c:pt idx="13">
                  <c:v>349.93599999999998</c:v>
                </c:pt>
                <c:pt idx="14">
                  <c:v>360.42</c:v>
                </c:pt>
                <c:pt idx="15">
                  <c:v>360.98200000000003</c:v>
                </c:pt>
                <c:pt idx="16">
                  <c:v>361.54399999999998</c:v>
                </c:pt>
                <c:pt idx="17">
                  <c:v>362.10599999999999</c:v>
                </c:pt>
                <c:pt idx="18">
                  <c:v>362.66800000000001</c:v>
                </c:pt>
                <c:pt idx="19">
                  <c:v>363.23</c:v>
                </c:pt>
                <c:pt idx="20">
                  <c:v>379.80799999999999</c:v>
                </c:pt>
                <c:pt idx="21">
                  <c:v>396.38600000000002</c:v>
                </c:pt>
                <c:pt idx="22">
                  <c:v>412.964</c:v>
                </c:pt>
                <c:pt idx="23">
                  <c:v>429.54199999999997</c:v>
                </c:pt>
                <c:pt idx="24">
                  <c:v>446.12</c:v>
                </c:pt>
                <c:pt idx="25">
                  <c:v>446.71199999999999</c:v>
                </c:pt>
                <c:pt idx="26">
                  <c:v>447.30399999999997</c:v>
                </c:pt>
                <c:pt idx="27">
                  <c:v>447.89600000000002</c:v>
                </c:pt>
                <c:pt idx="28">
                  <c:v>448.488</c:v>
                </c:pt>
                <c:pt idx="29">
                  <c:v>449.08</c:v>
                </c:pt>
                <c:pt idx="30">
                  <c:v>449.68599999999998</c:v>
                </c:pt>
                <c:pt idx="31">
                  <c:v>450.29199999999997</c:v>
                </c:pt>
                <c:pt idx="32">
                  <c:v>450.89800000000002</c:v>
                </c:pt>
                <c:pt idx="33">
                  <c:v>451.50400000000002</c:v>
                </c:pt>
                <c:pt idx="34">
                  <c:v>452.11</c:v>
                </c:pt>
                <c:pt idx="35">
                  <c:v>455.22</c:v>
                </c:pt>
                <c:pt idx="36">
                  <c:v>458.4</c:v>
                </c:pt>
              </c:numCache>
            </c:numRef>
          </c:val>
          <c:smooth val="0"/>
        </c:ser>
        <c:ser>
          <c:idx val="2"/>
          <c:order val="2"/>
          <c:spPr>
            <a:ln w="28575" cap="rnd">
              <a:solidFill>
                <a:schemeClr val="accent3"/>
              </a:solidFill>
              <a:round/>
            </a:ln>
            <a:effectLst/>
          </c:spPr>
          <c:marker>
            <c:symbol val="none"/>
          </c:marker>
          <c:val>
            <c:numRef>
              <c:f>'Non-Energy Water Demand'!$M$152:$AW$152</c:f>
              <c:numCache>
                <c:formatCode>General</c:formatCode>
                <c:ptCount val="37"/>
                <c:pt idx="0">
                  <c:v>2665.08</c:v>
                </c:pt>
                <c:pt idx="1">
                  <c:v>2678.26</c:v>
                </c:pt>
                <c:pt idx="2">
                  <c:v>2691.44</c:v>
                </c:pt>
                <c:pt idx="3">
                  <c:v>2704.62</c:v>
                </c:pt>
                <c:pt idx="4">
                  <c:v>2717.8</c:v>
                </c:pt>
                <c:pt idx="5">
                  <c:v>2730.98</c:v>
                </c:pt>
                <c:pt idx="6">
                  <c:v>2744.16</c:v>
                </c:pt>
                <c:pt idx="7">
                  <c:v>2757.34</c:v>
                </c:pt>
                <c:pt idx="8">
                  <c:v>2770.52</c:v>
                </c:pt>
                <c:pt idx="9">
                  <c:v>2783.7</c:v>
                </c:pt>
                <c:pt idx="10">
                  <c:v>2796.88</c:v>
                </c:pt>
                <c:pt idx="11">
                  <c:v>2810.06</c:v>
                </c:pt>
                <c:pt idx="12">
                  <c:v>2823.24</c:v>
                </c:pt>
                <c:pt idx="13">
                  <c:v>2836.42</c:v>
                </c:pt>
                <c:pt idx="14">
                  <c:v>2849.6</c:v>
                </c:pt>
                <c:pt idx="15">
                  <c:v>2862.78</c:v>
                </c:pt>
                <c:pt idx="16">
                  <c:v>2875.96</c:v>
                </c:pt>
                <c:pt idx="17">
                  <c:v>2889.14</c:v>
                </c:pt>
                <c:pt idx="18">
                  <c:v>2902.32</c:v>
                </c:pt>
                <c:pt idx="19">
                  <c:v>2915.5</c:v>
                </c:pt>
                <c:pt idx="20">
                  <c:v>2928.68</c:v>
                </c:pt>
                <c:pt idx="21">
                  <c:v>2941.86</c:v>
                </c:pt>
                <c:pt idx="22">
                  <c:v>2955.04</c:v>
                </c:pt>
                <c:pt idx="23">
                  <c:v>2968.22</c:v>
                </c:pt>
                <c:pt idx="24">
                  <c:v>2981.4</c:v>
                </c:pt>
                <c:pt idx="25">
                  <c:v>2994.58</c:v>
                </c:pt>
                <c:pt idx="26">
                  <c:v>3007.76</c:v>
                </c:pt>
                <c:pt idx="27">
                  <c:v>3020.94</c:v>
                </c:pt>
                <c:pt idx="28">
                  <c:v>3034.12</c:v>
                </c:pt>
                <c:pt idx="29">
                  <c:v>3047.3</c:v>
                </c:pt>
                <c:pt idx="30">
                  <c:v>3060.48</c:v>
                </c:pt>
                <c:pt idx="31">
                  <c:v>3073.66</c:v>
                </c:pt>
                <c:pt idx="32">
                  <c:v>3086.84</c:v>
                </c:pt>
                <c:pt idx="33">
                  <c:v>3100.02</c:v>
                </c:pt>
                <c:pt idx="34">
                  <c:v>3113.2</c:v>
                </c:pt>
                <c:pt idx="35">
                  <c:v>3179.1</c:v>
                </c:pt>
                <c:pt idx="36">
                  <c:v>3245</c:v>
                </c:pt>
              </c:numCache>
            </c:numRef>
          </c:val>
          <c:smooth val="0"/>
        </c:ser>
        <c:ser>
          <c:idx val="3"/>
          <c:order val="3"/>
          <c:spPr>
            <a:ln w="28575" cap="rnd">
              <a:solidFill>
                <a:schemeClr val="accent4"/>
              </a:solidFill>
              <a:round/>
            </a:ln>
            <a:effectLst/>
          </c:spPr>
          <c:marker>
            <c:symbol val="none"/>
          </c:marker>
          <c:val>
            <c:numRef>
              <c:f>'Non-Energy Water Demand'!$M$156:$AW$156</c:f>
              <c:numCache>
                <c:formatCode>General</c:formatCode>
                <c:ptCount val="37"/>
                <c:pt idx="0">
                  <c:v>3467.2275</c:v>
                </c:pt>
                <c:pt idx="1">
                  <c:v>3496.0877</c:v>
                </c:pt>
                <c:pt idx="2">
                  <c:v>3524.9479000000001</c:v>
                </c:pt>
                <c:pt idx="3">
                  <c:v>3553.8081999999999</c:v>
                </c:pt>
                <c:pt idx="4">
                  <c:v>3582.6684</c:v>
                </c:pt>
                <c:pt idx="5">
                  <c:v>3611.5286000000001</c:v>
                </c:pt>
                <c:pt idx="6">
                  <c:v>3640.3888000000002</c:v>
                </c:pt>
                <c:pt idx="7">
                  <c:v>3669.259</c:v>
                </c:pt>
                <c:pt idx="8">
                  <c:v>3698.1192000000001</c:v>
                </c:pt>
                <c:pt idx="9">
                  <c:v>3726.9794000000002</c:v>
                </c:pt>
                <c:pt idx="10">
                  <c:v>3755.8395999999998</c:v>
                </c:pt>
                <c:pt idx="11">
                  <c:v>3784.6997999999999</c:v>
                </c:pt>
                <c:pt idx="12">
                  <c:v>3813.5601000000001</c:v>
                </c:pt>
                <c:pt idx="13">
                  <c:v>3842.4203000000002</c:v>
                </c:pt>
                <c:pt idx="14">
                  <c:v>3871.2804999999998</c:v>
                </c:pt>
                <c:pt idx="15">
                  <c:v>3900.1406999999999</c:v>
                </c:pt>
                <c:pt idx="16">
                  <c:v>3929.0010000000002</c:v>
                </c:pt>
                <c:pt idx="17">
                  <c:v>3957.8710999999998</c:v>
                </c:pt>
                <c:pt idx="18">
                  <c:v>3986.7312999999999</c:v>
                </c:pt>
                <c:pt idx="19">
                  <c:v>4015.5915</c:v>
                </c:pt>
                <c:pt idx="20">
                  <c:v>4044.4517999999998</c:v>
                </c:pt>
                <c:pt idx="21">
                  <c:v>4073.3119999999999</c:v>
                </c:pt>
                <c:pt idx="22">
                  <c:v>4100.1866</c:v>
                </c:pt>
                <c:pt idx="23">
                  <c:v>4127.24</c:v>
                </c:pt>
                <c:pt idx="24">
                  <c:v>4154.4721</c:v>
                </c:pt>
                <c:pt idx="25" formatCode="#,##0.00">
                  <c:v>4175.2444604999991</c:v>
                </c:pt>
                <c:pt idx="26" formatCode="#,##0.00">
                  <c:v>4196.1206828024988</c:v>
                </c:pt>
                <c:pt idx="27" formatCode="#,##0.00">
                  <c:v>4217.1012862165107</c:v>
                </c:pt>
                <c:pt idx="28" formatCode="#,##0.00">
                  <c:v>4238.1867926475925</c:v>
                </c:pt>
                <c:pt idx="29" formatCode="#,##0.00">
                  <c:v>4259.37772661083</c:v>
                </c:pt>
                <c:pt idx="30" formatCode="#,##0.00">
                  <c:v>4280.6746152438836</c:v>
                </c:pt>
                <c:pt idx="31" formatCode="#,##0.00">
                  <c:v>4302.077988320103</c:v>
                </c:pt>
                <c:pt idx="32" formatCode="#,##0.00">
                  <c:v>4323.5883782617029</c:v>
                </c:pt>
                <c:pt idx="33" formatCode="#,##0.00">
                  <c:v>4345.2063201530109</c:v>
                </c:pt>
                <c:pt idx="34" formatCode="#,##0.00">
                  <c:v>4366.932351753775</c:v>
                </c:pt>
                <c:pt idx="35" formatCode="#,##0.00">
                  <c:v>4477.2028659613043</c:v>
                </c:pt>
                <c:pt idx="36" formatCode="#,##0.00">
                  <c:v>4590.2578488356558</c:v>
                </c:pt>
              </c:numCache>
            </c:numRef>
          </c:val>
          <c:smooth val="0"/>
        </c:ser>
        <c:dLbls>
          <c:showLegendKey val="0"/>
          <c:showVal val="0"/>
          <c:showCatName val="0"/>
          <c:showSerName val="0"/>
          <c:showPercent val="0"/>
          <c:showBubbleSize val="0"/>
        </c:dLbls>
        <c:smooth val="0"/>
        <c:axId val="396628136"/>
        <c:axId val="396628528"/>
      </c:lineChart>
      <c:catAx>
        <c:axId val="3966281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628528"/>
        <c:crosses val="autoZero"/>
        <c:auto val="1"/>
        <c:lblAlgn val="ctr"/>
        <c:lblOffset val="100"/>
        <c:noMultiLvlLbl val="0"/>
      </c:catAx>
      <c:valAx>
        <c:axId val="396628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628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'Non-Energy Water Demand'!$B$48</c:f>
          <c:strCache>
            <c:ptCount val="1"/>
            <c:pt idx="0">
              <c:v>urban:C</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forward val="20"/>
            <c:dispRSqr val="1"/>
            <c:dispEq val="1"/>
            <c:trendlineLbl>
              <c:layout>
                <c:manualLayout>
                  <c:x val="-0.520109186351706"/>
                  <c:y val="-0.1729968649752114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'Non-Energy Water Demand'!$D$25:$L$25</c:f>
              <c:numCache>
                <c:formatCode>General</c:formatCode>
                <c:ptCount val="9"/>
                <c:pt idx="0">
                  <c:v>2010</c:v>
                </c:pt>
                <c:pt idx="1">
                  <c:v>2011</c:v>
                </c:pt>
                <c:pt idx="2">
                  <c:v>2012</c:v>
                </c:pt>
                <c:pt idx="3">
                  <c:v>2013</c:v>
                </c:pt>
                <c:pt idx="4">
                  <c:v>2014</c:v>
                </c:pt>
                <c:pt idx="5">
                  <c:v>2015</c:v>
                </c:pt>
                <c:pt idx="6">
                  <c:v>2020</c:v>
                </c:pt>
                <c:pt idx="7">
                  <c:v>2025</c:v>
                </c:pt>
                <c:pt idx="8">
                  <c:v>2030</c:v>
                </c:pt>
              </c:numCache>
            </c:numRef>
          </c:xVal>
          <c:yVal>
            <c:numRef>
              <c:f>'Non-Energy Water Demand'!$D$48:$L$48</c:f>
              <c:numCache>
                <c:formatCode>General</c:formatCode>
                <c:ptCount val="9"/>
                <c:pt idx="0">
                  <c:v>1501</c:v>
                </c:pt>
                <c:pt idx="5">
                  <c:v>1584</c:v>
                </c:pt>
                <c:pt idx="6">
                  <c:v>1648</c:v>
                </c:pt>
                <c:pt idx="7">
                  <c:v>1735</c:v>
                </c:pt>
                <c:pt idx="8">
                  <c:v>1834</c:v>
                </c:pt>
              </c:numCache>
            </c:numRef>
          </c:yVal>
          <c:smooth val="0"/>
        </c:ser>
        <c:dLbls>
          <c:showLegendKey val="0"/>
          <c:showVal val="0"/>
          <c:showCatName val="0"/>
          <c:showSerName val="0"/>
          <c:showPercent val="0"/>
          <c:showBubbleSize val="0"/>
        </c:dLbls>
        <c:axId val="396629312"/>
        <c:axId val="396298096"/>
      </c:scatterChart>
      <c:valAx>
        <c:axId val="396629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298096"/>
        <c:crosses val="autoZero"/>
        <c:crossBetween val="midCat"/>
      </c:valAx>
      <c:valAx>
        <c:axId val="396298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6293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CSP Central Receiver (EPRI,2012)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forward val="4"/>
            <c:dispRSqr val="1"/>
            <c:dispEq val="1"/>
            <c:trendlineLbl>
              <c:layout>
                <c:manualLayout>
                  <c:x val="3.3087962125819867E-2"/>
                  <c:y val="-0.2272223589238844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'WSR-Z'!$AZ$22:$BB$22</c:f>
              <c:numCache>
                <c:formatCode>General</c:formatCode>
                <c:ptCount val="3"/>
                <c:pt idx="0">
                  <c:v>3</c:v>
                </c:pt>
                <c:pt idx="1">
                  <c:v>6</c:v>
                </c:pt>
                <c:pt idx="2">
                  <c:v>9</c:v>
                </c:pt>
              </c:numCache>
            </c:numRef>
          </c:xVal>
          <c:yVal>
            <c:numRef>
              <c:f>'WSR-Z'!$AZ$23:$BB$23</c:f>
              <c:numCache>
                <c:formatCode>General</c:formatCode>
                <c:ptCount val="3"/>
                <c:pt idx="0">
                  <c:v>310</c:v>
                </c:pt>
                <c:pt idx="1">
                  <c:v>302</c:v>
                </c:pt>
                <c:pt idx="2">
                  <c:v>300</c:v>
                </c:pt>
              </c:numCache>
            </c:numRef>
          </c:yVal>
          <c:smooth val="0"/>
        </c:ser>
        <c:dLbls>
          <c:showLegendKey val="0"/>
          <c:showVal val="0"/>
          <c:showCatName val="0"/>
          <c:showSerName val="0"/>
          <c:showPercent val="0"/>
          <c:showBubbleSize val="0"/>
        </c:dLbls>
        <c:axId val="396298488"/>
        <c:axId val="396298880"/>
      </c:scatterChart>
      <c:valAx>
        <c:axId val="3962984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Hrs</a:t>
                </a:r>
                <a:r>
                  <a:rPr lang="en-ZA" baseline="0"/>
                  <a:t> storage</a:t>
                </a:r>
                <a:endParaRPr lang="en-ZA"/>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298880"/>
        <c:crosses val="autoZero"/>
        <c:crossBetween val="midCat"/>
      </c:valAx>
      <c:valAx>
        <c:axId val="396298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l/MWh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2984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CSP Parabolic Trough (EPRI,2012)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backward val="4"/>
            <c:dispRSqr val="1"/>
            <c:dispEq val="1"/>
            <c:trendlineLbl>
              <c:layout>
                <c:manualLayout>
                  <c:x val="-0.30384820647419075"/>
                  <c:y val="1.810185185185185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'WSR-Z'!$AV$22:$AX$22</c:f>
              <c:numCache>
                <c:formatCode>General</c:formatCode>
                <c:ptCount val="3"/>
                <c:pt idx="0">
                  <c:v>3</c:v>
                </c:pt>
                <c:pt idx="1">
                  <c:v>6</c:v>
                </c:pt>
                <c:pt idx="2">
                  <c:v>9</c:v>
                </c:pt>
              </c:numCache>
            </c:numRef>
          </c:xVal>
          <c:yVal>
            <c:numRef>
              <c:f>'WSR-Z'!$AV$23:$AX$23</c:f>
              <c:numCache>
                <c:formatCode>General</c:formatCode>
                <c:ptCount val="3"/>
                <c:pt idx="0">
                  <c:v>299</c:v>
                </c:pt>
                <c:pt idx="1">
                  <c:v>304</c:v>
                </c:pt>
                <c:pt idx="2">
                  <c:v>308</c:v>
                </c:pt>
              </c:numCache>
            </c:numRef>
          </c:yVal>
          <c:smooth val="0"/>
        </c:ser>
        <c:dLbls>
          <c:showLegendKey val="0"/>
          <c:showVal val="0"/>
          <c:showCatName val="0"/>
          <c:showSerName val="0"/>
          <c:showPercent val="0"/>
          <c:showBubbleSize val="0"/>
        </c:dLbls>
        <c:axId val="396299664"/>
        <c:axId val="396300056"/>
      </c:scatterChart>
      <c:valAx>
        <c:axId val="3962996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Hrs</a:t>
                </a:r>
                <a:r>
                  <a:rPr lang="en-ZA" baseline="0"/>
                  <a:t> storage</a:t>
                </a:r>
                <a:endParaRPr lang="en-ZA"/>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300056"/>
        <c:crosses val="autoZero"/>
        <c:crossBetween val="midCat"/>
      </c:valAx>
      <c:valAx>
        <c:axId val="396300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l/MWh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2996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'Shale gas'!$U$1</c:f>
              <c:strCache>
                <c:ptCount val="1"/>
                <c:pt idx="0">
                  <c:v>Gm3</c:v>
                </c:pt>
              </c:strCache>
            </c:strRef>
          </c:tx>
          <c:spPr>
            <a:ln w="28575">
              <a:noFill/>
            </a:ln>
          </c:spPr>
          <c:trendline>
            <c:trendlineType val="linear"/>
            <c:intercept val="0"/>
            <c:dispRSqr val="1"/>
            <c:dispEq val="1"/>
            <c:trendlineLbl>
              <c:numFmt formatCode="General" sourceLinked="0"/>
            </c:trendlineLbl>
          </c:trendline>
          <c:xVal>
            <c:numRef>
              <c:f>'Shale gas'!$V$5:$V$10</c:f>
              <c:numCache>
                <c:formatCode>General</c:formatCode>
                <c:ptCount val="6"/>
                <c:pt idx="0">
                  <c:v>0</c:v>
                </c:pt>
                <c:pt idx="1">
                  <c:v>96</c:v>
                </c:pt>
                <c:pt idx="2">
                  <c:v>193</c:v>
                </c:pt>
                <c:pt idx="3">
                  <c:v>289</c:v>
                </c:pt>
                <c:pt idx="4">
                  <c:v>386</c:v>
                </c:pt>
                <c:pt idx="5">
                  <c:v>481</c:v>
                </c:pt>
              </c:numCache>
            </c:numRef>
          </c:xVal>
          <c:yVal>
            <c:numRef>
              <c:f>'Shale gas'!$W$5:$W$10</c:f>
              <c:numCache>
                <c:formatCode>General</c:formatCode>
                <c:ptCount val="6"/>
                <c:pt idx="0">
                  <c:v>0</c:v>
                </c:pt>
                <c:pt idx="1">
                  <c:v>50</c:v>
                </c:pt>
                <c:pt idx="2">
                  <c:v>100</c:v>
                </c:pt>
                <c:pt idx="3">
                  <c:v>150</c:v>
                </c:pt>
                <c:pt idx="4">
                  <c:v>200</c:v>
                </c:pt>
                <c:pt idx="5">
                  <c:v>250</c:v>
                </c:pt>
              </c:numCache>
            </c:numRef>
          </c:yVal>
          <c:smooth val="0"/>
        </c:ser>
        <c:ser>
          <c:idx val="1"/>
          <c:order val="1"/>
          <c:tx>
            <c:strRef>
              <c:f>'Shale gas'!$Z$1</c:f>
              <c:strCache>
                <c:ptCount val="1"/>
                <c:pt idx="0">
                  <c:v>Mm3</c:v>
                </c:pt>
              </c:strCache>
            </c:strRef>
          </c:tx>
          <c:spPr>
            <a:ln w="28575">
              <a:noFill/>
            </a:ln>
          </c:spPr>
          <c:trendline>
            <c:trendlineType val="linear"/>
            <c:intercept val="0"/>
            <c:dispRSqr val="1"/>
            <c:dispEq val="1"/>
            <c:trendlineLbl>
              <c:numFmt formatCode="General" sourceLinked="0"/>
            </c:trendlineLbl>
          </c:trendline>
          <c:xVal>
            <c:numRef>
              <c:f>'Shale gas'!$Y$5:$Y$10</c:f>
              <c:numCache>
                <c:formatCode>General</c:formatCode>
                <c:ptCount val="6"/>
                <c:pt idx="0">
                  <c:v>0</c:v>
                </c:pt>
                <c:pt idx="1">
                  <c:v>65</c:v>
                </c:pt>
                <c:pt idx="2">
                  <c:v>193</c:v>
                </c:pt>
                <c:pt idx="3">
                  <c:v>321</c:v>
                </c:pt>
                <c:pt idx="4">
                  <c:v>450</c:v>
                </c:pt>
                <c:pt idx="5">
                  <c:v>513</c:v>
                </c:pt>
              </c:numCache>
            </c:numRef>
          </c:xVal>
          <c:yVal>
            <c:numRef>
              <c:f>'Shale gas'!$Z$5:$Z$10</c:f>
              <c:numCache>
                <c:formatCode>General</c:formatCode>
                <c:ptCount val="6"/>
                <c:pt idx="0">
                  <c:v>0</c:v>
                </c:pt>
                <c:pt idx="1">
                  <c:v>20</c:v>
                </c:pt>
                <c:pt idx="2">
                  <c:v>60</c:v>
                </c:pt>
                <c:pt idx="3">
                  <c:v>100</c:v>
                </c:pt>
                <c:pt idx="4">
                  <c:v>140</c:v>
                </c:pt>
                <c:pt idx="5">
                  <c:v>160</c:v>
                </c:pt>
              </c:numCache>
            </c:numRef>
          </c:yVal>
          <c:smooth val="0"/>
        </c:ser>
        <c:dLbls>
          <c:showLegendKey val="0"/>
          <c:showVal val="0"/>
          <c:showCatName val="0"/>
          <c:showSerName val="0"/>
          <c:showPercent val="0"/>
          <c:showBubbleSize val="0"/>
        </c:dLbls>
        <c:axId val="390079864"/>
        <c:axId val="390080256"/>
      </c:scatterChart>
      <c:valAx>
        <c:axId val="390079864"/>
        <c:scaling>
          <c:orientation val="minMax"/>
        </c:scaling>
        <c:delete val="0"/>
        <c:axPos val="b"/>
        <c:numFmt formatCode="General" sourceLinked="1"/>
        <c:majorTickMark val="out"/>
        <c:minorTickMark val="none"/>
        <c:tickLblPos val="nextTo"/>
        <c:crossAx val="390080256"/>
        <c:crosses val="autoZero"/>
        <c:crossBetween val="midCat"/>
      </c:valAx>
      <c:valAx>
        <c:axId val="390080256"/>
        <c:scaling>
          <c:orientation val="minMax"/>
        </c:scaling>
        <c:delete val="0"/>
        <c:axPos val="l"/>
        <c:majorGridlines/>
        <c:numFmt formatCode="General" sourceLinked="1"/>
        <c:majorTickMark val="out"/>
        <c:minorTickMark val="none"/>
        <c:tickLblPos val="nextTo"/>
        <c:crossAx val="390079864"/>
        <c:crosses val="autoZero"/>
        <c:crossBetween val="midCat"/>
      </c:valAx>
      <c:spPr>
        <a:noFill/>
        <a:ln w="25400">
          <a:noFill/>
        </a:ln>
      </c:spPr>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spPr>
              <a:ln>
                <a:prstDash val="lgDashDotDot"/>
              </a:ln>
            </c:spPr>
            <c:trendlineType val="linear"/>
            <c:intercept val="0"/>
            <c:dispRSqr val="1"/>
            <c:dispEq val="1"/>
            <c:trendlineLbl>
              <c:layout>
                <c:manualLayout>
                  <c:x val="-3.3589020122484686E-2"/>
                  <c:y val="-3.9491776330726827E-2"/>
                </c:manualLayout>
              </c:layout>
              <c:tx>
                <c:rich>
                  <a:bodyPr/>
                  <a:lstStyle/>
                  <a:p>
                    <a:pPr>
                      <a:defRPr/>
                    </a:pPr>
                    <a:r>
                      <a:rPr lang="en-US" baseline="0"/>
                      <a:t>Mm</a:t>
                    </a:r>
                    <a:r>
                      <a:rPr lang="en-US" baseline="30000"/>
                      <a:t>3</a:t>
                    </a:r>
                    <a:r>
                      <a:rPr lang="en-US" baseline="0"/>
                      <a:t> ~ 16.992Tcf</a:t>
                    </a:r>
                    <a:endParaRPr lang="en-US"/>
                  </a:p>
                </c:rich>
              </c:tx>
              <c:numFmt formatCode="General" sourceLinked="0"/>
            </c:trendlineLbl>
          </c:trendline>
          <c:xVal>
            <c:numRef>
              <c:f>'Shale gas'!$V$20:$V$25</c:f>
              <c:numCache>
                <c:formatCode>General</c:formatCode>
                <c:ptCount val="6"/>
                <c:pt idx="0">
                  <c:v>0</c:v>
                </c:pt>
                <c:pt idx="1">
                  <c:v>1.7598626206079999</c:v>
                </c:pt>
                <c:pt idx="2">
                  <c:v>2.2914877872499999</c:v>
                </c:pt>
                <c:pt idx="3">
                  <c:v>3.7213761664939997</c:v>
                </c:pt>
                <c:pt idx="4">
                  <c:v>5.9945320514459999</c:v>
                </c:pt>
                <c:pt idx="5">
                  <c:v>8.2310241318019983</c:v>
                </c:pt>
              </c:numCache>
            </c:numRef>
          </c:xVal>
          <c:yVal>
            <c:numRef>
              <c:f>'Shale gas'!$X$20:$X$25</c:f>
              <c:numCache>
                <c:formatCode>General</c:formatCode>
                <c:ptCount val="6"/>
                <c:pt idx="0">
                  <c:v>0</c:v>
                </c:pt>
                <c:pt idx="1">
                  <c:v>29.904</c:v>
                </c:pt>
                <c:pt idx="2">
                  <c:v>38.9375</c:v>
                </c:pt>
                <c:pt idx="3">
                  <c:v>63.234499999999997</c:v>
                </c:pt>
                <c:pt idx="4">
                  <c:v>101.8605</c:v>
                </c:pt>
                <c:pt idx="5">
                  <c:v>139.86349999999999</c:v>
                </c:pt>
              </c:numCache>
            </c:numRef>
          </c:yVal>
          <c:smooth val="0"/>
        </c:ser>
        <c:dLbls>
          <c:showLegendKey val="0"/>
          <c:showVal val="0"/>
          <c:showCatName val="0"/>
          <c:showSerName val="0"/>
          <c:showPercent val="0"/>
          <c:showBubbleSize val="0"/>
        </c:dLbls>
        <c:axId val="390111840"/>
        <c:axId val="390112232"/>
      </c:scatterChart>
      <c:valAx>
        <c:axId val="390111840"/>
        <c:scaling>
          <c:orientation val="minMax"/>
        </c:scaling>
        <c:delete val="0"/>
        <c:axPos val="b"/>
        <c:title>
          <c:tx>
            <c:rich>
              <a:bodyPr/>
              <a:lstStyle/>
              <a:p>
                <a:pPr>
                  <a:defRPr/>
                </a:pPr>
                <a:r>
                  <a:rPr lang="en-US"/>
                  <a:t>Tcf</a:t>
                </a:r>
              </a:p>
            </c:rich>
          </c:tx>
          <c:overlay val="0"/>
        </c:title>
        <c:numFmt formatCode="General" sourceLinked="1"/>
        <c:majorTickMark val="out"/>
        <c:minorTickMark val="none"/>
        <c:tickLblPos val="nextTo"/>
        <c:crossAx val="390112232"/>
        <c:crosses val="autoZero"/>
        <c:crossBetween val="midCat"/>
      </c:valAx>
      <c:valAx>
        <c:axId val="390112232"/>
        <c:scaling>
          <c:orientation val="minMax"/>
        </c:scaling>
        <c:delete val="0"/>
        <c:axPos val="l"/>
        <c:majorGridlines/>
        <c:title>
          <c:tx>
            <c:rich>
              <a:bodyPr rot="-5400000" vert="horz"/>
              <a:lstStyle/>
              <a:p>
                <a:pPr>
                  <a:defRPr/>
                </a:pPr>
                <a:r>
                  <a:rPr lang="en-US"/>
                  <a:t>Mm3</a:t>
                </a:r>
              </a:p>
            </c:rich>
          </c:tx>
          <c:overlay val="0"/>
        </c:title>
        <c:numFmt formatCode="General" sourceLinked="1"/>
        <c:majorTickMark val="out"/>
        <c:minorTickMark val="none"/>
        <c:tickLblPos val="nextTo"/>
        <c:crossAx val="390111840"/>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'cooling water'!$A$86:$A$88</c:f>
              <c:numCache>
                <c:formatCode>General</c:formatCode>
                <c:ptCount val="3"/>
                <c:pt idx="0">
                  <c:v>368</c:v>
                </c:pt>
                <c:pt idx="1">
                  <c:v>534</c:v>
                </c:pt>
                <c:pt idx="2">
                  <c:v>700</c:v>
                </c:pt>
              </c:numCache>
            </c:numRef>
          </c:xVal>
          <c:yVal>
            <c:numRef>
              <c:f>'cooling water'!$B$86:$B$88</c:f>
              <c:numCache>
                <c:formatCode>General</c:formatCode>
                <c:ptCount val="3"/>
                <c:pt idx="0">
                  <c:v>15</c:v>
                </c:pt>
                <c:pt idx="1">
                  <c:v>20</c:v>
                </c:pt>
                <c:pt idx="2">
                  <c:v>25</c:v>
                </c:pt>
              </c:numCache>
            </c:numRef>
          </c:yVal>
          <c:smooth val="0"/>
        </c:ser>
        <c:dLbls>
          <c:showLegendKey val="0"/>
          <c:showVal val="0"/>
          <c:showCatName val="0"/>
          <c:showSerName val="0"/>
          <c:showPercent val="0"/>
          <c:showBubbleSize val="0"/>
        </c:dLbls>
        <c:axId val="390079080"/>
        <c:axId val="390113408"/>
      </c:scatterChart>
      <c:valAx>
        <c:axId val="390079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113408"/>
        <c:crosses val="autoZero"/>
        <c:crossBetween val="midCat"/>
      </c:valAx>
      <c:valAx>
        <c:axId val="390113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0790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'cooling water'!$A$101:$A$103</c:f>
              <c:numCache>
                <c:formatCode>General</c:formatCode>
                <c:ptCount val="3"/>
                <c:pt idx="0">
                  <c:v>258</c:v>
                </c:pt>
                <c:pt idx="1">
                  <c:v>155</c:v>
                </c:pt>
                <c:pt idx="2">
                  <c:v>51</c:v>
                </c:pt>
              </c:numCache>
            </c:numRef>
          </c:xVal>
          <c:yVal>
            <c:numRef>
              <c:f>'cooling water'!$B$101:$B$103</c:f>
              <c:numCache>
                <c:formatCode>General</c:formatCode>
                <c:ptCount val="3"/>
                <c:pt idx="0">
                  <c:v>1</c:v>
                </c:pt>
                <c:pt idx="1">
                  <c:v>2</c:v>
                </c:pt>
                <c:pt idx="2">
                  <c:v>3</c:v>
                </c:pt>
              </c:numCache>
            </c:numRef>
          </c:yVal>
          <c:smooth val="0"/>
        </c:ser>
        <c:dLbls>
          <c:showLegendKey val="0"/>
          <c:showVal val="0"/>
          <c:showCatName val="0"/>
          <c:showSerName val="0"/>
          <c:showPercent val="0"/>
          <c:showBubbleSize val="0"/>
        </c:dLbls>
        <c:axId val="390265624"/>
        <c:axId val="390265232"/>
      </c:scatterChart>
      <c:valAx>
        <c:axId val="390265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265232"/>
        <c:crosses val="autoZero"/>
        <c:crossBetween val="midCat"/>
      </c:valAx>
      <c:valAx>
        <c:axId val="390265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2656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'cooling water'!$Q$82</c:f>
              <c:strCache>
                <c:ptCount val="1"/>
                <c:pt idx="0">
                  <c:v>Supercritical</c:v>
                </c:pt>
              </c:strCache>
            </c:strRef>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42234039162072612"/>
                  <c:y val="0.1104549431321084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'cooling water'!$T$83:$T$84</c:f>
              <c:numCache>
                <c:formatCode>General</c:formatCode>
                <c:ptCount val="2"/>
                <c:pt idx="0">
                  <c:v>14.962399999999999</c:v>
                </c:pt>
                <c:pt idx="1">
                  <c:v>24.985700000000001</c:v>
                </c:pt>
              </c:numCache>
            </c:numRef>
          </c:xVal>
          <c:yVal>
            <c:numRef>
              <c:f>'cooling water'!$U$83:$U$84</c:f>
              <c:numCache>
                <c:formatCode>General</c:formatCode>
                <c:ptCount val="2"/>
                <c:pt idx="0">
                  <c:v>1.9424000000000001</c:v>
                </c:pt>
                <c:pt idx="1">
                  <c:v>2.2237</c:v>
                </c:pt>
              </c:numCache>
            </c:numRef>
          </c:yVal>
          <c:smooth val="0"/>
        </c:ser>
        <c:ser>
          <c:idx val="1"/>
          <c:order val="1"/>
          <c:tx>
            <c:strRef>
              <c:f>'cooling water'!$Q$78</c:f>
              <c:strCache>
                <c:ptCount val="1"/>
                <c:pt idx="0">
                  <c:v>Subcritical</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0.40828373288186742"/>
                  <c:y val="1.6342228054826481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'cooling water'!$T$79:$T$80</c:f>
              <c:numCache>
                <c:formatCode>General</c:formatCode>
                <c:ptCount val="2"/>
                <c:pt idx="0">
                  <c:v>15.052699999999998</c:v>
                </c:pt>
                <c:pt idx="1">
                  <c:v>24.985700000000001</c:v>
                </c:pt>
              </c:numCache>
            </c:numRef>
          </c:xVal>
          <c:yVal>
            <c:numRef>
              <c:f>'cooling water'!$U$79:$U$80</c:f>
              <c:numCache>
                <c:formatCode>General</c:formatCode>
                <c:ptCount val="2"/>
                <c:pt idx="0">
                  <c:v>2.1558000000000002</c:v>
                </c:pt>
                <c:pt idx="1">
                  <c:v>2.4662000000000002</c:v>
                </c:pt>
              </c:numCache>
            </c:numRef>
          </c:yVal>
          <c:smooth val="0"/>
        </c:ser>
        <c:ser>
          <c:idx val="2"/>
          <c:order val="2"/>
          <c:tx>
            <c:strRef>
              <c:f>'cooling water'!$Q$87</c:f>
              <c:strCache>
                <c:ptCount val="1"/>
                <c:pt idx="0">
                  <c:v>Ultra-supercritical</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1"/>
            <c:dispEq val="1"/>
            <c:trendlineLbl>
              <c:layout>
                <c:manualLayout>
                  <c:x val="-0.42110340565170656"/>
                  <c:y val="0.1564282589676290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'cooling water'!$T$88:$T$89</c:f>
              <c:numCache>
                <c:formatCode>General</c:formatCode>
                <c:ptCount val="2"/>
                <c:pt idx="0">
                  <c:v>14.9925</c:v>
                </c:pt>
                <c:pt idx="1">
                  <c:v>24.985700000000001</c:v>
                </c:pt>
              </c:numCache>
            </c:numRef>
          </c:xVal>
          <c:yVal>
            <c:numRef>
              <c:f>'cooling water'!$U$88:$U$89</c:f>
              <c:numCache>
                <c:formatCode>General</c:formatCode>
                <c:ptCount val="2"/>
                <c:pt idx="0">
                  <c:v>1.5835000000000001</c:v>
                </c:pt>
                <c:pt idx="1">
                  <c:v>1.8163</c:v>
                </c:pt>
              </c:numCache>
            </c:numRef>
          </c:yVal>
          <c:smooth val="0"/>
        </c:ser>
        <c:dLbls>
          <c:showLegendKey val="0"/>
          <c:showVal val="0"/>
          <c:showCatName val="0"/>
          <c:showSerName val="0"/>
          <c:showPercent val="0"/>
          <c:showBubbleSize val="0"/>
        </c:dLbls>
        <c:axId val="390079472"/>
        <c:axId val="389243808"/>
      </c:scatterChart>
      <c:valAx>
        <c:axId val="390079472"/>
        <c:scaling>
          <c:orientation val="minMax"/>
          <c:max val="30"/>
          <c:min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243808"/>
        <c:crosses val="autoZero"/>
        <c:crossBetween val="midCat"/>
      </c:valAx>
      <c:valAx>
        <c:axId val="389243808"/>
        <c:scaling>
          <c:orientation val="minMax"/>
          <c:max val="3"/>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079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4"/>
            <c:dispRSqr val="1"/>
            <c:dispEq val="1"/>
            <c:trendlineLbl>
              <c:layout>
                <c:manualLayout>
                  <c:x val="-7.523793443948161E-2"/>
                  <c:y val="0.3207292779254328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seasonal!$A$27:$A$38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xVal>
          <c:yVal>
            <c:numRef>
              <c:f>seasonal!$C$27:$C$38</c:f>
              <c:numCache>
                <c:formatCode>General</c:formatCode>
                <c:ptCount val="12"/>
                <c:pt idx="0">
                  <c:v>1.9848000000000001</c:v>
                </c:pt>
                <c:pt idx="1">
                  <c:v>1.9848000000000001</c:v>
                </c:pt>
                <c:pt idx="2">
                  <c:v>1.9224000000000001</c:v>
                </c:pt>
                <c:pt idx="3">
                  <c:v>1.8288000000000002</c:v>
                </c:pt>
                <c:pt idx="4">
                  <c:v>1.6728000000000001</c:v>
                </c:pt>
                <c:pt idx="5">
                  <c:v>1.6104000000000001</c:v>
                </c:pt>
                <c:pt idx="6">
                  <c:v>1.6104000000000001</c:v>
                </c:pt>
                <c:pt idx="7">
                  <c:v>1.6728000000000001</c:v>
                </c:pt>
                <c:pt idx="8">
                  <c:v>1.8288000000000002</c:v>
                </c:pt>
                <c:pt idx="9">
                  <c:v>1.9224000000000001</c:v>
                </c:pt>
                <c:pt idx="10">
                  <c:v>1.9224000000000001</c:v>
                </c:pt>
                <c:pt idx="11">
                  <c:v>1.9848000000000001</c:v>
                </c:pt>
              </c:numCache>
            </c:numRef>
          </c:yVal>
          <c:smooth val="0"/>
        </c:ser>
        <c:ser>
          <c:idx val="0"/>
          <c:order val="1"/>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layout>
                <c:manualLayout>
                  <c:x val="-2.3256128071710333E-2"/>
                  <c:y val="-5.039800624291050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seasonal!$A$27:$A$38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xVal>
          <c:yVal>
            <c:numRef>
              <c:f>seasonal!$B$27:$B$38</c:f>
              <c:numCache>
                <c:formatCode>General</c:formatCode>
                <c:ptCount val="12"/>
                <c:pt idx="0">
                  <c:v>2.1834000000000002</c:v>
                </c:pt>
                <c:pt idx="1">
                  <c:v>2.1834000000000002</c:v>
                </c:pt>
                <c:pt idx="2">
                  <c:v>2.121</c:v>
                </c:pt>
                <c:pt idx="3">
                  <c:v>2.0274000000000001</c:v>
                </c:pt>
                <c:pt idx="4">
                  <c:v>1.8714000000000002</c:v>
                </c:pt>
                <c:pt idx="5">
                  <c:v>1.8090000000000002</c:v>
                </c:pt>
                <c:pt idx="6">
                  <c:v>1.8090000000000002</c:v>
                </c:pt>
                <c:pt idx="7">
                  <c:v>1.8714000000000002</c:v>
                </c:pt>
                <c:pt idx="8">
                  <c:v>2.0274000000000001</c:v>
                </c:pt>
                <c:pt idx="9">
                  <c:v>2.121</c:v>
                </c:pt>
                <c:pt idx="10">
                  <c:v>2.121</c:v>
                </c:pt>
                <c:pt idx="11">
                  <c:v>2.1834000000000002</c:v>
                </c:pt>
              </c:numCache>
            </c:numRef>
          </c:yVal>
          <c:smooth val="0"/>
        </c:ser>
        <c:dLbls>
          <c:showLegendKey val="0"/>
          <c:showVal val="0"/>
          <c:showCatName val="0"/>
          <c:showSerName val="0"/>
          <c:showPercent val="0"/>
          <c:showBubbleSize val="0"/>
        </c:dLbls>
        <c:axId val="389244592"/>
        <c:axId val="389244984"/>
      </c:scatterChart>
      <c:valAx>
        <c:axId val="389244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244984"/>
        <c:crosses val="autoZero"/>
        <c:crossBetween val="midCat"/>
      </c:valAx>
      <c:valAx>
        <c:axId val="389244984"/>
        <c:scaling>
          <c:orientation val="minMax"/>
          <c:min val="1.4"/>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2445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35.png"/><Relationship Id="rId7" Type="http://schemas.openxmlformats.org/officeDocument/2006/relationships/chart" Target="../charts/chart7.xml"/><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chart" Target="../charts/chart6.xml"/><Relationship Id="rId5" Type="http://schemas.openxmlformats.org/officeDocument/2006/relationships/image" Target="../media/image37.png"/><Relationship Id="rId4" Type="http://schemas.openxmlformats.org/officeDocument/2006/relationships/image" Target="../media/image36.png"/><Relationship Id="rId9"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40.png"/><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43.png"/><Relationship Id="rId7" Type="http://schemas.openxmlformats.org/officeDocument/2006/relationships/image" Target="../media/image46.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png"/><Relationship Id="rId5" Type="http://schemas.openxmlformats.org/officeDocument/2006/relationships/image" Target="../media/image45.png"/><Relationship Id="rId10" Type="http://schemas.openxmlformats.org/officeDocument/2006/relationships/chart" Target="../charts/chart17.xml"/><Relationship Id="rId4" Type="http://schemas.openxmlformats.org/officeDocument/2006/relationships/image" Target="../media/image44.png"/><Relationship Id="rId9" Type="http://schemas.openxmlformats.org/officeDocument/2006/relationships/image" Target="../media/image48.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31.xml"/><Relationship Id="rId13" Type="http://schemas.openxmlformats.org/officeDocument/2006/relationships/chart" Target="../charts/chart34.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3.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2.xml"/><Relationship Id="rId5" Type="http://schemas.openxmlformats.org/officeDocument/2006/relationships/chart" Target="../charts/chart28.xml"/><Relationship Id="rId15" Type="http://schemas.openxmlformats.org/officeDocument/2006/relationships/chart" Target="../charts/chart35.xml"/><Relationship Id="rId10" Type="http://schemas.openxmlformats.org/officeDocument/2006/relationships/image" Target="../media/image50.png"/><Relationship Id="rId4" Type="http://schemas.openxmlformats.org/officeDocument/2006/relationships/chart" Target="../charts/chart27.xml"/><Relationship Id="rId9" Type="http://schemas.openxmlformats.org/officeDocument/2006/relationships/image" Target="../media/image49.png"/><Relationship Id="rId14" Type="http://schemas.openxmlformats.org/officeDocument/2006/relationships/image" Target="../media/image51.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2.emf"/><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image" Target="../media/image54.emf"/><Relationship Id="rId4" Type="http://schemas.openxmlformats.org/officeDocument/2006/relationships/image" Target="../media/image53.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4</xdr:col>
      <xdr:colOff>266977</xdr:colOff>
      <xdr:row>0</xdr:row>
      <xdr:rowOff>95250</xdr:rowOff>
    </xdr:from>
    <xdr:to>
      <xdr:col>14</xdr:col>
      <xdr:colOff>585263</xdr:colOff>
      <xdr:row>20</xdr:row>
      <xdr:rowOff>0</xdr:rowOff>
    </xdr:to>
    <xdr:grpSp>
      <xdr:nvGrpSpPr>
        <xdr:cNvPr id="2" name="Group 1"/>
        <xdr:cNvGrpSpPr/>
      </xdr:nvGrpSpPr>
      <xdr:grpSpPr>
        <a:xfrm>
          <a:off x="4915177" y="95250"/>
          <a:ext cx="6414286" cy="3714750"/>
          <a:chOff x="3661854" y="95250"/>
          <a:chExt cx="6406445" cy="3788019"/>
        </a:xfrm>
      </xdr:grpSpPr>
      <xdr:pic>
        <xdr:nvPicPr>
          <xdr:cNvPr id="3" name="WM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1854" y="95250"/>
            <a:ext cx="6406445" cy="3788019"/>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grpSp>
        <xdr:nvGrpSpPr>
          <xdr:cNvPr id="4" name="Group 3"/>
          <xdr:cNvGrpSpPr/>
        </xdr:nvGrpSpPr>
        <xdr:grpSpPr>
          <a:xfrm>
            <a:off x="4006940" y="576513"/>
            <a:ext cx="3934340" cy="2575406"/>
            <a:chOff x="4006940" y="576513"/>
            <a:chExt cx="3934340" cy="2575406"/>
          </a:xfrm>
        </xdr:grpSpPr>
        <xdr:sp macro="" textlink="">
          <xdr:nvSpPr>
            <xdr:cNvPr id="5" name="Biofuels"/>
            <xdr:cNvSpPr/>
          </xdr:nvSpPr>
          <xdr:spPr>
            <a:xfrm>
              <a:off x="7420886" y="1160595"/>
              <a:ext cx="520394" cy="673758"/>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sp macro="" textlink="">
          <xdr:nvSpPr>
            <xdr:cNvPr id="6" name="Karoo: Shale"/>
            <xdr:cNvSpPr/>
          </xdr:nvSpPr>
          <xdr:spPr>
            <a:xfrm>
              <a:off x="4920954" y="2604850"/>
              <a:ext cx="1620322" cy="547069"/>
            </a:xfrm>
            <a:prstGeom prst="flowChartAlternateProcess">
              <a:avLst/>
            </a:prstGeom>
            <a:no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ZA" sz="1100"/>
            </a:p>
          </xdr:txBody>
        </xdr:sp>
        <xdr:sp macro="" textlink="">
          <xdr:nvSpPr>
            <xdr:cNvPr id="7" name="Orange River: CSP"/>
            <xdr:cNvSpPr/>
          </xdr:nvSpPr>
          <xdr:spPr>
            <a:xfrm>
              <a:off x="4006940" y="1860415"/>
              <a:ext cx="1862628" cy="441798"/>
            </a:xfrm>
            <a:custGeom>
              <a:avLst/>
              <a:gdLst>
                <a:gd name="connsiteX0" fmla="*/ 8107 w 1860415"/>
                <a:gd name="connsiteY0" fmla="*/ 206713 h 441798"/>
                <a:gd name="connsiteX1" fmla="*/ 52692 w 1860415"/>
                <a:gd name="connsiteY1" fmla="*/ 186447 h 441798"/>
                <a:gd name="connsiteX2" fmla="*/ 77011 w 1860415"/>
                <a:gd name="connsiteY2" fmla="*/ 170234 h 441798"/>
                <a:gd name="connsiteX3" fmla="*/ 85117 w 1860415"/>
                <a:gd name="connsiteY3" fmla="*/ 145915 h 441798"/>
                <a:gd name="connsiteX4" fmla="*/ 77011 w 1860415"/>
                <a:gd name="connsiteY4" fmla="*/ 97276 h 441798"/>
                <a:gd name="connsiteX5" fmla="*/ 81064 w 1860415"/>
                <a:gd name="connsiteY5" fmla="*/ 77011 h 441798"/>
                <a:gd name="connsiteX6" fmla="*/ 89170 w 1860415"/>
                <a:gd name="connsiteY6" fmla="*/ 68904 h 441798"/>
                <a:gd name="connsiteX7" fmla="*/ 113490 w 1860415"/>
                <a:gd name="connsiteY7" fmla="*/ 52691 h 441798"/>
                <a:gd name="connsiteX8" fmla="*/ 125649 w 1860415"/>
                <a:gd name="connsiteY8" fmla="*/ 44585 h 441798"/>
                <a:gd name="connsiteX9" fmla="*/ 133756 w 1860415"/>
                <a:gd name="connsiteY9" fmla="*/ 36479 h 441798"/>
                <a:gd name="connsiteX10" fmla="*/ 145915 w 1860415"/>
                <a:gd name="connsiteY10" fmla="*/ 32425 h 441798"/>
                <a:gd name="connsiteX11" fmla="*/ 170234 w 1860415"/>
                <a:gd name="connsiteY11" fmla="*/ 36479 h 441798"/>
                <a:gd name="connsiteX12" fmla="*/ 182394 w 1860415"/>
                <a:gd name="connsiteY12" fmla="*/ 44585 h 441798"/>
                <a:gd name="connsiteX13" fmla="*/ 198607 w 1860415"/>
                <a:gd name="connsiteY13" fmla="*/ 52691 h 441798"/>
                <a:gd name="connsiteX14" fmla="*/ 202660 w 1860415"/>
                <a:gd name="connsiteY14" fmla="*/ 64851 h 441798"/>
                <a:gd name="connsiteX15" fmla="*/ 210766 w 1860415"/>
                <a:gd name="connsiteY15" fmla="*/ 77011 h 441798"/>
                <a:gd name="connsiteX16" fmla="*/ 214819 w 1860415"/>
                <a:gd name="connsiteY16" fmla="*/ 93223 h 441798"/>
                <a:gd name="connsiteX17" fmla="*/ 218873 w 1860415"/>
                <a:gd name="connsiteY17" fmla="*/ 117542 h 441798"/>
                <a:gd name="connsiteX18" fmla="*/ 243192 w 1860415"/>
                <a:gd name="connsiteY18" fmla="*/ 133755 h 441798"/>
                <a:gd name="connsiteX19" fmla="*/ 251298 w 1860415"/>
                <a:gd name="connsiteY19" fmla="*/ 145915 h 441798"/>
                <a:gd name="connsiteX20" fmla="*/ 263458 w 1860415"/>
                <a:gd name="connsiteY20" fmla="*/ 182394 h 441798"/>
                <a:gd name="connsiteX21" fmla="*/ 275617 w 1860415"/>
                <a:gd name="connsiteY21" fmla="*/ 186447 h 441798"/>
                <a:gd name="connsiteX22" fmla="*/ 287777 w 1860415"/>
                <a:gd name="connsiteY22" fmla="*/ 194553 h 441798"/>
                <a:gd name="connsiteX23" fmla="*/ 308043 w 1860415"/>
                <a:gd name="connsiteY23" fmla="*/ 190500 h 441798"/>
                <a:gd name="connsiteX24" fmla="*/ 376947 w 1860415"/>
                <a:gd name="connsiteY24" fmla="*/ 198606 h 441798"/>
                <a:gd name="connsiteX25" fmla="*/ 389107 w 1860415"/>
                <a:gd name="connsiteY25" fmla="*/ 206713 h 441798"/>
                <a:gd name="connsiteX26" fmla="*/ 401266 w 1860415"/>
                <a:gd name="connsiteY26" fmla="*/ 210766 h 441798"/>
                <a:gd name="connsiteX27" fmla="*/ 413426 w 1860415"/>
                <a:gd name="connsiteY27" fmla="*/ 222925 h 441798"/>
                <a:gd name="connsiteX28" fmla="*/ 433692 w 1860415"/>
                <a:gd name="connsiteY28" fmla="*/ 247245 h 441798"/>
                <a:gd name="connsiteX29" fmla="*/ 458011 w 1860415"/>
                <a:gd name="connsiteY29" fmla="*/ 251298 h 441798"/>
                <a:gd name="connsiteX30" fmla="*/ 494490 w 1860415"/>
                <a:gd name="connsiteY30" fmla="*/ 255351 h 441798"/>
                <a:gd name="connsiteX31" fmla="*/ 567447 w 1860415"/>
                <a:gd name="connsiteY31" fmla="*/ 247245 h 441798"/>
                <a:gd name="connsiteX32" fmla="*/ 591766 w 1860415"/>
                <a:gd name="connsiteY32" fmla="*/ 231032 h 441798"/>
                <a:gd name="connsiteX33" fmla="*/ 672830 w 1860415"/>
                <a:gd name="connsiteY33" fmla="*/ 218872 h 441798"/>
                <a:gd name="connsiteX34" fmla="*/ 701202 w 1860415"/>
                <a:gd name="connsiteY34" fmla="*/ 206713 h 441798"/>
                <a:gd name="connsiteX35" fmla="*/ 721468 w 1860415"/>
                <a:gd name="connsiteY35" fmla="*/ 190500 h 441798"/>
                <a:gd name="connsiteX36" fmla="*/ 741734 w 1860415"/>
                <a:gd name="connsiteY36" fmla="*/ 178340 h 441798"/>
                <a:gd name="connsiteX37" fmla="*/ 749841 w 1860415"/>
                <a:gd name="connsiteY37" fmla="*/ 170234 h 441798"/>
                <a:gd name="connsiteX38" fmla="*/ 762000 w 1860415"/>
                <a:gd name="connsiteY38" fmla="*/ 162128 h 441798"/>
                <a:gd name="connsiteX39" fmla="*/ 774160 w 1860415"/>
                <a:gd name="connsiteY39" fmla="*/ 137808 h 441798"/>
                <a:gd name="connsiteX40" fmla="*/ 778213 w 1860415"/>
                <a:gd name="connsiteY40" fmla="*/ 125649 h 441798"/>
                <a:gd name="connsiteX41" fmla="*/ 790373 w 1860415"/>
                <a:gd name="connsiteY41" fmla="*/ 121596 h 441798"/>
                <a:gd name="connsiteX42" fmla="*/ 826851 w 1860415"/>
                <a:gd name="connsiteY42" fmla="*/ 113489 h 441798"/>
                <a:gd name="connsiteX43" fmla="*/ 839011 w 1860415"/>
                <a:gd name="connsiteY43" fmla="*/ 105383 h 441798"/>
                <a:gd name="connsiteX44" fmla="*/ 847117 w 1860415"/>
                <a:gd name="connsiteY44" fmla="*/ 97276 h 441798"/>
                <a:gd name="connsiteX45" fmla="*/ 867383 w 1860415"/>
                <a:gd name="connsiteY45" fmla="*/ 89170 h 441798"/>
                <a:gd name="connsiteX46" fmla="*/ 855224 w 1860415"/>
                <a:gd name="connsiteY46" fmla="*/ 77011 h 441798"/>
                <a:gd name="connsiteX47" fmla="*/ 859277 w 1860415"/>
                <a:gd name="connsiteY47" fmla="*/ 24319 h 441798"/>
                <a:gd name="connsiteX48" fmla="*/ 863330 w 1860415"/>
                <a:gd name="connsiteY48" fmla="*/ 8106 h 441798"/>
                <a:gd name="connsiteX49" fmla="*/ 895756 w 1860415"/>
                <a:gd name="connsiteY49" fmla="*/ 16213 h 441798"/>
                <a:gd name="connsiteX50" fmla="*/ 907915 w 1860415"/>
                <a:gd name="connsiteY50" fmla="*/ 24319 h 441798"/>
                <a:gd name="connsiteX51" fmla="*/ 960607 w 1860415"/>
                <a:gd name="connsiteY51" fmla="*/ 36479 h 441798"/>
                <a:gd name="connsiteX52" fmla="*/ 1078149 w 1860415"/>
                <a:gd name="connsiteY52" fmla="*/ 28372 h 441798"/>
                <a:gd name="connsiteX53" fmla="*/ 1090309 w 1860415"/>
                <a:gd name="connsiteY53" fmla="*/ 24319 h 441798"/>
                <a:gd name="connsiteX54" fmla="*/ 1118681 w 1860415"/>
                <a:gd name="connsiteY54" fmla="*/ 20266 h 441798"/>
                <a:gd name="connsiteX55" fmla="*/ 1151107 w 1860415"/>
                <a:gd name="connsiteY55" fmla="*/ 8106 h 441798"/>
                <a:gd name="connsiteX56" fmla="*/ 1175426 w 1860415"/>
                <a:gd name="connsiteY56" fmla="*/ 0 h 441798"/>
                <a:gd name="connsiteX57" fmla="*/ 1301075 w 1860415"/>
                <a:gd name="connsiteY57" fmla="*/ 12159 h 441798"/>
                <a:gd name="connsiteX58" fmla="*/ 1321341 w 1860415"/>
                <a:gd name="connsiteY58" fmla="*/ 24319 h 441798"/>
                <a:gd name="connsiteX59" fmla="*/ 1337553 w 1860415"/>
                <a:gd name="connsiteY59" fmla="*/ 32425 h 441798"/>
                <a:gd name="connsiteX60" fmla="*/ 1345660 w 1860415"/>
                <a:gd name="connsiteY60" fmla="*/ 44585 h 441798"/>
                <a:gd name="connsiteX61" fmla="*/ 1361873 w 1860415"/>
                <a:gd name="connsiteY61" fmla="*/ 68904 h 441798"/>
                <a:gd name="connsiteX62" fmla="*/ 1378085 w 1860415"/>
                <a:gd name="connsiteY62" fmla="*/ 72957 h 441798"/>
                <a:gd name="connsiteX63" fmla="*/ 1390245 w 1860415"/>
                <a:gd name="connsiteY63" fmla="*/ 81064 h 441798"/>
                <a:gd name="connsiteX64" fmla="*/ 1402404 w 1860415"/>
                <a:gd name="connsiteY64" fmla="*/ 85117 h 441798"/>
                <a:gd name="connsiteX65" fmla="*/ 1410511 w 1860415"/>
                <a:gd name="connsiteY65" fmla="*/ 93223 h 441798"/>
                <a:gd name="connsiteX66" fmla="*/ 1438883 w 1860415"/>
                <a:gd name="connsiteY66" fmla="*/ 97276 h 441798"/>
                <a:gd name="connsiteX67" fmla="*/ 1451043 w 1860415"/>
                <a:gd name="connsiteY67" fmla="*/ 101330 h 441798"/>
                <a:gd name="connsiteX68" fmla="*/ 1459149 w 1860415"/>
                <a:gd name="connsiteY68" fmla="*/ 113489 h 441798"/>
                <a:gd name="connsiteX69" fmla="*/ 1467256 w 1860415"/>
                <a:gd name="connsiteY69" fmla="*/ 121596 h 441798"/>
                <a:gd name="connsiteX70" fmla="*/ 1479415 w 1860415"/>
                <a:gd name="connsiteY70" fmla="*/ 137808 h 441798"/>
                <a:gd name="connsiteX71" fmla="*/ 1495628 w 1860415"/>
                <a:gd name="connsiteY71" fmla="*/ 154021 h 441798"/>
                <a:gd name="connsiteX72" fmla="*/ 1519947 w 1860415"/>
                <a:gd name="connsiteY72" fmla="*/ 170234 h 441798"/>
                <a:gd name="connsiteX73" fmla="*/ 1536160 w 1860415"/>
                <a:gd name="connsiteY73" fmla="*/ 174287 h 441798"/>
                <a:gd name="connsiteX74" fmla="*/ 1568585 w 1860415"/>
                <a:gd name="connsiteY74" fmla="*/ 186447 h 441798"/>
                <a:gd name="connsiteX75" fmla="*/ 1596958 w 1860415"/>
                <a:gd name="connsiteY75" fmla="*/ 194553 h 441798"/>
                <a:gd name="connsiteX76" fmla="*/ 1637490 w 1860415"/>
                <a:gd name="connsiteY76" fmla="*/ 202659 h 441798"/>
                <a:gd name="connsiteX77" fmla="*/ 1690181 w 1860415"/>
                <a:gd name="connsiteY77" fmla="*/ 206713 h 441798"/>
                <a:gd name="connsiteX78" fmla="*/ 1775298 w 1860415"/>
                <a:gd name="connsiteY78" fmla="*/ 210766 h 441798"/>
                <a:gd name="connsiteX79" fmla="*/ 1787458 w 1860415"/>
                <a:gd name="connsiteY79" fmla="*/ 206713 h 441798"/>
                <a:gd name="connsiteX80" fmla="*/ 1823936 w 1860415"/>
                <a:gd name="connsiteY80" fmla="*/ 210766 h 441798"/>
                <a:gd name="connsiteX81" fmla="*/ 1844202 w 1860415"/>
                <a:gd name="connsiteY81" fmla="*/ 218872 h 441798"/>
                <a:gd name="connsiteX82" fmla="*/ 1856362 w 1860415"/>
                <a:gd name="connsiteY82" fmla="*/ 222925 h 441798"/>
                <a:gd name="connsiteX83" fmla="*/ 1860415 w 1860415"/>
                <a:gd name="connsiteY83" fmla="*/ 235085 h 441798"/>
                <a:gd name="connsiteX84" fmla="*/ 1819883 w 1860415"/>
                <a:gd name="connsiteY84" fmla="*/ 255351 h 441798"/>
                <a:gd name="connsiteX85" fmla="*/ 1799617 w 1860415"/>
                <a:gd name="connsiteY85" fmla="*/ 275617 h 441798"/>
                <a:gd name="connsiteX86" fmla="*/ 1783404 w 1860415"/>
                <a:gd name="connsiteY86" fmla="*/ 299936 h 441798"/>
                <a:gd name="connsiteX87" fmla="*/ 1771245 w 1860415"/>
                <a:gd name="connsiteY87" fmla="*/ 324255 h 441798"/>
                <a:gd name="connsiteX88" fmla="*/ 1759085 w 1860415"/>
                <a:gd name="connsiteY88" fmla="*/ 348574 h 441798"/>
                <a:gd name="connsiteX89" fmla="*/ 1755032 w 1860415"/>
                <a:gd name="connsiteY89" fmla="*/ 381000 h 441798"/>
                <a:gd name="connsiteX90" fmla="*/ 1746926 w 1860415"/>
                <a:gd name="connsiteY90" fmla="*/ 393159 h 441798"/>
                <a:gd name="connsiteX91" fmla="*/ 1742873 w 1860415"/>
                <a:gd name="connsiteY91" fmla="*/ 417479 h 441798"/>
                <a:gd name="connsiteX92" fmla="*/ 1722607 w 1860415"/>
                <a:gd name="connsiteY92" fmla="*/ 433691 h 441798"/>
                <a:gd name="connsiteX93" fmla="*/ 1661809 w 1860415"/>
                <a:gd name="connsiteY93" fmla="*/ 429638 h 441798"/>
                <a:gd name="connsiteX94" fmla="*/ 1637490 w 1860415"/>
                <a:gd name="connsiteY94" fmla="*/ 421532 h 441798"/>
                <a:gd name="connsiteX95" fmla="*/ 1560479 w 1860415"/>
                <a:gd name="connsiteY95" fmla="*/ 417479 h 441798"/>
                <a:gd name="connsiteX96" fmla="*/ 1536160 w 1860415"/>
                <a:gd name="connsiteY96" fmla="*/ 409372 h 441798"/>
                <a:gd name="connsiteX97" fmla="*/ 1524000 w 1860415"/>
                <a:gd name="connsiteY97" fmla="*/ 405319 h 441798"/>
                <a:gd name="connsiteX98" fmla="*/ 1511841 w 1860415"/>
                <a:gd name="connsiteY98" fmla="*/ 397213 h 441798"/>
                <a:gd name="connsiteX99" fmla="*/ 1479415 w 1860415"/>
                <a:gd name="connsiteY99" fmla="*/ 372894 h 441798"/>
                <a:gd name="connsiteX100" fmla="*/ 1455096 w 1860415"/>
                <a:gd name="connsiteY100" fmla="*/ 360734 h 441798"/>
                <a:gd name="connsiteX101" fmla="*/ 1414564 w 1860415"/>
                <a:gd name="connsiteY101" fmla="*/ 348574 h 441798"/>
                <a:gd name="connsiteX102" fmla="*/ 1402404 w 1860415"/>
                <a:gd name="connsiteY102" fmla="*/ 344521 h 441798"/>
                <a:gd name="connsiteX103" fmla="*/ 1361873 w 1860415"/>
                <a:gd name="connsiteY103" fmla="*/ 340468 h 441798"/>
                <a:gd name="connsiteX104" fmla="*/ 1337553 w 1860415"/>
                <a:gd name="connsiteY104" fmla="*/ 324255 h 441798"/>
                <a:gd name="connsiteX105" fmla="*/ 1325394 w 1860415"/>
                <a:gd name="connsiteY105" fmla="*/ 316149 h 441798"/>
                <a:gd name="connsiteX106" fmla="*/ 1313234 w 1860415"/>
                <a:gd name="connsiteY106" fmla="*/ 303989 h 441798"/>
                <a:gd name="connsiteX107" fmla="*/ 1305128 w 1860415"/>
                <a:gd name="connsiteY107" fmla="*/ 291830 h 441798"/>
                <a:gd name="connsiteX108" fmla="*/ 1292968 w 1860415"/>
                <a:gd name="connsiteY108" fmla="*/ 287776 h 441798"/>
                <a:gd name="connsiteX109" fmla="*/ 1280809 w 1860415"/>
                <a:gd name="connsiteY109" fmla="*/ 279670 h 441798"/>
                <a:gd name="connsiteX110" fmla="*/ 1272702 w 1860415"/>
                <a:gd name="connsiteY110" fmla="*/ 271564 h 441798"/>
                <a:gd name="connsiteX111" fmla="*/ 1260543 w 1860415"/>
                <a:gd name="connsiteY111" fmla="*/ 267511 h 441798"/>
                <a:gd name="connsiteX112" fmla="*/ 1236224 w 1860415"/>
                <a:gd name="connsiteY112" fmla="*/ 271564 h 441798"/>
                <a:gd name="connsiteX113" fmla="*/ 1215958 w 1860415"/>
                <a:gd name="connsiteY113" fmla="*/ 275617 h 441798"/>
                <a:gd name="connsiteX114" fmla="*/ 1082202 w 1860415"/>
                <a:gd name="connsiteY114" fmla="*/ 271564 h 441798"/>
                <a:gd name="connsiteX115" fmla="*/ 1005192 w 1860415"/>
                <a:gd name="connsiteY115" fmla="*/ 275617 h 441798"/>
                <a:gd name="connsiteX116" fmla="*/ 980873 w 1860415"/>
                <a:gd name="connsiteY116" fmla="*/ 283723 h 441798"/>
                <a:gd name="connsiteX117" fmla="*/ 968713 w 1860415"/>
                <a:gd name="connsiteY117" fmla="*/ 287776 h 441798"/>
                <a:gd name="connsiteX118" fmla="*/ 956553 w 1860415"/>
                <a:gd name="connsiteY118" fmla="*/ 295883 h 441798"/>
                <a:gd name="connsiteX119" fmla="*/ 952500 w 1860415"/>
                <a:gd name="connsiteY119" fmla="*/ 308042 h 441798"/>
                <a:gd name="connsiteX120" fmla="*/ 903862 w 1860415"/>
                <a:gd name="connsiteY120" fmla="*/ 332362 h 441798"/>
                <a:gd name="connsiteX121" fmla="*/ 879543 w 1860415"/>
                <a:gd name="connsiteY121" fmla="*/ 352628 h 441798"/>
                <a:gd name="connsiteX122" fmla="*/ 859277 w 1860415"/>
                <a:gd name="connsiteY122" fmla="*/ 368840 h 441798"/>
                <a:gd name="connsiteX123" fmla="*/ 843064 w 1860415"/>
                <a:gd name="connsiteY123" fmla="*/ 372894 h 441798"/>
                <a:gd name="connsiteX124" fmla="*/ 830904 w 1860415"/>
                <a:gd name="connsiteY124" fmla="*/ 376947 h 441798"/>
                <a:gd name="connsiteX125" fmla="*/ 818745 w 1860415"/>
                <a:gd name="connsiteY125" fmla="*/ 385053 h 441798"/>
                <a:gd name="connsiteX126" fmla="*/ 794426 w 1860415"/>
                <a:gd name="connsiteY126" fmla="*/ 393159 h 441798"/>
                <a:gd name="connsiteX127" fmla="*/ 729575 w 1860415"/>
                <a:gd name="connsiteY127" fmla="*/ 401266 h 441798"/>
                <a:gd name="connsiteX128" fmla="*/ 680936 w 1860415"/>
                <a:gd name="connsiteY128" fmla="*/ 413425 h 441798"/>
                <a:gd name="connsiteX129" fmla="*/ 668777 w 1860415"/>
                <a:gd name="connsiteY129" fmla="*/ 417479 h 441798"/>
                <a:gd name="connsiteX130" fmla="*/ 648511 w 1860415"/>
                <a:gd name="connsiteY130" fmla="*/ 421532 h 441798"/>
                <a:gd name="connsiteX131" fmla="*/ 640404 w 1860415"/>
                <a:gd name="connsiteY131" fmla="*/ 429638 h 441798"/>
                <a:gd name="connsiteX132" fmla="*/ 628245 w 1860415"/>
                <a:gd name="connsiteY132" fmla="*/ 433691 h 441798"/>
                <a:gd name="connsiteX133" fmla="*/ 612032 w 1860415"/>
                <a:gd name="connsiteY133" fmla="*/ 441798 h 441798"/>
                <a:gd name="connsiteX134" fmla="*/ 551234 w 1860415"/>
                <a:gd name="connsiteY134" fmla="*/ 437745 h 441798"/>
                <a:gd name="connsiteX135" fmla="*/ 539075 w 1860415"/>
                <a:gd name="connsiteY135" fmla="*/ 429638 h 441798"/>
                <a:gd name="connsiteX136" fmla="*/ 526915 w 1860415"/>
                <a:gd name="connsiteY136" fmla="*/ 425585 h 441798"/>
                <a:gd name="connsiteX137" fmla="*/ 498543 w 1860415"/>
                <a:gd name="connsiteY137" fmla="*/ 409372 h 441798"/>
                <a:gd name="connsiteX138" fmla="*/ 474224 w 1860415"/>
                <a:gd name="connsiteY138" fmla="*/ 393159 h 441798"/>
                <a:gd name="connsiteX139" fmla="*/ 429638 w 1860415"/>
                <a:gd name="connsiteY139" fmla="*/ 372894 h 441798"/>
                <a:gd name="connsiteX140" fmla="*/ 417479 w 1860415"/>
                <a:gd name="connsiteY140" fmla="*/ 376947 h 441798"/>
                <a:gd name="connsiteX141" fmla="*/ 401266 w 1860415"/>
                <a:gd name="connsiteY141" fmla="*/ 385053 h 441798"/>
                <a:gd name="connsiteX142" fmla="*/ 389107 w 1860415"/>
                <a:gd name="connsiteY142" fmla="*/ 381000 h 441798"/>
                <a:gd name="connsiteX143" fmla="*/ 360734 w 1860415"/>
                <a:gd name="connsiteY143" fmla="*/ 368840 h 441798"/>
                <a:gd name="connsiteX144" fmla="*/ 344521 w 1860415"/>
                <a:gd name="connsiteY144" fmla="*/ 348574 h 441798"/>
                <a:gd name="connsiteX145" fmla="*/ 312096 w 1860415"/>
                <a:gd name="connsiteY145" fmla="*/ 352628 h 441798"/>
                <a:gd name="connsiteX146" fmla="*/ 299936 w 1860415"/>
                <a:gd name="connsiteY146" fmla="*/ 360734 h 441798"/>
                <a:gd name="connsiteX147" fmla="*/ 287777 w 1860415"/>
                <a:gd name="connsiteY147" fmla="*/ 364787 h 441798"/>
                <a:gd name="connsiteX148" fmla="*/ 198607 w 1860415"/>
                <a:gd name="connsiteY148" fmla="*/ 368840 h 441798"/>
                <a:gd name="connsiteX149" fmla="*/ 149968 w 1860415"/>
                <a:gd name="connsiteY149" fmla="*/ 385053 h 441798"/>
                <a:gd name="connsiteX150" fmla="*/ 133756 w 1860415"/>
                <a:gd name="connsiteY150" fmla="*/ 389106 h 441798"/>
                <a:gd name="connsiteX151" fmla="*/ 117543 w 1860415"/>
                <a:gd name="connsiteY151" fmla="*/ 385053 h 441798"/>
                <a:gd name="connsiteX152" fmla="*/ 113490 w 1860415"/>
                <a:gd name="connsiteY152" fmla="*/ 372894 h 441798"/>
                <a:gd name="connsiteX153" fmla="*/ 105383 w 1860415"/>
                <a:gd name="connsiteY153" fmla="*/ 364787 h 441798"/>
                <a:gd name="connsiteX154" fmla="*/ 89170 w 1860415"/>
                <a:gd name="connsiteY154" fmla="*/ 324255 h 441798"/>
                <a:gd name="connsiteX155" fmla="*/ 85117 w 1860415"/>
                <a:gd name="connsiteY155" fmla="*/ 312096 h 441798"/>
                <a:gd name="connsiteX156" fmla="*/ 77011 w 1860415"/>
                <a:gd name="connsiteY156" fmla="*/ 299936 h 441798"/>
                <a:gd name="connsiteX157" fmla="*/ 64851 w 1860415"/>
                <a:gd name="connsiteY157" fmla="*/ 279670 h 441798"/>
                <a:gd name="connsiteX158" fmla="*/ 52692 w 1860415"/>
                <a:gd name="connsiteY158" fmla="*/ 255351 h 441798"/>
                <a:gd name="connsiteX159" fmla="*/ 44585 w 1860415"/>
                <a:gd name="connsiteY159" fmla="*/ 247245 h 441798"/>
                <a:gd name="connsiteX160" fmla="*/ 32426 w 1860415"/>
                <a:gd name="connsiteY160" fmla="*/ 243191 h 441798"/>
                <a:gd name="connsiteX161" fmla="*/ 20266 w 1860415"/>
                <a:gd name="connsiteY161" fmla="*/ 231032 h 441798"/>
                <a:gd name="connsiteX162" fmla="*/ 0 w 1860415"/>
                <a:gd name="connsiteY162" fmla="*/ 214819 h 441798"/>
                <a:gd name="connsiteX163" fmla="*/ 8107 w 1860415"/>
                <a:gd name="connsiteY163" fmla="*/ 206713 h 4417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1860415" h="441798">
                  <a:moveTo>
                    <a:pt x="8107" y="206713"/>
                  </a:moveTo>
                  <a:cubicBezTo>
                    <a:pt x="16889" y="201984"/>
                    <a:pt x="22548" y="208370"/>
                    <a:pt x="52692" y="186447"/>
                  </a:cubicBezTo>
                  <a:cubicBezTo>
                    <a:pt x="60571" y="180717"/>
                    <a:pt x="77011" y="170234"/>
                    <a:pt x="77011" y="170234"/>
                  </a:cubicBezTo>
                  <a:lnTo>
                    <a:pt x="85117" y="145915"/>
                  </a:lnTo>
                  <a:cubicBezTo>
                    <a:pt x="89642" y="132340"/>
                    <a:pt x="81772" y="111561"/>
                    <a:pt x="77011" y="97276"/>
                  </a:cubicBezTo>
                  <a:cubicBezTo>
                    <a:pt x="78362" y="90521"/>
                    <a:pt x="78350" y="83343"/>
                    <a:pt x="81064" y="77011"/>
                  </a:cubicBezTo>
                  <a:cubicBezTo>
                    <a:pt x="82569" y="73499"/>
                    <a:pt x="86113" y="71197"/>
                    <a:pt x="89170" y="68904"/>
                  </a:cubicBezTo>
                  <a:cubicBezTo>
                    <a:pt x="96964" y="63058"/>
                    <a:pt x="105383" y="58095"/>
                    <a:pt x="113490" y="52691"/>
                  </a:cubicBezTo>
                  <a:cubicBezTo>
                    <a:pt x="117543" y="49989"/>
                    <a:pt x="122204" y="48029"/>
                    <a:pt x="125649" y="44585"/>
                  </a:cubicBezTo>
                  <a:cubicBezTo>
                    <a:pt x="128351" y="41883"/>
                    <a:pt x="130479" y="38445"/>
                    <a:pt x="133756" y="36479"/>
                  </a:cubicBezTo>
                  <a:cubicBezTo>
                    <a:pt x="137419" y="34281"/>
                    <a:pt x="141862" y="33776"/>
                    <a:pt x="145915" y="32425"/>
                  </a:cubicBezTo>
                  <a:cubicBezTo>
                    <a:pt x="154021" y="33776"/>
                    <a:pt x="162438" y="33880"/>
                    <a:pt x="170234" y="36479"/>
                  </a:cubicBezTo>
                  <a:cubicBezTo>
                    <a:pt x="174855" y="38020"/>
                    <a:pt x="178164" y="42168"/>
                    <a:pt x="182394" y="44585"/>
                  </a:cubicBezTo>
                  <a:cubicBezTo>
                    <a:pt x="187640" y="47583"/>
                    <a:pt x="193203" y="49989"/>
                    <a:pt x="198607" y="52691"/>
                  </a:cubicBezTo>
                  <a:cubicBezTo>
                    <a:pt x="199958" y="56744"/>
                    <a:pt x="200749" y="61029"/>
                    <a:pt x="202660" y="64851"/>
                  </a:cubicBezTo>
                  <a:cubicBezTo>
                    <a:pt x="204838" y="69208"/>
                    <a:pt x="208847" y="72533"/>
                    <a:pt x="210766" y="77011"/>
                  </a:cubicBezTo>
                  <a:cubicBezTo>
                    <a:pt x="212960" y="82131"/>
                    <a:pt x="213726" y="87761"/>
                    <a:pt x="214819" y="93223"/>
                  </a:cubicBezTo>
                  <a:cubicBezTo>
                    <a:pt x="216431" y="101282"/>
                    <a:pt x="214160" y="110809"/>
                    <a:pt x="218873" y="117542"/>
                  </a:cubicBezTo>
                  <a:cubicBezTo>
                    <a:pt x="224460" y="125523"/>
                    <a:pt x="243192" y="133755"/>
                    <a:pt x="243192" y="133755"/>
                  </a:cubicBezTo>
                  <a:cubicBezTo>
                    <a:pt x="245894" y="137808"/>
                    <a:pt x="249758" y="141294"/>
                    <a:pt x="251298" y="145915"/>
                  </a:cubicBezTo>
                  <a:cubicBezTo>
                    <a:pt x="255973" y="159941"/>
                    <a:pt x="250898" y="172346"/>
                    <a:pt x="263458" y="182394"/>
                  </a:cubicBezTo>
                  <a:cubicBezTo>
                    <a:pt x="266794" y="185063"/>
                    <a:pt x="271796" y="184536"/>
                    <a:pt x="275617" y="186447"/>
                  </a:cubicBezTo>
                  <a:cubicBezTo>
                    <a:pt x="279974" y="188625"/>
                    <a:pt x="283724" y="191851"/>
                    <a:pt x="287777" y="194553"/>
                  </a:cubicBezTo>
                  <a:cubicBezTo>
                    <a:pt x="294532" y="193202"/>
                    <a:pt x="301154" y="190500"/>
                    <a:pt x="308043" y="190500"/>
                  </a:cubicBezTo>
                  <a:cubicBezTo>
                    <a:pt x="355975" y="190500"/>
                    <a:pt x="349743" y="189539"/>
                    <a:pt x="376947" y="198606"/>
                  </a:cubicBezTo>
                  <a:cubicBezTo>
                    <a:pt x="381000" y="201308"/>
                    <a:pt x="384750" y="204534"/>
                    <a:pt x="389107" y="206713"/>
                  </a:cubicBezTo>
                  <a:cubicBezTo>
                    <a:pt x="392928" y="208624"/>
                    <a:pt x="397711" y="208396"/>
                    <a:pt x="401266" y="210766"/>
                  </a:cubicBezTo>
                  <a:cubicBezTo>
                    <a:pt x="406035" y="213945"/>
                    <a:pt x="409756" y="218522"/>
                    <a:pt x="413426" y="222925"/>
                  </a:cubicBezTo>
                  <a:cubicBezTo>
                    <a:pt x="419444" y="230146"/>
                    <a:pt x="424286" y="243065"/>
                    <a:pt x="433692" y="247245"/>
                  </a:cubicBezTo>
                  <a:cubicBezTo>
                    <a:pt x="441202" y="250583"/>
                    <a:pt x="449865" y="250212"/>
                    <a:pt x="458011" y="251298"/>
                  </a:cubicBezTo>
                  <a:cubicBezTo>
                    <a:pt x="470138" y="252915"/>
                    <a:pt x="482330" y="254000"/>
                    <a:pt x="494490" y="255351"/>
                  </a:cubicBezTo>
                  <a:cubicBezTo>
                    <a:pt x="518809" y="252649"/>
                    <a:pt x="543224" y="250706"/>
                    <a:pt x="567447" y="247245"/>
                  </a:cubicBezTo>
                  <a:cubicBezTo>
                    <a:pt x="589106" y="244151"/>
                    <a:pt x="571137" y="242493"/>
                    <a:pt x="591766" y="231032"/>
                  </a:cubicBezTo>
                  <a:cubicBezTo>
                    <a:pt x="614656" y="218315"/>
                    <a:pt x="650656" y="220456"/>
                    <a:pt x="672830" y="218872"/>
                  </a:cubicBezTo>
                  <a:cubicBezTo>
                    <a:pt x="685233" y="215771"/>
                    <a:pt x="691872" y="216043"/>
                    <a:pt x="701202" y="206713"/>
                  </a:cubicBezTo>
                  <a:cubicBezTo>
                    <a:pt x="719536" y="188379"/>
                    <a:pt x="697797" y="198390"/>
                    <a:pt x="721468" y="190500"/>
                  </a:cubicBezTo>
                  <a:cubicBezTo>
                    <a:pt x="742010" y="169961"/>
                    <a:pt x="715426" y="194126"/>
                    <a:pt x="741734" y="178340"/>
                  </a:cubicBezTo>
                  <a:cubicBezTo>
                    <a:pt x="745011" y="176374"/>
                    <a:pt x="746857" y="172621"/>
                    <a:pt x="749841" y="170234"/>
                  </a:cubicBezTo>
                  <a:cubicBezTo>
                    <a:pt x="753645" y="167191"/>
                    <a:pt x="757947" y="164830"/>
                    <a:pt x="762000" y="162128"/>
                  </a:cubicBezTo>
                  <a:cubicBezTo>
                    <a:pt x="772186" y="131567"/>
                    <a:pt x="758446" y="169234"/>
                    <a:pt x="774160" y="137808"/>
                  </a:cubicBezTo>
                  <a:cubicBezTo>
                    <a:pt x="776071" y="133987"/>
                    <a:pt x="775192" y="128670"/>
                    <a:pt x="778213" y="125649"/>
                  </a:cubicBezTo>
                  <a:cubicBezTo>
                    <a:pt x="781234" y="122628"/>
                    <a:pt x="786202" y="122523"/>
                    <a:pt x="790373" y="121596"/>
                  </a:cubicBezTo>
                  <a:cubicBezTo>
                    <a:pt x="801579" y="119106"/>
                    <a:pt x="815903" y="118963"/>
                    <a:pt x="826851" y="113489"/>
                  </a:cubicBezTo>
                  <a:cubicBezTo>
                    <a:pt x="831208" y="111311"/>
                    <a:pt x="835207" y="108426"/>
                    <a:pt x="839011" y="105383"/>
                  </a:cubicBezTo>
                  <a:cubicBezTo>
                    <a:pt x="841995" y="102996"/>
                    <a:pt x="843799" y="99172"/>
                    <a:pt x="847117" y="97276"/>
                  </a:cubicBezTo>
                  <a:cubicBezTo>
                    <a:pt x="853434" y="93666"/>
                    <a:pt x="860628" y="91872"/>
                    <a:pt x="867383" y="89170"/>
                  </a:cubicBezTo>
                  <a:cubicBezTo>
                    <a:pt x="863330" y="85117"/>
                    <a:pt x="858403" y="81780"/>
                    <a:pt x="855224" y="77011"/>
                  </a:cubicBezTo>
                  <a:cubicBezTo>
                    <a:pt x="844872" y="61483"/>
                    <a:pt x="856590" y="37752"/>
                    <a:pt x="859277" y="24319"/>
                  </a:cubicBezTo>
                  <a:cubicBezTo>
                    <a:pt x="860370" y="18857"/>
                    <a:pt x="861979" y="13510"/>
                    <a:pt x="863330" y="8106"/>
                  </a:cubicBezTo>
                  <a:cubicBezTo>
                    <a:pt x="871044" y="9649"/>
                    <a:pt x="887444" y="12057"/>
                    <a:pt x="895756" y="16213"/>
                  </a:cubicBezTo>
                  <a:cubicBezTo>
                    <a:pt x="900113" y="18391"/>
                    <a:pt x="903464" y="22341"/>
                    <a:pt x="907915" y="24319"/>
                  </a:cubicBezTo>
                  <a:cubicBezTo>
                    <a:pt x="928997" y="33689"/>
                    <a:pt x="937528" y="33181"/>
                    <a:pt x="960607" y="36479"/>
                  </a:cubicBezTo>
                  <a:cubicBezTo>
                    <a:pt x="987154" y="35151"/>
                    <a:pt x="1044959" y="33903"/>
                    <a:pt x="1078149" y="28372"/>
                  </a:cubicBezTo>
                  <a:cubicBezTo>
                    <a:pt x="1082363" y="27670"/>
                    <a:pt x="1086119" y="25157"/>
                    <a:pt x="1090309" y="24319"/>
                  </a:cubicBezTo>
                  <a:cubicBezTo>
                    <a:pt x="1099677" y="22446"/>
                    <a:pt x="1109224" y="21617"/>
                    <a:pt x="1118681" y="20266"/>
                  </a:cubicBezTo>
                  <a:cubicBezTo>
                    <a:pt x="1139842" y="6158"/>
                    <a:pt x="1121441" y="16196"/>
                    <a:pt x="1151107" y="8106"/>
                  </a:cubicBezTo>
                  <a:cubicBezTo>
                    <a:pt x="1159351" y="5858"/>
                    <a:pt x="1175426" y="0"/>
                    <a:pt x="1175426" y="0"/>
                  </a:cubicBezTo>
                  <a:cubicBezTo>
                    <a:pt x="1231814" y="18795"/>
                    <a:pt x="1191207" y="7764"/>
                    <a:pt x="1301075" y="12159"/>
                  </a:cubicBezTo>
                  <a:cubicBezTo>
                    <a:pt x="1329301" y="21570"/>
                    <a:pt x="1299084" y="9482"/>
                    <a:pt x="1321341" y="24319"/>
                  </a:cubicBezTo>
                  <a:cubicBezTo>
                    <a:pt x="1326368" y="27670"/>
                    <a:pt x="1332149" y="29723"/>
                    <a:pt x="1337553" y="32425"/>
                  </a:cubicBezTo>
                  <a:cubicBezTo>
                    <a:pt x="1340255" y="36478"/>
                    <a:pt x="1343481" y="40228"/>
                    <a:pt x="1345660" y="44585"/>
                  </a:cubicBezTo>
                  <a:cubicBezTo>
                    <a:pt x="1352238" y="57741"/>
                    <a:pt x="1345736" y="59683"/>
                    <a:pt x="1361873" y="68904"/>
                  </a:cubicBezTo>
                  <a:cubicBezTo>
                    <a:pt x="1366709" y="71668"/>
                    <a:pt x="1372681" y="71606"/>
                    <a:pt x="1378085" y="72957"/>
                  </a:cubicBezTo>
                  <a:cubicBezTo>
                    <a:pt x="1382138" y="75659"/>
                    <a:pt x="1385888" y="78885"/>
                    <a:pt x="1390245" y="81064"/>
                  </a:cubicBezTo>
                  <a:cubicBezTo>
                    <a:pt x="1394066" y="82975"/>
                    <a:pt x="1398741" y="82919"/>
                    <a:pt x="1402404" y="85117"/>
                  </a:cubicBezTo>
                  <a:cubicBezTo>
                    <a:pt x="1405681" y="87083"/>
                    <a:pt x="1406886" y="92015"/>
                    <a:pt x="1410511" y="93223"/>
                  </a:cubicBezTo>
                  <a:cubicBezTo>
                    <a:pt x="1419574" y="96244"/>
                    <a:pt x="1429426" y="95925"/>
                    <a:pt x="1438883" y="97276"/>
                  </a:cubicBezTo>
                  <a:cubicBezTo>
                    <a:pt x="1442936" y="98627"/>
                    <a:pt x="1447707" y="98661"/>
                    <a:pt x="1451043" y="101330"/>
                  </a:cubicBezTo>
                  <a:cubicBezTo>
                    <a:pt x="1454847" y="104373"/>
                    <a:pt x="1456106" y="109685"/>
                    <a:pt x="1459149" y="113489"/>
                  </a:cubicBezTo>
                  <a:cubicBezTo>
                    <a:pt x="1461536" y="116473"/>
                    <a:pt x="1464809" y="118660"/>
                    <a:pt x="1467256" y="121596"/>
                  </a:cubicBezTo>
                  <a:cubicBezTo>
                    <a:pt x="1471580" y="126785"/>
                    <a:pt x="1474967" y="132724"/>
                    <a:pt x="1479415" y="137808"/>
                  </a:cubicBezTo>
                  <a:cubicBezTo>
                    <a:pt x="1484448" y="143560"/>
                    <a:pt x="1490224" y="148617"/>
                    <a:pt x="1495628" y="154021"/>
                  </a:cubicBezTo>
                  <a:cubicBezTo>
                    <a:pt x="1505525" y="163918"/>
                    <a:pt x="1504239" y="164344"/>
                    <a:pt x="1519947" y="170234"/>
                  </a:cubicBezTo>
                  <a:cubicBezTo>
                    <a:pt x="1525163" y="172190"/>
                    <a:pt x="1530756" y="172936"/>
                    <a:pt x="1536160" y="174287"/>
                  </a:cubicBezTo>
                  <a:cubicBezTo>
                    <a:pt x="1556175" y="187632"/>
                    <a:pt x="1540538" y="179436"/>
                    <a:pt x="1568585" y="186447"/>
                  </a:cubicBezTo>
                  <a:cubicBezTo>
                    <a:pt x="1611119" y="197080"/>
                    <a:pt x="1543888" y="183181"/>
                    <a:pt x="1596958" y="194553"/>
                  </a:cubicBezTo>
                  <a:cubicBezTo>
                    <a:pt x="1610430" y="197440"/>
                    <a:pt x="1623979" y="199957"/>
                    <a:pt x="1637490" y="202659"/>
                  </a:cubicBezTo>
                  <a:cubicBezTo>
                    <a:pt x="1654764" y="206114"/>
                    <a:pt x="1672596" y="205678"/>
                    <a:pt x="1690181" y="206713"/>
                  </a:cubicBezTo>
                  <a:cubicBezTo>
                    <a:pt x="1718536" y="208381"/>
                    <a:pt x="1746926" y="209415"/>
                    <a:pt x="1775298" y="210766"/>
                  </a:cubicBezTo>
                  <a:cubicBezTo>
                    <a:pt x="1779351" y="209415"/>
                    <a:pt x="1783185" y="206713"/>
                    <a:pt x="1787458" y="206713"/>
                  </a:cubicBezTo>
                  <a:cubicBezTo>
                    <a:pt x="1799692" y="206713"/>
                    <a:pt x="1811973" y="208203"/>
                    <a:pt x="1823936" y="210766"/>
                  </a:cubicBezTo>
                  <a:cubicBezTo>
                    <a:pt x="1831050" y="212290"/>
                    <a:pt x="1837390" y="216317"/>
                    <a:pt x="1844202" y="218872"/>
                  </a:cubicBezTo>
                  <a:cubicBezTo>
                    <a:pt x="1848203" y="220372"/>
                    <a:pt x="1852309" y="221574"/>
                    <a:pt x="1856362" y="222925"/>
                  </a:cubicBezTo>
                  <a:cubicBezTo>
                    <a:pt x="1857713" y="226978"/>
                    <a:pt x="1860415" y="230812"/>
                    <a:pt x="1860415" y="235085"/>
                  </a:cubicBezTo>
                  <a:cubicBezTo>
                    <a:pt x="1860415" y="262387"/>
                    <a:pt x="1846481" y="252396"/>
                    <a:pt x="1819883" y="255351"/>
                  </a:cubicBezTo>
                  <a:cubicBezTo>
                    <a:pt x="1813128" y="262106"/>
                    <a:pt x="1804916" y="267668"/>
                    <a:pt x="1799617" y="275617"/>
                  </a:cubicBezTo>
                  <a:lnTo>
                    <a:pt x="1783404" y="299936"/>
                  </a:lnTo>
                  <a:cubicBezTo>
                    <a:pt x="1773216" y="330501"/>
                    <a:pt x="1786959" y="292826"/>
                    <a:pt x="1771245" y="324255"/>
                  </a:cubicBezTo>
                  <a:cubicBezTo>
                    <a:pt x="1754469" y="357808"/>
                    <a:pt x="1782312" y="313738"/>
                    <a:pt x="1759085" y="348574"/>
                  </a:cubicBezTo>
                  <a:cubicBezTo>
                    <a:pt x="1757734" y="359383"/>
                    <a:pt x="1757898" y="370491"/>
                    <a:pt x="1755032" y="381000"/>
                  </a:cubicBezTo>
                  <a:cubicBezTo>
                    <a:pt x="1753750" y="385699"/>
                    <a:pt x="1748466" y="388538"/>
                    <a:pt x="1746926" y="393159"/>
                  </a:cubicBezTo>
                  <a:cubicBezTo>
                    <a:pt x="1744327" y="400956"/>
                    <a:pt x="1745759" y="409784"/>
                    <a:pt x="1742873" y="417479"/>
                  </a:cubicBezTo>
                  <a:cubicBezTo>
                    <a:pt x="1740948" y="422611"/>
                    <a:pt x="1725674" y="431646"/>
                    <a:pt x="1722607" y="433691"/>
                  </a:cubicBezTo>
                  <a:cubicBezTo>
                    <a:pt x="1702341" y="432340"/>
                    <a:pt x="1681916" y="432510"/>
                    <a:pt x="1661809" y="429638"/>
                  </a:cubicBezTo>
                  <a:cubicBezTo>
                    <a:pt x="1653350" y="428430"/>
                    <a:pt x="1646023" y="421981"/>
                    <a:pt x="1637490" y="421532"/>
                  </a:cubicBezTo>
                  <a:lnTo>
                    <a:pt x="1560479" y="417479"/>
                  </a:lnTo>
                  <a:lnTo>
                    <a:pt x="1536160" y="409372"/>
                  </a:lnTo>
                  <a:lnTo>
                    <a:pt x="1524000" y="405319"/>
                  </a:lnTo>
                  <a:cubicBezTo>
                    <a:pt x="1519947" y="402617"/>
                    <a:pt x="1515645" y="400256"/>
                    <a:pt x="1511841" y="397213"/>
                  </a:cubicBezTo>
                  <a:cubicBezTo>
                    <a:pt x="1498121" y="386237"/>
                    <a:pt x="1503661" y="380978"/>
                    <a:pt x="1479415" y="372894"/>
                  </a:cubicBezTo>
                  <a:cubicBezTo>
                    <a:pt x="1435047" y="358101"/>
                    <a:pt x="1502267" y="381698"/>
                    <a:pt x="1455096" y="360734"/>
                  </a:cubicBezTo>
                  <a:cubicBezTo>
                    <a:pt x="1437767" y="353033"/>
                    <a:pt x="1431064" y="353289"/>
                    <a:pt x="1414564" y="348574"/>
                  </a:cubicBezTo>
                  <a:cubicBezTo>
                    <a:pt x="1410456" y="347400"/>
                    <a:pt x="1406627" y="345171"/>
                    <a:pt x="1402404" y="344521"/>
                  </a:cubicBezTo>
                  <a:cubicBezTo>
                    <a:pt x="1388984" y="342456"/>
                    <a:pt x="1375383" y="341819"/>
                    <a:pt x="1361873" y="340468"/>
                  </a:cubicBezTo>
                  <a:lnTo>
                    <a:pt x="1337553" y="324255"/>
                  </a:lnTo>
                  <a:cubicBezTo>
                    <a:pt x="1333500" y="321553"/>
                    <a:pt x="1328838" y="319593"/>
                    <a:pt x="1325394" y="316149"/>
                  </a:cubicBezTo>
                  <a:cubicBezTo>
                    <a:pt x="1321341" y="312096"/>
                    <a:pt x="1316904" y="308393"/>
                    <a:pt x="1313234" y="303989"/>
                  </a:cubicBezTo>
                  <a:cubicBezTo>
                    <a:pt x="1310116" y="300247"/>
                    <a:pt x="1308932" y="294873"/>
                    <a:pt x="1305128" y="291830"/>
                  </a:cubicBezTo>
                  <a:cubicBezTo>
                    <a:pt x="1301792" y="289161"/>
                    <a:pt x="1296790" y="289687"/>
                    <a:pt x="1292968" y="287776"/>
                  </a:cubicBezTo>
                  <a:cubicBezTo>
                    <a:pt x="1288611" y="285598"/>
                    <a:pt x="1284613" y="282713"/>
                    <a:pt x="1280809" y="279670"/>
                  </a:cubicBezTo>
                  <a:cubicBezTo>
                    <a:pt x="1277825" y="277283"/>
                    <a:pt x="1275979" y="273530"/>
                    <a:pt x="1272702" y="271564"/>
                  </a:cubicBezTo>
                  <a:cubicBezTo>
                    <a:pt x="1269039" y="269366"/>
                    <a:pt x="1264596" y="268862"/>
                    <a:pt x="1260543" y="267511"/>
                  </a:cubicBezTo>
                  <a:lnTo>
                    <a:pt x="1236224" y="271564"/>
                  </a:lnTo>
                  <a:cubicBezTo>
                    <a:pt x="1229446" y="272796"/>
                    <a:pt x="1222847" y="275617"/>
                    <a:pt x="1215958" y="275617"/>
                  </a:cubicBezTo>
                  <a:cubicBezTo>
                    <a:pt x="1171352" y="275617"/>
                    <a:pt x="1126787" y="272915"/>
                    <a:pt x="1082202" y="271564"/>
                  </a:cubicBezTo>
                  <a:cubicBezTo>
                    <a:pt x="1056532" y="272915"/>
                    <a:pt x="1030714" y="272554"/>
                    <a:pt x="1005192" y="275617"/>
                  </a:cubicBezTo>
                  <a:cubicBezTo>
                    <a:pt x="996708" y="276635"/>
                    <a:pt x="988979" y="281021"/>
                    <a:pt x="980873" y="283723"/>
                  </a:cubicBezTo>
                  <a:lnTo>
                    <a:pt x="968713" y="287776"/>
                  </a:lnTo>
                  <a:cubicBezTo>
                    <a:pt x="964660" y="290478"/>
                    <a:pt x="959596" y="292079"/>
                    <a:pt x="956553" y="295883"/>
                  </a:cubicBezTo>
                  <a:cubicBezTo>
                    <a:pt x="953884" y="299219"/>
                    <a:pt x="955521" y="305021"/>
                    <a:pt x="952500" y="308042"/>
                  </a:cubicBezTo>
                  <a:cubicBezTo>
                    <a:pt x="936786" y="323756"/>
                    <a:pt x="923641" y="325768"/>
                    <a:pt x="903862" y="332362"/>
                  </a:cubicBezTo>
                  <a:cubicBezTo>
                    <a:pt x="878464" y="366224"/>
                    <a:pt x="904862" y="337436"/>
                    <a:pt x="879543" y="352628"/>
                  </a:cubicBezTo>
                  <a:cubicBezTo>
                    <a:pt x="857759" y="365699"/>
                    <a:pt x="887659" y="356676"/>
                    <a:pt x="859277" y="368840"/>
                  </a:cubicBezTo>
                  <a:cubicBezTo>
                    <a:pt x="854157" y="371035"/>
                    <a:pt x="848420" y="371364"/>
                    <a:pt x="843064" y="372894"/>
                  </a:cubicBezTo>
                  <a:cubicBezTo>
                    <a:pt x="838956" y="374068"/>
                    <a:pt x="834957" y="375596"/>
                    <a:pt x="830904" y="376947"/>
                  </a:cubicBezTo>
                  <a:cubicBezTo>
                    <a:pt x="826851" y="379649"/>
                    <a:pt x="823196" y="383075"/>
                    <a:pt x="818745" y="385053"/>
                  </a:cubicBezTo>
                  <a:cubicBezTo>
                    <a:pt x="810937" y="388523"/>
                    <a:pt x="802532" y="390457"/>
                    <a:pt x="794426" y="393159"/>
                  </a:cubicBezTo>
                  <a:cubicBezTo>
                    <a:pt x="765550" y="402785"/>
                    <a:pt x="786547" y="396884"/>
                    <a:pt x="729575" y="401266"/>
                  </a:cubicBezTo>
                  <a:cubicBezTo>
                    <a:pt x="697459" y="411971"/>
                    <a:pt x="713685" y="407967"/>
                    <a:pt x="680936" y="413425"/>
                  </a:cubicBezTo>
                  <a:cubicBezTo>
                    <a:pt x="676883" y="414776"/>
                    <a:pt x="672922" y="416443"/>
                    <a:pt x="668777" y="417479"/>
                  </a:cubicBezTo>
                  <a:cubicBezTo>
                    <a:pt x="662094" y="419150"/>
                    <a:pt x="654843" y="418818"/>
                    <a:pt x="648511" y="421532"/>
                  </a:cubicBezTo>
                  <a:cubicBezTo>
                    <a:pt x="644999" y="423037"/>
                    <a:pt x="643681" y="427672"/>
                    <a:pt x="640404" y="429638"/>
                  </a:cubicBezTo>
                  <a:cubicBezTo>
                    <a:pt x="636741" y="431836"/>
                    <a:pt x="632172" y="432008"/>
                    <a:pt x="628245" y="433691"/>
                  </a:cubicBezTo>
                  <a:cubicBezTo>
                    <a:pt x="622691" y="436071"/>
                    <a:pt x="617436" y="439096"/>
                    <a:pt x="612032" y="441798"/>
                  </a:cubicBezTo>
                  <a:cubicBezTo>
                    <a:pt x="591766" y="440447"/>
                    <a:pt x="571269" y="441084"/>
                    <a:pt x="551234" y="437745"/>
                  </a:cubicBezTo>
                  <a:cubicBezTo>
                    <a:pt x="546429" y="436944"/>
                    <a:pt x="543432" y="431817"/>
                    <a:pt x="539075" y="429638"/>
                  </a:cubicBezTo>
                  <a:cubicBezTo>
                    <a:pt x="535254" y="427727"/>
                    <a:pt x="530968" y="426936"/>
                    <a:pt x="526915" y="425585"/>
                  </a:cubicBezTo>
                  <a:cubicBezTo>
                    <a:pt x="484850" y="397542"/>
                    <a:pt x="549973" y="440231"/>
                    <a:pt x="498543" y="409372"/>
                  </a:cubicBezTo>
                  <a:cubicBezTo>
                    <a:pt x="490189" y="404359"/>
                    <a:pt x="482330" y="398563"/>
                    <a:pt x="474224" y="393159"/>
                  </a:cubicBezTo>
                  <a:cubicBezTo>
                    <a:pt x="456103" y="381078"/>
                    <a:pt x="446853" y="378632"/>
                    <a:pt x="429638" y="372894"/>
                  </a:cubicBezTo>
                  <a:cubicBezTo>
                    <a:pt x="425585" y="374245"/>
                    <a:pt x="421406" y="375264"/>
                    <a:pt x="417479" y="376947"/>
                  </a:cubicBezTo>
                  <a:cubicBezTo>
                    <a:pt x="411925" y="379327"/>
                    <a:pt x="407247" y="384199"/>
                    <a:pt x="401266" y="385053"/>
                  </a:cubicBezTo>
                  <a:cubicBezTo>
                    <a:pt x="397037" y="385657"/>
                    <a:pt x="393034" y="382683"/>
                    <a:pt x="389107" y="381000"/>
                  </a:cubicBezTo>
                  <a:cubicBezTo>
                    <a:pt x="354039" y="365971"/>
                    <a:pt x="389257" y="378349"/>
                    <a:pt x="360734" y="368840"/>
                  </a:cubicBezTo>
                  <a:cubicBezTo>
                    <a:pt x="359973" y="367699"/>
                    <a:pt x="348646" y="348987"/>
                    <a:pt x="344521" y="348574"/>
                  </a:cubicBezTo>
                  <a:cubicBezTo>
                    <a:pt x="333683" y="347490"/>
                    <a:pt x="322904" y="351277"/>
                    <a:pt x="312096" y="352628"/>
                  </a:cubicBezTo>
                  <a:cubicBezTo>
                    <a:pt x="308043" y="355330"/>
                    <a:pt x="304293" y="358556"/>
                    <a:pt x="299936" y="360734"/>
                  </a:cubicBezTo>
                  <a:cubicBezTo>
                    <a:pt x="296115" y="362645"/>
                    <a:pt x="292036" y="364446"/>
                    <a:pt x="287777" y="364787"/>
                  </a:cubicBezTo>
                  <a:cubicBezTo>
                    <a:pt x="258118" y="367160"/>
                    <a:pt x="228330" y="367489"/>
                    <a:pt x="198607" y="368840"/>
                  </a:cubicBezTo>
                  <a:lnTo>
                    <a:pt x="149968" y="385053"/>
                  </a:lnTo>
                  <a:cubicBezTo>
                    <a:pt x="144683" y="386814"/>
                    <a:pt x="139160" y="387755"/>
                    <a:pt x="133756" y="389106"/>
                  </a:cubicBezTo>
                  <a:cubicBezTo>
                    <a:pt x="128352" y="387755"/>
                    <a:pt x="121893" y="388533"/>
                    <a:pt x="117543" y="385053"/>
                  </a:cubicBezTo>
                  <a:cubicBezTo>
                    <a:pt x="114207" y="382384"/>
                    <a:pt x="115688" y="376557"/>
                    <a:pt x="113490" y="372894"/>
                  </a:cubicBezTo>
                  <a:cubicBezTo>
                    <a:pt x="111524" y="369617"/>
                    <a:pt x="108085" y="367489"/>
                    <a:pt x="105383" y="364787"/>
                  </a:cubicBezTo>
                  <a:cubicBezTo>
                    <a:pt x="86934" y="309439"/>
                    <a:pt x="107061" y="365999"/>
                    <a:pt x="89170" y="324255"/>
                  </a:cubicBezTo>
                  <a:cubicBezTo>
                    <a:pt x="87487" y="320328"/>
                    <a:pt x="87028" y="315917"/>
                    <a:pt x="85117" y="312096"/>
                  </a:cubicBezTo>
                  <a:cubicBezTo>
                    <a:pt x="82939" y="307739"/>
                    <a:pt x="79189" y="304293"/>
                    <a:pt x="77011" y="299936"/>
                  </a:cubicBezTo>
                  <a:cubicBezTo>
                    <a:pt x="66489" y="278891"/>
                    <a:pt x="80684" y="295501"/>
                    <a:pt x="64851" y="279670"/>
                  </a:cubicBezTo>
                  <a:cubicBezTo>
                    <a:pt x="60571" y="266829"/>
                    <a:pt x="61670" y="266574"/>
                    <a:pt x="52692" y="255351"/>
                  </a:cubicBezTo>
                  <a:cubicBezTo>
                    <a:pt x="50305" y="252367"/>
                    <a:pt x="47862" y="249211"/>
                    <a:pt x="44585" y="247245"/>
                  </a:cubicBezTo>
                  <a:cubicBezTo>
                    <a:pt x="40922" y="245047"/>
                    <a:pt x="36479" y="244542"/>
                    <a:pt x="32426" y="243191"/>
                  </a:cubicBezTo>
                  <a:cubicBezTo>
                    <a:pt x="28373" y="239138"/>
                    <a:pt x="24669" y="234702"/>
                    <a:pt x="20266" y="231032"/>
                  </a:cubicBezTo>
                  <a:cubicBezTo>
                    <a:pt x="-10416" y="205463"/>
                    <a:pt x="23588" y="238405"/>
                    <a:pt x="0" y="214819"/>
                  </a:cubicBezTo>
                  <a:cubicBezTo>
                    <a:pt x="14408" y="205214"/>
                    <a:pt x="-675" y="211442"/>
                    <a:pt x="8107" y="206713"/>
                  </a:cubicBezTo>
                  <a:close/>
                </a:path>
              </a:pathLst>
            </a:cu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sp macro="" textlink="">
          <xdr:nvSpPr>
            <xdr:cNvPr id="8" name="Vaal River: Coal"/>
            <xdr:cNvSpPr/>
          </xdr:nvSpPr>
          <xdr:spPr>
            <a:xfrm>
              <a:off x="6553386" y="1276622"/>
              <a:ext cx="837938" cy="754027"/>
            </a:xfrm>
            <a:custGeom>
              <a:avLst/>
              <a:gdLst>
                <a:gd name="connsiteX0" fmla="*/ 366772 w 836942"/>
                <a:gd name="connsiteY0" fmla="*/ 60931 h 754027"/>
                <a:gd name="connsiteX1" fmla="*/ 346506 w 836942"/>
                <a:gd name="connsiteY1" fmla="*/ 64984 h 754027"/>
                <a:gd name="connsiteX2" fmla="*/ 342453 w 836942"/>
                <a:gd name="connsiteY2" fmla="*/ 77144 h 754027"/>
                <a:gd name="connsiteX3" fmla="*/ 318134 w 836942"/>
                <a:gd name="connsiteY3" fmla="*/ 85250 h 754027"/>
                <a:gd name="connsiteX4" fmla="*/ 305974 w 836942"/>
                <a:gd name="connsiteY4" fmla="*/ 89304 h 754027"/>
                <a:gd name="connsiteX5" fmla="*/ 265442 w 836942"/>
                <a:gd name="connsiteY5" fmla="*/ 81197 h 754027"/>
                <a:gd name="connsiteX6" fmla="*/ 241123 w 836942"/>
                <a:gd name="connsiteY6" fmla="*/ 64984 h 754027"/>
                <a:gd name="connsiteX7" fmla="*/ 228963 w 836942"/>
                <a:gd name="connsiteY7" fmla="*/ 56878 h 754027"/>
                <a:gd name="connsiteX8" fmla="*/ 224910 w 836942"/>
                <a:gd name="connsiteY8" fmla="*/ 69038 h 754027"/>
                <a:gd name="connsiteX9" fmla="*/ 184378 w 836942"/>
                <a:gd name="connsiteY9" fmla="*/ 89304 h 754027"/>
                <a:gd name="connsiteX10" fmla="*/ 164112 w 836942"/>
                <a:gd name="connsiteY10" fmla="*/ 77144 h 754027"/>
                <a:gd name="connsiteX11" fmla="*/ 147900 w 836942"/>
                <a:gd name="connsiteY11" fmla="*/ 52825 h 754027"/>
                <a:gd name="connsiteX12" fmla="*/ 135740 w 836942"/>
                <a:gd name="connsiteY12" fmla="*/ 48772 h 754027"/>
                <a:gd name="connsiteX13" fmla="*/ 119527 w 836942"/>
                <a:gd name="connsiteY13" fmla="*/ 32559 h 754027"/>
                <a:gd name="connsiteX14" fmla="*/ 115474 w 836942"/>
                <a:gd name="connsiteY14" fmla="*/ 20399 h 754027"/>
                <a:gd name="connsiteX15" fmla="*/ 103314 w 836942"/>
                <a:gd name="connsiteY15" fmla="*/ 16346 h 754027"/>
                <a:gd name="connsiteX16" fmla="*/ 95208 w 836942"/>
                <a:gd name="connsiteY16" fmla="*/ 4187 h 754027"/>
                <a:gd name="connsiteX17" fmla="*/ 50623 w 836942"/>
                <a:gd name="connsiteY17" fmla="*/ 4187 h 754027"/>
                <a:gd name="connsiteX18" fmla="*/ 30357 w 836942"/>
                <a:gd name="connsiteY18" fmla="*/ 24452 h 754027"/>
                <a:gd name="connsiteX19" fmla="*/ 46570 w 836942"/>
                <a:gd name="connsiteY19" fmla="*/ 28506 h 754027"/>
                <a:gd name="connsiteX20" fmla="*/ 50623 w 836942"/>
                <a:gd name="connsiteY20" fmla="*/ 101463 h 754027"/>
                <a:gd name="connsiteX21" fmla="*/ 46570 w 836942"/>
                <a:gd name="connsiteY21" fmla="*/ 113623 h 754027"/>
                <a:gd name="connsiteX22" fmla="*/ 34410 w 836942"/>
                <a:gd name="connsiteY22" fmla="*/ 117676 h 754027"/>
                <a:gd name="connsiteX23" fmla="*/ 30357 w 836942"/>
                <a:gd name="connsiteY23" fmla="*/ 133889 h 754027"/>
                <a:gd name="connsiteX24" fmla="*/ 18197 w 836942"/>
                <a:gd name="connsiteY24" fmla="*/ 206846 h 754027"/>
                <a:gd name="connsiteX25" fmla="*/ 6038 w 836942"/>
                <a:gd name="connsiteY25" fmla="*/ 214952 h 754027"/>
                <a:gd name="connsiteX26" fmla="*/ 6038 w 836942"/>
                <a:gd name="connsiteY26" fmla="*/ 271697 h 754027"/>
                <a:gd name="connsiteX27" fmla="*/ 14144 w 836942"/>
                <a:gd name="connsiteY27" fmla="*/ 279804 h 754027"/>
                <a:gd name="connsiteX28" fmla="*/ 50623 w 836942"/>
                <a:gd name="connsiteY28" fmla="*/ 275750 h 754027"/>
                <a:gd name="connsiteX29" fmla="*/ 62783 w 836942"/>
                <a:gd name="connsiteY29" fmla="*/ 271697 h 754027"/>
                <a:gd name="connsiteX30" fmla="*/ 74942 w 836942"/>
                <a:gd name="connsiteY30" fmla="*/ 275750 h 754027"/>
                <a:gd name="connsiteX31" fmla="*/ 127634 w 836942"/>
                <a:gd name="connsiteY31" fmla="*/ 312229 h 754027"/>
                <a:gd name="connsiteX32" fmla="*/ 139793 w 836942"/>
                <a:gd name="connsiteY32" fmla="*/ 308176 h 754027"/>
                <a:gd name="connsiteX33" fmla="*/ 168165 w 836942"/>
                <a:gd name="connsiteY33" fmla="*/ 316282 h 754027"/>
                <a:gd name="connsiteX34" fmla="*/ 192485 w 836942"/>
                <a:gd name="connsiteY34" fmla="*/ 332495 h 754027"/>
                <a:gd name="connsiteX35" fmla="*/ 228963 w 836942"/>
                <a:gd name="connsiteY35" fmla="*/ 344655 h 754027"/>
                <a:gd name="connsiteX36" fmla="*/ 249229 w 836942"/>
                <a:gd name="connsiteY36" fmla="*/ 364921 h 754027"/>
                <a:gd name="connsiteX37" fmla="*/ 257336 w 836942"/>
                <a:gd name="connsiteY37" fmla="*/ 373027 h 754027"/>
                <a:gd name="connsiteX38" fmla="*/ 281655 w 836942"/>
                <a:gd name="connsiteY38" fmla="*/ 389240 h 754027"/>
                <a:gd name="connsiteX39" fmla="*/ 305974 w 836942"/>
                <a:gd name="connsiteY39" fmla="*/ 462197 h 754027"/>
                <a:gd name="connsiteX40" fmla="*/ 314080 w 836942"/>
                <a:gd name="connsiteY40" fmla="*/ 478410 h 754027"/>
                <a:gd name="connsiteX41" fmla="*/ 318134 w 836942"/>
                <a:gd name="connsiteY41" fmla="*/ 490569 h 754027"/>
                <a:gd name="connsiteX42" fmla="*/ 322187 w 836942"/>
                <a:gd name="connsiteY42" fmla="*/ 571633 h 754027"/>
                <a:gd name="connsiteX43" fmla="*/ 330293 w 836942"/>
                <a:gd name="connsiteY43" fmla="*/ 608112 h 754027"/>
                <a:gd name="connsiteX44" fmla="*/ 334346 w 836942"/>
                <a:gd name="connsiteY44" fmla="*/ 648644 h 754027"/>
                <a:gd name="connsiteX45" fmla="*/ 342453 w 836942"/>
                <a:gd name="connsiteY45" fmla="*/ 656750 h 754027"/>
                <a:gd name="connsiteX46" fmla="*/ 354612 w 836942"/>
                <a:gd name="connsiteY46" fmla="*/ 681069 h 754027"/>
                <a:gd name="connsiteX47" fmla="*/ 374878 w 836942"/>
                <a:gd name="connsiteY47" fmla="*/ 701335 h 754027"/>
                <a:gd name="connsiteX48" fmla="*/ 419463 w 836942"/>
                <a:gd name="connsiteY48" fmla="*/ 705389 h 754027"/>
                <a:gd name="connsiteX49" fmla="*/ 443783 w 836942"/>
                <a:gd name="connsiteY49" fmla="*/ 721601 h 754027"/>
                <a:gd name="connsiteX50" fmla="*/ 464048 w 836942"/>
                <a:gd name="connsiteY50" fmla="*/ 741867 h 754027"/>
                <a:gd name="connsiteX51" fmla="*/ 472155 w 836942"/>
                <a:gd name="connsiteY51" fmla="*/ 749974 h 754027"/>
                <a:gd name="connsiteX52" fmla="*/ 484314 w 836942"/>
                <a:gd name="connsiteY52" fmla="*/ 754027 h 754027"/>
                <a:gd name="connsiteX53" fmla="*/ 508634 w 836942"/>
                <a:gd name="connsiteY53" fmla="*/ 741867 h 754027"/>
                <a:gd name="connsiteX54" fmla="*/ 520793 w 836942"/>
                <a:gd name="connsiteY54" fmla="*/ 733761 h 754027"/>
                <a:gd name="connsiteX55" fmla="*/ 553219 w 836942"/>
                <a:gd name="connsiteY55" fmla="*/ 725655 h 754027"/>
                <a:gd name="connsiteX56" fmla="*/ 565378 w 836942"/>
                <a:gd name="connsiteY56" fmla="*/ 721601 h 754027"/>
                <a:gd name="connsiteX57" fmla="*/ 577538 w 836942"/>
                <a:gd name="connsiteY57" fmla="*/ 689176 h 754027"/>
                <a:gd name="connsiteX58" fmla="*/ 589697 w 836942"/>
                <a:gd name="connsiteY58" fmla="*/ 681069 h 754027"/>
                <a:gd name="connsiteX59" fmla="*/ 597804 w 836942"/>
                <a:gd name="connsiteY59" fmla="*/ 672963 h 754027"/>
                <a:gd name="connsiteX60" fmla="*/ 622123 w 836942"/>
                <a:gd name="connsiteY60" fmla="*/ 664857 h 754027"/>
                <a:gd name="connsiteX61" fmla="*/ 642389 w 836942"/>
                <a:gd name="connsiteY61" fmla="*/ 644591 h 754027"/>
                <a:gd name="connsiteX62" fmla="*/ 646442 w 836942"/>
                <a:gd name="connsiteY62" fmla="*/ 624325 h 754027"/>
                <a:gd name="connsiteX63" fmla="*/ 650495 w 836942"/>
                <a:gd name="connsiteY63" fmla="*/ 612165 h 754027"/>
                <a:gd name="connsiteX64" fmla="*/ 662655 w 836942"/>
                <a:gd name="connsiteY64" fmla="*/ 608112 h 754027"/>
                <a:gd name="connsiteX65" fmla="*/ 674814 w 836942"/>
                <a:gd name="connsiteY65" fmla="*/ 518942 h 754027"/>
                <a:gd name="connsiteX66" fmla="*/ 678868 w 836942"/>
                <a:gd name="connsiteY66" fmla="*/ 506782 h 754027"/>
                <a:gd name="connsiteX67" fmla="*/ 691027 w 836942"/>
                <a:gd name="connsiteY67" fmla="*/ 498676 h 754027"/>
                <a:gd name="connsiteX68" fmla="*/ 695080 w 836942"/>
                <a:gd name="connsiteY68" fmla="*/ 486516 h 754027"/>
                <a:gd name="connsiteX69" fmla="*/ 711293 w 836942"/>
                <a:gd name="connsiteY69" fmla="*/ 466250 h 754027"/>
                <a:gd name="connsiteX70" fmla="*/ 715346 w 836942"/>
                <a:gd name="connsiteY70" fmla="*/ 454091 h 754027"/>
                <a:gd name="connsiteX71" fmla="*/ 719400 w 836942"/>
                <a:gd name="connsiteY71" fmla="*/ 437878 h 754027"/>
                <a:gd name="connsiteX72" fmla="*/ 735612 w 836942"/>
                <a:gd name="connsiteY72" fmla="*/ 413559 h 754027"/>
                <a:gd name="connsiteX73" fmla="*/ 747772 w 836942"/>
                <a:gd name="connsiteY73" fmla="*/ 409506 h 754027"/>
                <a:gd name="connsiteX74" fmla="*/ 796410 w 836942"/>
                <a:gd name="connsiteY74" fmla="*/ 397346 h 754027"/>
                <a:gd name="connsiteX75" fmla="*/ 804517 w 836942"/>
                <a:gd name="connsiteY75" fmla="*/ 389240 h 754027"/>
                <a:gd name="connsiteX76" fmla="*/ 816676 w 836942"/>
                <a:gd name="connsiteY76" fmla="*/ 360867 h 754027"/>
                <a:gd name="connsiteX77" fmla="*/ 824783 w 836942"/>
                <a:gd name="connsiteY77" fmla="*/ 300069 h 754027"/>
                <a:gd name="connsiteX78" fmla="*/ 832889 w 836942"/>
                <a:gd name="connsiteY78" fmla="*/ 271697 h 754027"/>
                <a:gd name="connsiteX79" fmla="*/ 836942 w 836942"/>
                <a:gd name="connsiteY79" fmla="*/ 251431 h 754027"/>
                <a:gd name="connsiteX80" fmla="*/ 832889 w 836942"/>
                <a:gd name="connsiteY80" fmla="*/ 198740 h 754027"/>
                <a:gd name="connsiteX81" fmla="*/ 804517 w 836942"/>
                <a:gd name="connsiteY81" fmla="*/ 174421 h 754027"/>
                <a:gd name="connsiteX82" fmla="*/ 792357 w 836942"/>
                <a:gd name="connsiteY82" fmla="*/ 170367 h 754027"/>
                <a:gd name="connsiteX83" fmla="*/ 780197 w 836942"/>
                <a:gd name="connsiteY83" fmla="*/ 162261 h 754027"/>
                <a:gd name="connsiteX84" fmla="*/ 755878 w 836942"/>
                <a:gd name="connsiteY84" fmla="*/ 154155 h 754027"/>
                <a:gd name="connsiteX85" fmla="*/ 751825 w 836942"/>
                <a:gd name="connsiteY85" fmla="*/ 166314 h 7540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Lst>
              <a:rect l="l" t="t" r="r" b="b"/>
              <a:pathLst>
                <a:path w="836942" h="754027">
                  <a:moveTo>
                    <a:pt x="366772" y="60931"/>
                  </a:moveTo>
                  <a:cubicBezTo>
                    <a:pt x="360017" y="62282"/>
                    <a:pt x="352238" y="61163"/>
                    <a:pt x="346506" y="64984"/>
                  </a:cubicBezTo>
                  <a:cubicBezTo>
                    <a:pt x="342951" y="67354"/>
                    <a:pt x="345930" y="74661"/>
                    <a:pt x="342453" y="77144"/>
                  </a:cubicBezTo>
                  <a:cubicBezTo>
                    <a:pt x="335500" y="82111"/>
                    <a:pt x="326240" y="82548"/>
                    <a:pt x="318134" y="85250"/>
                  </a:cubicBezTo>
                  <a:lnTo>
                    <a:pt x="305974" y="89304"/>
                  </a:lnTo>
                  <a:cubicBezTo>
                    <a:pt x="302925" y="88796"/>
                    <a:pt x="271485" y="84219"/>
                    <a:pt x="265442" y="81197"/>
                  </a:cubicBezTo>
                  <a:cubicBezTo>
                    <a:pt x="256728" y="76840"/>
                    <a:pt x="249229" y="70388"/>
                    <a:pt x="241123" y="64984"/>
                  </a:cubicBezTo>
                  <a:lnTo>
                    <a:pt x="228963" y="56878"/>
                  </a:lnTo>
                  <a:cubicBezTo>
                    <a:pt x="227612" y="60931"/>
                    <a:pt x="227931" y="66017"/>
                    <a:pt x="224910" y="69038"/>
                  </a:cubicBezTo>
                  <a:cubicBezTo>
                    <a:pt x="208826" y="85122"/>
                    <a:pt x="202683" y="84727"/>
                    <a:pt x="184378" y="89304"/>
                  </a:cubicBezTo>
                  <a:cubicBezTo>
                    <a:pt x="174816" y="86116"/>
                    <a:pt x="169675" y="86415"/>
                    <a:pt x="164112" y="77144"/>
                  </a:cubicBezTo>
                  <a:cubicBezTo>
                    <a:pt x="154196" y="60618"/>
                    <a:pt x="168514" y="66567"/>
                    <a:pt x="147900" y="52825"/>
                  </a:cubicBezTo>
                  <a:cubicBezTo>
                    <a:pt x="144345" y="50455"/>
                    <a:pt x="139793" y="50123"/>
                    <a:pt x="135740" y="48772"/>
                  </a:cubicBezTo>
                  <a:lnTo>
                    <a:pt x="119527" y="32559"/>
                  </a:lnTo>
                  <a:cubicBezTo>
                    <a:pt x="116506" y="29538"/>
                    <a:pt x="118495" y="23420"/>
                    <a:pt x="115474" y="20399"/>
                  </a:cubicBezTo>
                  <a:cubicBezTo>
                    <a:pt x="112453" y="17378"/>
                    <a:pt x="107367" y="17697"/>
                    <a:pt x="103314" y="16346"/>
                  </a:cubicBezTo>
                  <a:cubicBezTo>
                    <a:pt x="100612" y="12293"/>
                    <a:pt x="99012" y="7230"/>
                    <a:pt x="95208" y="4187"/>
                  </a:cubicBezTo>
                  <a:cubicBezTo>
                    <a:pt x="84061" y="-4731"/>
                    <a:pt x="58362" y="3219"/>
                    <a:pt x="50623" y="4187"/>
                  </a:cubicBezTo>
                  <a:cubicBezTo>
                    <a:pt x="48478" y="4902"/>
                    <a:pt x="10489" y="8557"/>
                    <a:pt x="30357" y="24452"/>
                  </a:cubicBezTo>
                  <a:cubicBezTo>
                    <a:pt x="34707" y="27932"/>
                    <a:pt x="41166" y="27155"/>
                    <a:pt x="46570" y="28506"/>
                  </a:cubicBezTo>
                  <a:cubicBezTo>
                    <a:pt x="65343" y="56665"/>
                    <a:pt x="57501" y="39556"/>
                    <a:pt x="50623" y="101463"/>
                  </a:cubicBezTo>
                  <a:cubicBezTo>
                    <a:pt x="50151" y="105709"/>
                    <a:pt x="49591" y="110602"/>
                    <a:pt x="46570" y="113623"/>
                  </a:cubicBezTo>
                  <a:cubicBezTo>
                    <a:pt x="43549" y="116644"/>
                    <a:pt x="38463" y="116325"/>
                    <a:pt x="34410" y="117676"/>
                  </a:cubicBezTo>
                  <a:cubicBezTo>
                    <a:pt x="33059" y="123080"/>
                    <a:pt x="30972" y="128352"/>
                    <a:pt x="30357" y="133889"/>
                  </a:cubicBezTo>
                  <a:cubicBezTo>
                    <a:pt x="28338" y="152062"/>
                    <a:pt x="34000" y="187883"/>
                    <a:pt x="18197" y="206846"/>
                  </a:cubicBezTo>
                  <a:cubicBezTo>
                    <a:pt x="15079" y="210588"/>
                    <a:pt x="10091" y="212250"/>
                    <a:pt x="6038" y="214952"/>
                  </a:cubicBezTo>
                  <a:cubicBezTo>
                    <a:pt x="-1578" y="237802"/>
                    <a:pt x="-2438" y="234966"/>
                    <a:pt x="6038" y="271697"/>
                  </a:cubicBezTo>
                  <a:cubicBezTo>
                    <a:pt x="6897" y="275421"/>
                    <a:pt x="11442" y="277102"/>
                    <a:pt x="14144" y="279804"/>
                  </a:cubicBezTo>
                  <a:cubicBezTo>
                    <a:pt x="26304" y="278453"/>
                    <a:pt x="38555" y="277761"/>
                    <a:pt x="50623" y="275750"/>
                  </a:cubicBezTo>
                  <a:cubicBezTo>
                    <a:pt x="54837" y="275048"/>
                    <a:pt x="58510" y="271697"/>
                    <a:pt x="62783" y="271697"/>
                  </a:cubicBezTo>
                  <a:cubicBezTo>
                    <a:pt x="67055" y="271697"/>
                    <a:pt x="70889" y="274399"/>
                    <a:pt x="74942" y="275750"/>
                  </a:cubicBezTo>
                  <a:cubicBezTo>
                    <a:pt x="85431" y="328197"/>
                    <a:pt x="69915" y="320474"/>
                    <a:pt x="127634" y="312229"/>
                  </a:cubicBezTo>
                  <a:cubicBezTo>
                    <a:pt x="131863" y="311625"/>
                    <a:pt x="135740" y="309527"/>
                    <a:pt x="139793" y="308176"/>
                  </a:cubicBezTo>
                  <a:cubicBezTo>
                    <a:pt x="143610" y="309130"/>
                    <a:pt x="163407" y="313639"/>
                    <a:pt x="168165" y="316282"/>
                  </a:cubicBezTo>
                  <a:cubicBezTo>
                    <a:pt x="176682" y="321014"/>
                    <a:pt x="183242" y="329414"/>
                    <a:pt x="192485" y="332495"/>
                  </a:cubicBezTo>
                  <a:lnTo>
                    <a:pt x="228963" y="344655"/>
                  </a:lnTo>
                  <a:lnTo>
                    <a:pt x="249229" y="364921"/>
                  </a:lnTo>
                  <a:cubicBezTo>
                    <a:pt x="251931" y="367623"/>
                    <a:pt x="254156" y="370907"/>
                    <a:pt x="257336" y="373027"/>
                  </a:cubicBezTo>
                  <a:lnTo>
                    <a:pt x="281655" y="389240"/>
                  </a:lnTo>
                  <a:lnTo>
                    <a:pt x="305974" y="462197"/>
                  </a:lnTo>
                  <a:cubicBezTo>
                    <a:pt x="307885" y="467929"/>
                    <a:pt x="311700" y="472856"/>
                    <a:pt x="314080" y="478410"/>
                  </a:cubicBezTo>
                  <a:cubicBezTo>
                    <a:pt x="315763" y="482337"/>
                    <a:pt x="316783" y="486516"/>
                    <a:pt x="318134" y="490569"/>
                  </a:cubicBezTo>
                  <a:cubicBezTo>
                    <a:pt x="319485" y="517590"/>
                    <a:pt x="320030" y="544664"/>
                    <a:pt x="322187" y="571633"/>
                  </a:cubicBezTo>
                  <a:cubicBezTo>
                    <a:pt x="322792" y="579200"/>
                    <a:pt x="328240" y="599901"/>
                    <a:pt x="330293" y="608112"/>
                  </a:cubicBezTo>
                  <a:cubicBezTo>
                    <a:pt x="331644" y="621623"/>
                    <a:pt x="331053" y="635471"/>
                    <a:pt x="334346" y="648644"/>
                  </a:cubicBezTo>
                  <a:cubicBezTo>
                    <a:pt x="335273" y="652351"/>
                    <a:pt x="340487" y="653473"/>
                    <a:pt x="342453" y="656750"/>
                  </a:cubicBezTo>
                  <a:cubicBezTo>
                    <a:pt x="356023" y="679365"/>
                    <a:pt x="335042" y="658704"/>
                    <a:pt x="354612" y="681069"/>
                  </a:cubicBezTo>
                  <a:cubicBezTo>
                    <a:pt x="360903" y="688259"/>
                    <a:pt x="365364" y="700470"/>
                    <a:pt x="374878" y="701335"/>
                  </a:cubicBezTo>
                  <a:lnTo>
                    <a:pt x="419463" y="705389"/>
                  </a:lnTo>
                  <a:cubicBezTo>
                    <a:pt x="447374" y="733296"/>
                    <a:pt x="399596" y="687233"/>
                    <a:pt x="443783" y="721601"/>
                  </a:cubicBezTo>
                  <a:cubicBezTo>
                    <a:pt x="451324" y="727466"/>
                    <a:pt x="457293" y="735112"/>
                    <a:pt x="464048" y="741867"/>
                  </a:cubicBezTo>
                  <a:cubicBezTo>
                    <a:pt x="466750" y="744569"/>
                    <a:pt x="468529" y="748765"/>
                    <a:pt x="472155" y="749974"/>
                  </a:cubicBezTo>
                  <a:lnTo>
                    <a:pt x="484314" y="754027"/>
                  </a:lnTo>
                  <a:cubicBezTo>
                    <a:pt x="519167" y="730794"/>
                    <a:pt x="475067" y="758651"/>
                    <a:pt x="508634" y="741867"/>
                  </a:cubicBezTo>
                  <a:cubicBezTo>
                    <a:pt x="512991" y="739689"/>
                    <a:pt x="516215" y="735426"/>
                    <a:pt x="520793" y="733761"/>
                  </a:cubicBezTo>
                  <a:cubicBezTo>
                    <a:pt x="531264" y="729954"/>
                    <a:pt x="542470" y="728587"/>
                    <a:pt x="553219" y="725655"/>
                  </a:cubicBezTo>
                  <a:cubicBezTo>
                    <a:pt x="557341" y="724531"/>
                    <a:pt x="561325" y="722952"/>
                    <a:pt x="565378" y="721601"/>
                  </a:cubicBezTo>
                  <a:cubicBezTo>
                    <a:pt x="588002" y="698980"/>
                    <a:pt x="554136" y="735983"/>
                    <a:pt x="577538" y="689176"/>
                  </a:cubicBezTo>
                  <a:cubicBezTo>
                    <a:pt x="579716" y="684819"/>
                    <a:pt x="585893" y="684112"/>
                    <a:pt x="589697" y="681069"/>
                  </a:cubicBezTo>
                  <a:cubicBezTo>
                    <a:pt x="592681" y="678682"/>
                    <a:pt x="594386" y="674672"/>
                    <a:pt x="597804" y="672963"/>
                  </a:cubicBezTo>
                  <a:cubicBezTo>
                    <a:pt x="605447" y="669142"/>
                    <a:pt x="622123" y="664857"/>
                    <a:pt x="622123" y="664857"/>
                  </a:cubicBezTo>
                  <a:cubicBezTo>
                    <a:pt x="632030" y="658252"/>
                    <a:pt x="637886" y="656600"/>
                    <a:pt x="642389" y="644591"/>
                  </a:cubicBezTo>
                  <a:cubicBezTo>
                    <a:pt x="644808" y="638141"/>
                    <a:pt x="644771" y="631008"/>
                    <a:pt x="646442" y="624325"/>
                  </a:cubicBezTo>
                  <a:cubicBezTo>
                    <a:pt x="647478" y="620180"/>
                    <a:pt x="647474" y="615186"/>
                    <a:pt x="650495" y="612165"/>
                  </a:cubicBezTo>
                  <a:cubicBezTo>
                    <a:pt x="653516" y="609144"/>
                    <a:pt x="658602" y="609463"/>
                    <a:pt x="662655" y="608112"/>
                  </a:cubicBezTo>
                  <a:cubicBezTo>
                    <a:pt x="685707" y="573531"/>
                    <a:pt x="666875" y="606262"/>
                    <a:pt x="674814" y="518942"/>
                  </a:cubicBezTo>
                  <a:cubicBezTo>
                    <a:pt x="675201" y="514687"/>
                    <a:pt x="676199" y="510118"/>
                    <a:pt x="678868" y="506782"/>
                  </a:cubicBezTo>
                  <a:cubicBezTo>
                    <a:pt x="681911" y="502978"/>
                    <a:pt x="686974" y="501378"/>
                    <a:pt x="691027" y="498676"/>
                  </a:cubicBezTo>
                  <a:cubicBezTo>
                    <a:pt x="692378" y="494623"/>
                    <a:pt x="692882" y="490180"/>
                    <a:pt x="695080" y="486516"/>
                  </a:cubicBezTo>
                  <a:cubicBezTo>
                    <a:pt x="717702" y="448814"/>
                    <a:pt x="686956" y="514926"/>
                    <a:pt x="711293" y="466250"/>
                  </a:cubicBezTo>
                  <a:cubicBezTo>
                    <a:pt x="713204" y="462429"/>
                    <a:pt x="714172" y="458199"/>
                    <a:pt x="715346" y="454091"/>
                  </a:cubicBezTo>
                  <a:cubicBezTo>
                    <a:pt x="716877" y="448735"/>
                    <a:pt x="716909" y="442861"/>
                    <a:pt x="719400" y="437878"/>
                  </a:cubicBezTo>
                  <a:cubicBezTo>
                    <a:pt x="723757" y="429164"/>
                    <a:pt x="730208" y="421665"/>
                    <a:pt x="735612" y="413559"/>
                  </a:cubicBezTo>
                  <a:cubicBezTo>
                    <a:pt x="737982" y="410004"/>
                    <a:pt x="743680" y="410734"/>
                    <a:pt x="747772" y="409506"/>
                  </a:cubicBezTo>
                  <a:cubicBezTo>
                    <a:pt x="777775" y="400505"/>
                    <a:pt x="769996" y="402628"/>
                    <a:pt x="796410" y="397346"/>
                  </a:cubicBezTo>
                  <a:cubicBezTo>
                    <a:pt x="799112" y="394644"/>
                    <a:pt x="802397" y="392420"/>
                    <a:pt x="804517" y="389240"/>
                  </a:cubicBezTo>
                  <a:cubicBezTo>
                    <a:pt x="811194" y="379224"/>
                    <a:pt x="813074" y="371675"/>
                    <a:pt x="816676" y="360867"/>
                  </a:cubicBezTo>
                  <a:cubicBezTo>
                    <a:pt x="819378" y="340601"/>
                    <a:pt x="821594" y="320264"/>
                    <a:pt x="824783" y="300069"/>
                  </a:cubicBezTo>
                  <a:cubicBezTo>
                    <a:pt x="828032" y="279493"/>
                    <a:pt x="828486" y="289309"/>
                    <a:pt x="832889" y="271697"/>
                  </a:cubicBezTo>
                  <a:cubicBezTo>
                    <a:pt x="834560" y="265014"/>
                    <a:pt x="835591" y="258186"/>
                    <a:pt x="836942" y="251431"/>
                  </a:cubicBezTo>
                  <a:cubicBezTo>
                    <a:pt x="835591" y="233867"/>
                    <a:pt x="837860" y="215640"/>
                    <a:pt x="832889" y="198740"/>
                  </a:cubicBezTo>
                  <a:cubicBezTo>
                    <a:pt x="831170" y="192894"/>
                    <a:pt x="811603" y="177964"/>
                    <a:pt x="804517" y="174421"/>
                  </a:cubicBezTo>
                  <a:cubicBezTo>
                    <a:pt x="800695" y="172510"/>
                    <a:pt x="796179" y="172278"/>
                    <a:pt x="792357" y="170367"/>
                  </a:cubicBezTo>
                  <a:cubicBezTo>
                    <a:pt x="788000" y="168188"/>
                    <a:pt x="784250" y="164963"/>
                    <a:pt x="780197" y="162261"/>
                  </a:cubicBezTo>
                  <a:cubicBezTo>
                    <a:pt x="773379" y="152033"/>
                    <a:pt x="771810" y="141409"/>
                    <a:pt x="755878" y="154155"/>
                  </a:cubicBezTo>
                  <a:cubicBezTo>
                    <a:pt x="752542" y="156824"/>
                    <a:pt x="751825" y="166314"/>
                    <a:pt x="751825" y="166314"/>
                  </a:cubicBezTo>
                </a:path>
              </a:pathLst>
            </a:cu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sp macro="" textlink="">
          <xdr:nvSpPr>
            <xdr:cNvPr id="9" name="Waterberg: Coal"/>
            <xdr:cNvSpPr/>
          </xdr:nvSpPr>
          <xdr:spPr>
            <a:xfrm>
              <a:off x="6565484" y="576513"/>
              <a:ext cx="614972" cy="421105"/>
            </a:xfrm>
            <a:custGeom>
              <a:avLst/>
              <a:gdLst>
                <a:gd name="connsiteX0" fmla="*/ 15926 w 617867"/>
                <a:gd name="connsiteY0" fmla="*/ 225592 h 421105"/>
                <a:gd name="connsiteX1" fmla="*/ 40992 w 617867"/>
                <a:gd name="connsiteY1" fmla="*/ 230605 h 421105"/>
                <a:gd name="connsiteX2" fmla="*/ 111176 w 617867"/>
                <a:gd name="connsiteY2" fmla="*/ 245645 h 421105"/>
                <a:gd name="connsiteX3" fmla="*/ 136242 w 617867"/>
                <a:gd name="connsiteY3" fmla="*/ 295776 h 421105"/>
                <a:gd name="connsiteX4" fmla="*/ 166321 w 617867"/>
                <a:gd name="connsiteY4" fmla="*/ 305803 h 421105"/>
                <a:gd name="connsiteX5" fmla="*/ 206426 w 617867"/>
                <a:gd name="connsiteY5" fmla="*/ 325855 h 421105"/>
                <a:gd name="connsiteX6" fmla="*/ 256557 w 617867"/>
                <a:gd name="connsiteY6" fmla="*/ 335882 h 421105"/>
                <a:gd name="connsiteX7" fmla="*/ 286636 w 617867"/>
                <a:gd name="connsiteY7" fmla="*/ 345908 h 421105"/>
                <a:gd name="connsiteX8" fmla="*/ 321728 w 617867"/>
                <a:gd name="connsiteY8" fmla="*/ 355934 h 421105"/>
                <a:gd name="connsiteX9" fmla="*/ 331755 w 617867"/>
                <a:gd name="connsiteY9" fmla="*/ 365961 h 421105"/>
                <a:gd name="connsiteX10" fmla="*/ 346794 w 617867"/>
                <a:gd name="connsiteY10" fmla="*/ 370974 h 421105"/>
                <a:gd name="connsiteX11" fmla="*/ 351807 w 617867"/>
                <a:gd name="connsiteY11" fmla="*/ 386013 h 421105"/>
                <a:gd name="connsiteX12" fmla="*/ 361834 w 617867"/>
                <a:gd name="connsiteY12" fmla="*/ 396040 h 421105"/>
                <a:gd name="connsiteX13" fmla="*/ 386899 w 617867"/>
                <a:gd name="connsiteY13" fmla="*/ 421105 h 421105"/>
                <a:gd name="connsiteX14" fmla="*/ 437031 w 617867"/>
                <a:gd name="connsiteY14" fmla="*/ 416092 h 421105"/>
                <a:gd name="connsiteX15" fmla="*/ 452071 w 617867"/>
                <a:gd name="connsiteY15" fmla="*/ 386013 h 421105"/>
                <a:gd name="connsiteX16" fmla="*/ 477136 w 617867"/>
                <a:gd name="connsiteY16" fmla="*/ 381000 h 421105"/>
                <a:gd name="connsiteX17" fmla="*/ 497189 w 617867"/>
                <a:gd name="connsiteY17" fmla="*/ 355934 h 421105"/>
                <a:gd name="connsiteX18" fmla="*/ 502202 w 617867"/>
                <a:gd name="connsiteY18" fmla="*/ 335882 h 421105"/>
                <a:gd name="connsiteX19" fmla="*/ 507215 w 617867"/>
                <a:gd name="connsiteY19" fmla="*/ 320842 h 421105"/>
                <a:gd name="connsiteX20" fmla="*/ 537294 w 617867"/>
                <a:gd name="connsiteY20" fmla="*/ 310816 h 421105"/>
                <a:gd name="connsiteX21" fmla="*/ 547321 w 617867"/>
                <a:gd name="connsiteY21" fmla="*/ 300790 h 421105"/>
                <a:gd name="connsiteX22" fmla="*/ 562360 w 617867"/>
                <a:gd name="connsiteY22" fmla="*/ 295776 h 421105"/>
                <a:gd name="connsiteX23" fmla="*/ 582413 w 617867"/>
                <a:gd name="connsiteY23" fmla="*/ 270711 h 421105"/>
                <a:gd name="connsiteX24" fmla="*/ 597452 w 617867"/>
                <a:gd name="connsiteY24" fmla="*/ 265698 h 421105"/>
                <a:gd name="connsiteX25" fmla="*/ 617505 w 617867"/>
                <a:gd name="connsiteY25" fmla="*/ 240632 h 421105"/>
                <a:gd name="connsiteX26" fmla="*/ 607478 w 617867"/>
                <a:gd name="connsiteY26" fmla="*/ 230605 h 421105"/>
                <a:gd name="connsiteX27" fmla="*/ 602465 w 617867"/>
                <a:gd name="connsiteY27" fmla="*/ 215566 h 421105"/>
                <a:gd name="connsiteX28" fmla="*/ 557347 w 617867"/>
                <a:gd name="connsiteY28" fmla="*/ 185487 h 421105"/>
                <a:gd name="connsiteX29" fmla="*/ 527268 w 617867"/>
                <a:gd name="connsiteY29" fmla="*/ 165434 h 421105"/>
                <a:gd name="connsiteX30" fmla="*/ 512228 w 617867"/>
                <a:gd name="connsiteY30" fmla="*/ 155408 h 421105"/>
                <a:gd name="connsiteX31" fmla="*/ 492176 w 617867"/>
                <a:gd name="connsiteY31" fmla="*/ 150395 h 421105"/>
                <a:gd name="connsiteX32" fmla="*/ 452071 w 617867"/>
                <a:gd name="connsiteY32" fmla="*/ 130342 h 421105"/>
                <a:gd name="connsiteX33" fmla="*/ 437031 w 617867"/>
                <a:gd name="connsiteY33" fmla="*/ 125329 h 421105"/>
                <a:gd name="connsiteX34" fmla="*/ 391913 w 617867"/>
                <a:gd name="connsiteY34" fmla="*/ 100263 h 421105"/>
                <a:gd name="connsiteX35" fmla="*/ 366847 w 617867"/>
                <a:gd name="connsiteY35" fmla="*/ 80211 h 421105"/>
                <a:gd name="connsiteX36" fmla="*/ 331755 w 617867"/>
                <a:gd name="connsiteY36" fmla="*/ 55145 h 421105"/>
                <a:gd name="connsiteX37" fmla="*/ 286636 w 617867"/>
                <a:gd name="connsiteY37" fmla="*/ 25066 h 421105"/>
                <a:gd name="connsiteX38" fmla="*/ 241518 w 617867"/>
                <a:gd name="connsiteY38" fmla="*/ 5013 h 421105"/>
                <a:gd name="connsiteX39" fmla="*/ 226478 w 617867"/>
                <a:gd name="connsiteY39" fmla="*/ 0 h 421105"/>
                <a:gd name="connsiteX40" fmla="*/ 181360 w 617867"/>
                <a:gd name="connsiteY40" fmla="*/ 5013 h 421105"/>
                <a:gd name="connsiteX41" fmla="*/ 166321 w 617867"/>
                <a:gd name="connsiteY41" fmla="*/ 30079 h 421105"/>
                <a:gd name="connsiteX42" fmla="*/ 156294 w 617867"/>
                <a:gd name="connsiteY42" fmla="*/ 40105 h 421105"/>
                <a:gd name="connsiteX43" fmla="*/ 101149 w 617867"/>
                <a:gd name="connsiteY43" fmla="*/ 45119 h 421105"/>
                <a:gd name="connsiteX44" fmla="*/ 61044 w 617867"/>
                <a:gd name="connsiteY44" fmla="*/ 50132 h 421105"/>
                <a:gd name="connsiteX45" fmla="*/ 61044 w 617867"/>
                <a:gd name="connsiteY45" fmla="*/ 70184 h 421105"/>
                <a:gd name="connsiteX46" fmla="*/ 66057 w 617867"/>
                <a:gd name="connsiteY46" fmla="*/ 90237 h 421105"/>
                <a:gd name="connsiteX47" fmla="*/ 46005 w 617867"/>
                <a:gd name="connsiteY47" fmla="*/ 130342 h 421105"/>
                <a:gd name="connsiteX48" fmla="*/ 25952 w 617867"/>
                <a:gd name="connsiteY48" fmla="*/ 155408 h 421105"/>
                <a:gd name="connsiteX49" fmla="*/ 10913 w 617867"/>
                <a:gd name="connsiteY49" fmla="*/ 200526 h 421105"/>
                <a:gd name="connsiteX50" fmla="*/ 886 w 617867"/>
                <a:gd name="connsiteY50" fmla="*/ 215566 h 421105"/>
                <a:gd name="connsiteX51" fmla="*/ 15926 w 617867"/>
                <a:gd name="connsiteY51" fmla="*/ 225592 h 4211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617867" h="421105">
                  <a:moveTo>
                    <a:pt x="15926" y="225592"/>
                  </a:moveTo>
                  <a:cubicBezTo>
                    <a:pt x="22610" y="228098"/>
                    <a:pt x="32530" y="229609"/>
                    <a:pt x="40992" y="230605"/>
                  </a:cubicBezTo>
                  <a:cubicBezTo>
                    <a:pt x="108382" y="238534"/>
                    <a:pt x="86327" y="220799"/>
                    <a:pt x="111176" y="245645"/>
                  </a:cubicBezTo>
                  <a:cubicBezTo>
                    <a:pt x="116118" y="260471"/>
                    <a:pt x="120969" y="285594"/>
                    <a:pt x="136242" y="295776"/>
                  </a:cubicBezTo>
                  <a:cubicBezTo>
                    <a:pt x="145036" y="301638"/>
                    <a:pt x="156868" y="301077"/>
                    <a:pt x="166321" y="305803"/>
                  </a:cubicBezTo>
                  <a:cubicBezTo>
                    <a:pt x="179689" y="312487"/>
                    <a:pt x="191683" y="323397"/>
                    <a:pt x="206426" y="325855"/>
                  </a:cubicBezTo>
                  <a:cubicBezTo>
                    <a:pt x="226749" y="329243"/>
                    <a:pt x="237863" y="330274"/>
                    <a:pt x="256557" y="335882"/>
                  </a:cubicBezTo>
                  <a:cubicBezTo>
                    <a:pt x="266680" y="338919"/>
                    <a:pt x="276383" y="343345"/>
                    <a:pt x="286636" y="345908"/>
                  </a:cubicBezTo>
                  <a:cubicBezTo>
                    <a:pt x="311815" y="352203"/>
                    <a:pt x="300153" y="348742"/>
                    <a:pt x="321728" y="355934"/>
                  </a:cubicBezTo>
                  <a:cubicBezTo>
                    <a:pt x="325070" y="359276"/>
                    <a:pt x="327702" y="363529"/>
                    <a:pt x="331755" y="365961"/>
                  </a:cubicBezTo>
                  <a:cubicBezTo>
                    <a:pt x="336286" y="368680"/>
                    <a:pt x="343058" y="367238"/>
                    <a:pt x="346794" y="370974"/>
                  </a:cubicBezTo>
                  <a:cubicBezTo>
                    <a:pt x="350530" y="374710"/>
                    <a:pt x="349088" y="381482"/>
                    <a:pt x="351807" y="386013"/>
                  </a:cubicBezTo>
                  <a:cubicBezTo>
                    <a:pt x="354239" y="390066"/>
                    <a:pt x="359212" y="392107"/>
                    <a:pt x="361834" y="396040"/>
                  </a:cubicBezTo>
                  <a:cubicBezTo>
                    <a:pt x="379533" y="422588"/>
                    <a:pt x="361016" y="412477"/>
                    <a:pt x="386899" y="421105"/>
                  </a:cubicBezTo>
                  <a:cubicBezTo>
                    <a:pt x="403610" y="419434"/>
                    <a:pt x="421099" y="421403"/>
                    <a:pt x="437031" y="416092"/>
                  </a:cubicBezTo>
                  <a:cubicBezTo>
                    <a:pt x="459848" y="408487"/>
                    <a:pt x="436503" y="396392"/>
                    <a:pt x="452071" y="386013"/>
                  </a:cubicBezTo>
                  <a:cubicBezTo>
                    <a:pt x="459160" y="381287"/>
                    <a:pt x="468781" y="382671"/>
                    <a:pt x="477136" y="381000"/>
                  </a:cubicBezTo>
                  <a:cubicBezTo>
                    <a:pt x="485224" y="372913"/>
                    <a:pt x="492445" y="367004"/>
                    <a:pt x="497189" y="355934"/>
                  </a:cubicBezTo>
                  <a:cubicBezTo>
                    <a:pt x="499903" y="349601"/>
                    <a:pt x="500309" y="342507"/>
                    <a:pt x="502202" y="335882"/>
                  </a:cubicBezTo>
                  <a:cubicBezTo>
                    <a:pt x="503654" y="330801"/>
                    <a:pt x="502915" y="323914"/>
                    <a:pt x="507215" y="320842"/>
                  </a:cubicBezTo>
                  <a:cubicBezTo>
                    <a:pt x="515815" y="314699"/>
                    <a:pt x="537294" y="310816"/>
                    <a:pt x="537294" y="310816"/>
                  </a:cubicBezTo>
                  <a:cubicBezTo>
                    <a:pt x="540636" y="307474"/>
                    <a:pt x="543268" y="303222"/>
                    <a:pt x="547321" y="300790"/>
                  </a:cubicBezTo>
                  <a:cubicBezTo>
                    <a:pt x="551852" y="298071"/>
                    <a:pt x="558234" y="299077"/>
                    <a:pt x="562360" y="295776"/>
                  </a:cubicBezTo>
                  <a:cubicBezTo>
                    <a:pt x="582853" y="279381"/>
                    <a:pt x="561971" y="282976"/>
                    <a:pt x="582413" y="270711"/>
                  </a:cubicBezTo>
                  <a:cubicBezTo>
                    <a:pt x="586944" y="267992"/>
                    <a:pt x="592439" y="267369"/>
                    <a:pt x="597452" y="265698"/>
                  </a:cubicBezTo>
                  <a:cubicBezTo>
                    <a:pt x="605751" y="260165"/>
                    <a:pt x="620354" y="254875"/>
                    <a:pt x="617505" y="240632"/>
                  </a:cubicBezTo>
                  <a:cubicBezTo>
                    <a:pt x="616578" y="235997"/>
                    <a:pt x="610820" y="233947"/>
                    <a:pt x="607478" y="230605"/>
                  </a:cubicBezTo>
                  <a:cubicBezTo>
                    <a:pt x="605807" y="225592"/>
                    <a:pt x="605636" y="219793"/>
                    <a:pt x="602465" y="215566"/>
                  </a:cubicBezTo>
                  <a:cubicBezTo>
                    <a:pt x="581739" y="187931"/>
                    <a:pt x="583492" y="192023"/>
                    <a:pt x="557347" y="185487"/>
                  </a:cubicBezTo>
                  <a:lnTo>
                    <a:pt x="527268" y="165434"/>
                  </a:lnTo>
                  <a:cubicBezTo>
                    <a:pt x="522255" y="162092"/>
                    <a:pt x="518073" y="156869"/>
                    <a:pt x="512228" y="155408"/>
                  </a:cubicBezTo>
                  <a:lnTo>
                    <a:pt x="492176" y="150395"/>
                  </a:lnTo>
                  <a:cubicBezTo>
                    <a:pt x="474676" y="132897"/>
                    <a:pt x="486632" y="141863"/>
                    <a:pt x="452071" y="130342"/>
                  </a:cubicBezTo>
                  <a:lnTo>
                    <a:pt x="437031" y="125329"/>
                  </a:lnTo>
                  <a:cubicBezTo>
                    <a:pt x="402555" y="102345"/>
                    <a:pt x="418384" y="109087"/>
                    <a:pt x="391913" y="100263"/>
                  </a:cubicBezTo>
                  <a:cubicBezTo>
                    <a:pt x="357766" y="66120"/>
                    <a:pt x="411133" y="118171"/>
                    <a:pt x="366847" y="80211"/>
                  </a:cubicBezTo>
                  <a:cubicBezTo>
                    <a:pt x="336570" y="54259"/>
                    <a:pt x="359389" y="64356"/>
                    <a:pt x="331755" y="55145"/>
                  </a:cubicBezTo>
                  <a:cubicBezTo>
                    <a:pt x="301817" y="25207"/>
                    <a:pt x="318152" y="32945"/>
                    <a:pt x="286636" y="25066"/>
                  </a:cubicBezTo>
                  <a:cubicBezTo>
                    <a:pt x="262804" y="9178"/>
                    <a:pt x="277311" y="16944"/>
                    <a:pt x="241518" y="5013"/>
                  </a:cubicBezTo>
                  <a:lnTo>
                    <a:pt x="226478" y="0"/>
                  </a:lnTo>
                  <a:cubicBezTo>
                    <a:pt x="211439" y="1671"/>
                    <a:pt x="195959" y="1031"/>
                    <a:pt x="181360" y="5013"/>
                  </a:cubicBezTo>
                  <a:cubicBezTo>
                    <a:pt x="169211" y="8327"/>
                    <a:pt x="171025" y="22239"/>
                    <a:pt x="166321" y="30079"/>
                  </a:cubicBezTo>
                  <a:cubicBezTo>
                    <a:pt x="163889" y="34132"/>
                    <a:pt x="160899" y="39042"/>
                    <a:pt x="156294" y="40105"/>
                  </a:cubicBezTo>
                  <a:cubicBezTo>
                    <a:pt x="138309" y="44255"/>
                    <a:pt x="119505" y="43187"/>
                    <a:pt x="101149" y="45119"/>
                  </a:cubicBezTo>
                  <a:cubicBezTo>
                    <a:pt x="87751" y="46529"/>
                    <a:pt x="74412" y="48461"/>
                    <a:pt x="61044" y="50132"/>
                  </a:cubicBezTo>
                  <a:cubicBezTo>
                    <a:pt x="34241" y="59066"/>
                    <a:pt x="49028" y="49155"/>
                    <a:pt x="61044" y="70184"/>
                  </a:cubicBezTo>
                  <a:cubicBezTo>
                    <a:pt x="64462" y="76166"/>
                    <a:pt x="64386" y="83553"/>
                    <a:pt x="66057" y="90237"/>
                  </a:cubicBezTo>
                  <a:cubicBezTo>
                    <a:pt x="55185" y="155471"/>
                    <a:pt x="72387" y="97363"/>
                    <a:pt x="46005" y="130342"/>
                  </a:cubicBezTo>
                  <a:cubicBezTo>
                    <a:pt x="18334" y="164932"/>
                    <a:pt x="69051" y="126677"/>
                    <a:pt x="25952" y="155408"/>
                  </a:cubicBezTo>
                  <a:cubicBezTo>
                    <a:pt x="3169" y="189584"/>
                    <a:pt x="28926" y="146489"/>
                    <a:pt x="10913" y="200526"/>
                  </a:cubicBezTo>
                  <a:cubicBezTo>
                    <a:pt x="9008" y="206242"/>
                    <a:pt x="-3374" y="211305"/>
                    <a:pt x="886" y="215566"/>
                  </a:cubicBezTo>
                  <a:cubicBezTo>
                    <a:pt x="6794" y="221474"/>
                    <a:pt x="9242" y="223086"/>
                    <a:pt x="15926" y="225592"/>
                  </a:cubicBezTo>
                  <a:close/>
                </a:path>
              </a:pathLst>
            </a:cu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sp macro="" textlink="">
          <xdr:nvSpPr>
            <xdr:cNvPr id="10" name="Olifants River: Coal"/>
            <xdr:cNvSpPr/>
          </xdr:nvSpPr>
          <xdr:spPr>
            <a:xfrm>
              <a:off x="6941634" y="1142957"/>
              <a:ext cx="427973" cy="288116"/>
            </a:xfrm>
            <a:custGeom>
              <a:avLst/>
              <a:gdLst>
                <a:gd name="connsiteX0" fmla="*/ 32525 w 427973"/>
                <a:gd name="connsiteY0" fmla="*/ 43 h 288116"/>
                <a:gd name="connsiteX1" fmla="*/ 27878 w 427973"/>
                <a:gd name="connsiteY1" fmla="*/ 27921 h 288116"/>
                <a:gd name="connsiteX2" fmla="*/ 18586 w 427973"/>
                <a:gd name="connsiteY2" fmla="*/ 41860 h 288116"/>
                <a:gd name="connsiteX3" fmla="*/ 32525 w 427973"/>
                <a:gd name="connsiteY3" fmla="*/ 83677 h 288116"/>
                <a:gd name="connsiteX4" fmla="*/ 41817 w 427973"/>
                <a:gd name="connsiteY4" fmla="*/ 102263 h 288116"/>
                <a:gd name="connsiteX5" fmla="*/ 32525 w 427973"/>
                <a:gd name="connsiteY5" fmla="*/ 139433 h 288116"/>
                <a:gd name="connsiteX6" fmla="*/ 18586 w 427973"/>
                <a:gd name="connsiteY6" fmla="*/ 144080 h 288116"/>
                <a:gd name="connsiteX7" fmla="*/ 0 w 427973"/>
                <a:gd name="connsiteY7" fmla="*/ 153372 h 288116"/>
                <a:gd name="connsiteX8" fmla="*/ 9293 w 427973"/>
                <a:gd name="connsiteY8" fmla="*/ 195189 h 288116"/>
                <a:gd name="connsiteX9" fmla="*/ 23232 w 427973"/>
                <a:gd name="connsiteY9" fmla="*/ 204482 h 288116"/>
                <a:gd name="connsiteX10" fmla="*/ 27878 w 427973"/>
                <a:gd name="connsiteY10" fmla="*/ 218421 h 288116"/>
                <a:gd name="connsiteX11" fmla="*/ 41817 w 427973"/>
                <a:gd name="connsiteY11" fmla="*/ 232360 h 288116"/>
                <a:gd name="connsiteX12" fmla="*/ 55756 w 427973"/>
                <a:gd name="connsiteY12" fmla="*/ 237006 h 288116"/>
                <a:gd name="connsiteX13" fmla="*/ 88281 w 427973"/>
                <a:gd name="connsiteY13" fmla="*/ 246299 h 288116"/>
                <a:gd name="connsiteX14" fmla="*/ 116159 w 427973"/>
                <a:gd name="connsiteY14" fmla="*/ 260238 h 288116"/>
                <a:gd name="connsiteX15" fmla="*/ 153329 w 427973"/>
                <a:gd name="connsiteY15" fmla="*/ 278823 h 288116"/>
                <a:gd name="connsiteX16" fmla="*/ 181207 w 427973"/>
                <a:gd name="connsiteY16" fmla="*/ 288116 h 288116"/>
                <a:gd name="connsiteX17" fmla="*/ 218378 w 427973"/>
                <a:gd name="connsiteY17" fmla="*/ 283470 h 288116"/>
                <a:gd name="connsiteX18" fmla="*/ 264842 w 427973"/>
                <a:gd name="connsiteY18" fmla="*/ 278823 h 288116"/>
                <a:gd name="connsiteX19" fmla="*/ 315951 w 427973"/>
                <a:gd name="connsiteY19" fmla="*/ 264884 h 288116"/>
                <a:gd name="connsiteX20" fmla="*/ 353122 w 427973"/>
                <a:gd name="connsiteY20" fmla="*/ 269531 h 288116"/>
                <a:gd name="connsiteX21" fmla="*/ 357768 w 427973"/>
                <a:gd name="connsiteY21" fmla="*/ 283470 h 288116"/>
                <a:gd name="connsiteX22" fmla="*/ 376354 w 427973"/>
                <a:gd name="connsiteY22" fmla="*/ 288116 h 288116"/>
                <a:gd name="connsiteX23" fmla="*/ 385646 w 427973"/>
                <a:gd name="connsiteY23" fmla="*/ 274177 h 288116"/>
                <a:gd name="connsiteX24" fmla="*/ 371707 w 427973"/>
                <a:gd name="connsiteY24" fmla="*/ 246299 h 288116"/>
                <a:gd name="connsiteX25" fmla="*/ 357768 w 427973"/>
                <a:gd name="connsiteY25" fmla="*/ 241653 h 288116"/>
                <a:gd name="connsiteX26" fmla="*/ 362415 w 427973"/>
                <a:gd name="connsiteY26" fmla="*/ 199836 h 288116"/>
                <a:gd name="connsiteX27" fmla="*/ 367061 w 427973"/>
                <a:gd name="connsiteY27" fmla="*/ 185897 h 288116"/>
                <a:gd name="connsiteX28" fmla="*/ 371707 w 427973"/>
                <a:gd name="connsiteY28" fmla="*/ 153372 h 288116"/>
                <a:gd name="connsiteX29" fmla="*/ 408878 w 427973"/>
                <a:gd name="connsiteY29" fmla="*/ 116202 h 288116"/>
                <a:gd name="connsiteX30" fmla="*/ 422817 w 427973"/>
                <a:gd name="connsiteY30" fmla="*/ 106909 h 288116"/>
                <a:gd name="connsiteX31" fmla="*/ 427464 w 427973"/>
                <a:gd name="connsiteY31" fmla="*/ 92970 h 288116"/>
                <a:gd name="connsiteX32" fmla="*/ 394939 w 427973"/>
                <a:gd name="connsiteY32" fmla="*/ 79031 h 288116"/>
                <a:gd name="connsiteX33" fmla="*/ 367061 w 427973"/>
                <a:gd name="connsiteY33" fmla="*/ 65092 h 288116"/>
                <a:gd name="connsiteX34" fmla="*/ 353122 w 427973"/>
                <a:gd name="connsiteY34" fmla="*/ 55799 h 288116"/>
                <a:gd name="connsiteX35" fmla="*/ 306659 w 427973"/>
                <a:gd name="connsiteY35" fmla="*/ 41860 h 288116"/>
                <a:gd name="connsiteX36" fmla="*/ 292720 w 427973"/>
                <a:gd name="connsiteY36" fmla="*/ 37214 h 288116"/>
                <a:gd name="connsiteX37" fmla="*/ 218378 w 427973"/>
                <a:gd name="connsiteY37" fmla="*/ 23275 h 288116"/>
                <a:gd name="connsiteX38" fmla="*/ 88281 w 427973"/>
                <a:gd name="connsiteY38" fmla="*/ 18628 h 288116"/>
                <a:gd name="connsiteX39" fmla="*/ 32525 w 427973"/>
                <a:gd name="connsiteY39" fmla="*/ 18628 h 288116"/>
                <a:gd name="connsiteX40" fmla="*/ 32525 w 427973"/>
                <a:gd name="connsiteY40" fmla="*/ 43 h 2881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427973" h="288116">
                  <a:moveTo>
                    <a:pt x="32525" y="43"/>
                  </a:moveTo>
                  <a:cubicBezTo>
                    <a:pt x="31750" y="1592"/>
                    <a:pt x="30857" y="18984"/>
                    <a:pt x="27878" y="27921"/>
                  </a:cubicBezTo>
                  <a:cubicBezTo>
                    <a:pt x="26112" y="33219"/>
                    <a:pt x="19203" y="36310"/>
                    <a:pt x="18586" y="41860"/>
                  </a:cubicBezTo>
                  <a:cubicBezTo>
                    <a:pt x="15816" y="66788"/>
                    <a:pt x="22946" y="66913"/>
                    <a:pt x="32525" y="83677"/>
                  </a:cubicBezTo>
                  <a:cubicBezTo>
                    <a:pt x="35961" y="89691"/>
                    <a:pt x="38720" y="96068"/>
                    <a:pt x="41817" y="102263"/>
                  </a:cubicBezTo>
                  <a:cubicBezTo>
                    <a:pt x="38720" y="114653"/>
                    <a:pt x="38727" y="128269"/>
                    <a:pt x="32525" y="139433"/>
                  </a:cubicBezTo>
                  <a:cubicBezTo>
                    <a:pt x="30147" y="143714"/>
                    <a:pt x="23088" y="142151"/>
                    <a:pt x="18586" y="144080"/>
                  </a:cubicBezTo>
                  <a:cubicBezTo>
                    <a:pt x="12220" y="146808"/>
                    <a:pt x="6195" y="150275"/>
                    <a:pt x="0" y="153372"/>
                  </a:cubicBezTo>
                  <a:cubicBezTo>
                    <a:pt x="48" y="153662"/>
                    <a:pt x="4475" y="189167"/>
                    <a:pt x="9293" y="195189"/>
                  </a:cubicBezTo>
                  <a:cubicBezTo>
                    <a:pt x="12782" y="199550"/>
                    <a:pt x="18586" y="201384"/>
                    <a:pt x="23232" y="204482"/>
                  </a:cubicBezTo>
                  <a:cubicBezTo>
                    <a:pt x="24781" y="209128"/>
                    <a:pt x="25161" y="214346"/>
                    <a:pt x="27878" y="218421"/>
                  </a:cubicBezTo>
                  <a:cubicBezTo>
                    <a:pt x="31523" y="223888"/>
                    <a:pt x="36350" y="228715"/>
                    <a:pt x="41817" y="232360"/>
                  </a:cubicBezTo>
                  <a:cubicBezTo>
                    <a:pt x="45892" y="235077"/>
                    <a:pt x="51047" y="235660"/>
                    <a:pt x="55756" y="237006"/>
                  </a:cubicBezTo>
                  <a:cubicBezTo>
                    <a:pt x="96596" y="248675"/>
                    <a:pt x="54861" y="235160"/>
                    <a:pt x="88281" y="246299"/>
                  </a:cubicBezTo>
                  <a:cubicBezTo>
                    <a:pt x="118828" y="266665"/>
                    <a:pt x="85930" y="246498"/>
                    <a:pt x="116159" y="260238"/>
                  </a:cubicBezTo>
                  <a:cubicBezTo>
                    <a:pt x="128770" y="265970"/>
                    <a:pt x="140939" y="272628"/>
                    <a:pt x="153329" y="278823"/>
                  </a:cubicBezTo>
                  <a:cubicBezTo>
                    <a:pt x="162090" y="283204"/>
                    <a:pt x="181207" y="288116"/>
                    <a:pt x="181207" y="288116"/>
                  </a:cubicBezTo>
                  <a:lnTo>
                    <a:pt x="218378" y="283470"/>
                  </a:lnTo>
                  <a:cubicBezTo>
                    <a:pt x="233848" y="281751"/>
                    <a:pt x="249489" y="281382"/>
                    <a:pt x="264842" y="278823"/>
                  </a:cubicBezTo>
                  <a:cubicBezTo>
                    <a:pt x="285812" y="275328"/>
                    <a:pt x="297931" y="270892"/>
                    <a:pt x="315951" y="264884"/>
                  </a:cubicBezTo>
                  <a:cubicBezTo>
                    <a:pt x="328341" y="266433"/>
                    <a:pt x="341712" y="264459"/>
                    <a:pt x="353122" y="269531"/>
                  </a:cubicBezTo>
                  <a:cubicBezTo>
                    <a:pt x="357597" y="271520"/>
                    <a:pt x="353944" y="280411"/>
                    <a:pt x="357768" y="283470"/>
                  </a:cubicBezTo>
                  <a:cubicBezTo>
                    <a:pt x="362755" y="287459"/>
                    <a:pt x="370159" y="286567"/>
                    <a:pt x="376354" y="288116"/>
                  </a:cubicBezTo>
                  <a:cubicBezTo>
                    <a:pt x="379451" y="283470"/>
                    <a:pt x="384728" y="279685"/>
                    <a:pt x="385646" y="274177"/>
                  </a:cubicBezTo>
                  <a:cubicBezTo>
                    <a:pt x="386636" y="268235"/>
                    <a:pt x="375277" y="249155"/>
                    <a:pt x="371707" y="246299"/>
                  </a:cubicBezTo>
                  <a:cubicBezTo>
                    <a:pt x="367883" y="243240"/>
                    <a:pt x="362414" y="243202"/>
                    <a:pt x="357768" y="241653"/>
                  </a:cubicBezTo>
                  <a:cubicBezTo>
                    <a:pt x="350025" y="218421"/>
                    <a:pt x="351573" y="232361"/>
                    <a:pt x="362415" y="199836"/>
                  </a:cubicBezTo>
                  <a:lnTo>
                    <a:pt x="367061" y="185897"/>
                  </a:lnTo>
                  <a:cubicBezTo>
                    <a:pt x="368610" y="175055"/>
                    <a:pt x="363155" y="160213"/>
                    <a:pt x="371707" y="153372"/>
                  </a:cubicBezTo>
                  <a:cubicBezTo>
                    <a:pt x="419754" y="114934"/>
                    <a:pt x="419144" y="188052"/>
                    <a:pt x="408878" y="116202"/>
                  </a:cubicBezTo>
                  <a:cubicBezTo>
                    <a:pt x="413524" y="113104"/>
                    <a:pt x="419328" y="111270"/>
                    <a:pt x="422817" y="106909"/>
                  </a:cubicBezTo>
                  <a:cubicBezTo>
                    <a:pt x="425877" y="103085"/>
                    <a:pt x="429283" y="97517"/>
                    <a:pt x="427464" y="92970"/>
                  </a:cubicBezTo>
                  <a:cubicBezTo>
                    <a:pt x="423899" y="84056"/>
                    <a:pt x="401003" y="80547"/>
                    <a:pt x="394939" y="79031"/>
                  </a:cubicBezTo>
                  <a:cubicBezTo>
                    <a:pt x="354991" y="52398"/>
                    <a:pt x="405534" y="84329"/>
                    <a:pt x="367061" y="65092"/>
                  </a:cubicBezTo>
                  <a:cubicBezTo>
                    <a:pt x="362066" y="62595"/>
                    <a:pt x="358225" y="58067"/>
                    <a:pt x="353122" y="55799"/>
                  </a:cubicBezTo>
                  <a:cubicBezTo>
                    <a:pt x="333246" y="46965"/>
                    <a:pt x="325581" y="47266"/>
                    <a:pt x="306659" y="41860"/>
                  </a:cubicBezTo>
                  <a:cubicBezTo>
                    <a:pt x="301950" y="40515"/>
                    <a:pt x="297471" y="38402"/>
                    <a:pt x="292720" y="37214"/>
                  </a:cubicBezTo>
                  <a:cubicBezTo>
                    <a:pt x="274807" y="32736"/>
                    <a:pt x="238505" y="24425"/>
                    <a:pt x="218378" y="23275"/>
                  </a:cubicBezTo>
                  <a:cubicBezTo>
                    <a:pt x="175055" y="20799"/>
                    <a:pt x="131647" y="20177"/>
                    <a:pt x="88281" y="18628"/>
                  </a:cubicBezTo>
                  <a:cubicBezTo>
                    <a:pt x="69868" y="12491"/>
                    <a:pt x="53921" y="5012"/>
                    <a:pt x="32525" y="18628"/>
                  </a:cubicBezTo>
                  <a:cubicBezTo>
                    <a:pt x="529" y="38989"/>
                    <a:pt x="33300" y="-1506"/>
                    <a:pt x="32525" y="43"/>
                  </a:cubicBezTo>
                  <a:close/>
                </a:path>
              </a:pathLst>
            </a:cu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grpSp>
    </xdr:grpSp>
    <xdr:clientData/>
  </xdr:twoCellAnchor>
  <xdr:twoCellAnchor>
    <xdr:from>
      <xdr:col>10</xdr:col>
      <xdr:colOff>310172</xdr:colOff>
      <xdr:row>10</xdr:row>
      <xdr:rowOff>156376</xdr:rowOff>
    </xdr:from>
    <xdr:to>
      <xdr:col>11</xdr:col>
      <xdr:colOff>219935</xdr:colOff>
      <xdr:row>11</xdr:row>
      <xdr:rowOff>112833</xdr:rowOff>
    </xdr:to>
    <xdr:sp macro="" textlink="">
      <xdr:nvSpPr>
        <xdr:cNvPr id="11" name="Oval 10"/>
        <xdr:cNvSpPr/>
      </xdr:nvSpPr>
      <xdr:spPr>
        <a:xfrm rot="19135028">
          <a:off x="8626482" y="2061376"/>
          <a:ext cx="520677" cy="1469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editAs="oneCell">
    <xdr:from>
      <xdr:col>4</xdr:col>
      <xdr:colOff>440120</xdr:colOff>
      <xdr:row>20</xdr:row>
      <xdr:rowOff>0</xdr:rowOff>
    </xdr:from>
    <xdr:to>
      <xdr:col>10</xdr:col>
      <xdr:colOff>115502</xdr:colOff>
      <xdr:row>32</xdr:row>
      <xdr:rowOff>89251</xdr:rowOff>
    </xdr:to>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8320" y="3810000"/>
          <a:ext cx="3332982" cy="2375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161925</xdr:colOff>
      <xdr:row>0</xdr:row>
      <xdr:rowOff>66675</xdr:rowOff>
    </xdr:from>
    <xdr:to>
      <xdr:col>37</xdr:col>
      <xdr:colOff>409575</xdr:colOff>
      <xdr:row>54</xdr:row>
      <xdr:rowOff>104775</xdr:rowOff>
    </xdr:to>
    <xdr:pic>
      <xdr:nvPicPr>
        <xdr:cNvPr id="13" name="Picture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15725" y="66675"/>
          <a:ext cx="13658850" cy="1032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0</xdr:row>
      <xdr:rowOff>0</xdr:rowOff>
    </xdr:from>
    <xdr:to>
      <xdr:col>57</xdr:col>
      <xdr:colOff>486895</xdr:colOff>
      <xdr:row>48</xdr:row>
      <xdr:rowOff>123825</xdr:rowOff>
    </xdr:to>
    <xdr:pic>
      <xdr:nvPicPr>
        <xdr:cNvPr id="14" name="Picture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374600" y="0"/>
          <a:ext cx="12069295" cy="926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257175</xdr:colOff>
      <xdr:row>34</xdr:row>
      <xdr:rowOff>0</xdr:rowOff>
    </xdr:from>
    <xdr:to>
      <xdr:col>14</xdr:col>
      <xdr:colOff>161925</xdr:colOff>
      <xdr:row>70</xdr:row>
      <xdr:rowOff>76200</xdr:rowOff>
    </xdr:to>
    <xdr:pic>
      <xdr:nvPicPr>
        <xdr:cNvPr id="15" name="Picture 14" descr="The proposed SEA study area encompassing current Exploration Right application areas located in the Eastern, Northern and Western Cape Provinces of South Africa"/>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33625" y="6477000"/>
          <a:ext cx="8572500" cy="693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152400</xdr:colOff>
      <xdr:row>0</xdr:row>
      <xdr:rowOff>123825</xdr:rowOff>
    </xdr:from>
    <xdr:to>
      <xdr:col>22</xdr:col>
      <xdr:colOff>152400</xdr:colOff>
      <xdr:row>10</xdr:row>
      <xdr:rowOff>31750</xdr:rowOff>
    </xdr:to>
    <xdr:pic>
      <xdr:nvPicPr>
        <xdr:cNvPr id="2" name="Picture 1"/>
        <xdr:cNvPicPr/>
      </xdr:nvPicPr>
      <xdr:blipFill>
        <a:blip xmlns:r="http://schemas.openxmlformats.org/officeDocument/2006/relationships" r:embed="rId1"/>
        <a:stretch>
          <a:fillRect/>
        </a:stretch>
      </xdr:blipFill>
      <xdr:spPr>
        <a:xfrm>
          <a:off x="11144250" y="123825"/>
          <a:ext cx="5486400" cy="2565400"/>
        </a:xfrm>
        <a:prstGeom prst="rect">
          <a:avLst/>
        </a:prstGeom>
      </xdr:spPr>
    </xdr:pic>
    <xdr:clientData/>
  </xdr:twoCellAnchor>
  <xdr:twoCellAnchor editAs="oneCell">
    <xdr:from>
      <xdr:col>22</xdr:col>
      <xdr:colOff>38099</xdr:colOff>
      <xdr:row>0</xdr:row>
      <xdr:rowOff>161925</xdr:rowOff>
    </xdr:from>
    <xdr:to>
      <xdr:col>30</xdr:col>
      <xdr:colOff>542924</xdr:colOff>
      <xdr:row>23</xdr:row>
      <xdr:rowOff>180975</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516349" y="161925"/>
          <a:ext cx="5381625" cy="5153025"/>
        </a:xfrm>
        <a:prstGeom prst="rect">
          <a:avLst/>
        </a:prstGeom>
        <a:noFill/>
        <a:ln>
          <a:noFill/>
        </a:ln>
      </xdr:spPr>
    </xdr:pic>
    <xdr:clientData/>
  </xdr:twoCellAnchor>
  <xdr:twoCellAnchor editAs="oneCell">
    <xdr:from>
      <xdr:col>2</xdr:col>
      <xdr:colOff>0</xdr:colOff>
      <xdr:row>2</xdr:row>
      <xdr:rowOff>0</xdr:rowOff>
    </xdr:from>
    <xdr:to>
      <xdr:col>7</xdr:col>
      <xdr:colOff>171450</xdr:colOff>
      <xdr:row>11</xdr:row>
      <xdr:rowOff>180975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82400" y="6667500"/>
          <a:ext cx="3219450"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32</xdr:row>
      <xdr:rowOff>0</xdr:rowOff>
    </xdr:from>
    <xdr:to>
      <xdr:col>7</xdr:col>
      <xdr:colOff>171450</xdr:colOff>
      <xdr:row>45</xdr:row>
      <xdr:rowOff>120650</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82400" y="12382500"/>
          <a:ext cx="3219450" cy="259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323850</xdr:colOff>
      <xdr:row>2</xdr:row>
      <xdr:rowOff>114300</xdr:rowOff>
    </xdr:from>
    <xdr:to>
      <xdr:col>21</xdr:col>
      <xdr:colOff>19050</xdr:colOff>
      <xdr:row>23</xdr:row>
      <xdr:rowOff>153509</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495300"/>
          <a:ext cx="4572000" cy="403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49</xdr:row>
      <xdr:rowOff>0</xdr:rowOff>
    </xdr:from>
    <xdr:to>
      <xdr:col>3</xdr:col>
      <xdr:colOff>220980</xdr:colOff>
      <xdr:row>57</xdr:row>
      <xdr:rowOff>31750</xdr:rowOff>
    </xdr:to>
    <xdr:pic>
      <xdr:nvPicPr>
        <xdr:cNvPr id="2" name="Picture 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9334500"/>
          <a:ext cx="5735955" cy="1555750"/>
        </a:xfrm>
        <a:prstGeom prst="rect">
          <a:avLst/>
        </a:prstGeom>
        <a:noFill/>
        <a:ln>
          <a:noFill/>
        </a:ln>
      </xdr:spPr>
    </xdr:pic>
    <xdr:clientData/>
  </xdr:twoCellAnchor>
  <xdr:twoCellAnchor editAs="oneCell">
    <xdr:from>
      <xdr:col>19</xdr:col>
      <xdr:colOff>390525</xdr:colOff>
      <xdr:row>2</xdr:row>
      <xdr:rowOff>28575</xdr:rowOff>
    </xdr:from>
    <xdr:to>
      <xdr:col>30</xdr:col>
      <xdr:colOff>76200</xdr:colOff>
      <xdr:row>39</xdr:row>
      <xdr:rowOff>114300</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487775" y="409575"/>
          <a:ext cx="6581775"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xdr:colOff>
      <xdr:row>2</xdr:row>
      <xdr:rowOff>76201</xdr:rowOff>
    </xdr:from>
    <xdr:to>
      <xdr:col>15</xdr:col>
      <xdr:colOff>409575</xdr:colOff>
      <xdr:row>24</xdr:row>
      <xdr:rowOff>8685</xdr:rowOff>
    </xdr:to>
    <xdr:pic>
      <xdr:nvPicPr>
        <xdr:cNvPr id="6"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48950" y="457201"/>
          <a:ext cx="3419475" cy="412348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25</xdr:row>
      <xdr:rowOff>28574</xdr:rowOff>
    </xdr:from>
    <xdr:to>
      <xdr:col>17</xdr:col>
      <xdr:colOff>9525</xdr:colOff>
      <xdr:row>36</xdr:row>
      <xdr:rowOff>19049</xdr:rowOff>
    </xdr:to>
    <xdr:sp macro="" textlink="">
      <xdr:nvSpPr>
        <xdr:cNvPr id="3" name="TextBox 2"/>
        <xdr:cNvSpPr txBox="1"/>
      </xdr:nvSpPr>
      <xdr:spPr>
        <a:xfrm>
          <a:off x="10610850" y="4791074"/>
          <a:ext cx="427672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b="0" i="0" u="none" strike="noStrike" baseline="0" smtClean="0">
              <a:solidFill>
                <a:schemeClr val="dk1"/>
              </a:solidFill>
              <a:latin typeface="+mn-lt"/>
              <a:ea typeface="+mn-ea"/>
              <a:cs typeface="+mn-cs"/>
            </a:rPr>
            <a:t>The MPP24 is aligned with the Energy Security Master</a:t>
          </a:r>
        </a:p>
        <a:p>
          <a:r>
            <a:rPr lang="en-ZA" sz="1100" b="0" i="0" u="none" strike="noStrike" baseline="0" smtClean="0">
              <a:solidFill>
                <a:schemeClr val="dk1"/>
              </a:solidFill>
              <a:latin typeface="+mn-lt"/>
              <a:ea typeface="+mn-ea"/>
              <a:cs typeface="+mn-cs"/>
            </a:rPr>
            <a:t>Plan of the Department of Energy. The pipeline is</a:t>
          </a:r>
        </a:p>
        <a:p>
          <a:r>
            <a:rPr lang="en-ZA" sz="1100" b="1" i="0" u="none" strike="noStrike" baseline="0" smtClean="0">
              <a:solidFill>
                <a:schemeClr val="dk1"/>
              </a:solidFill>
              <a:latin typeface="+mn-lt"/>
              <a:ea typeface="+mn-ea"/>
              <a:cs typeface="+mn-cs"/>
            </a:rPr>
            <a:t>555km</a:t>
          </a:r>
          <a:r>
            <a:rPr lang="en-ZA" sz="1100" b="0" i="0" u="none" strike="noStrike" baseline="0" smtClean="0">
              <a:solidFill>
                <a:schemeClr val="dk1"/>
              </a:solidFill>
              <a:latin typeface="+mn-lt"/>
              <a:ea typeface="+mn-ea"/>
              <a:cs typeface="+mn-cs"/>
            </a:rPr>
            <a:t> and the system consists of a trunk line and two</a:t>
          </a:r>
        </a:p>
        <a:p>
          <a:r>
            <a:rPr lang="en-ZA" sz="1100" b="0" i="0" u="none" strike="noStrike" baseline="0" smtClean="0">
              <a:solidFill>
                <a:schemeClr val="dk1"/>
              </a:solidFill>
              <a:latin typeface="+mn-lt"/>
              <a:ea typeface="+mn-ea"/>
              <a:cs typeface="+mn-cs"/>
            </a:rPr>
            <a:t>accumulator terminals, one on either side of the pipeline,</a:t>
          </a:r>
        </a:p>
        <a:p>
          <a:r>
            <a:rPr lang="en-ZA" sz="1100" b="0" i="0" u="none" strike="noStrike" baseline="0" smtClean="0">
              <a:solidFill>
                <a:schemeClr val="dk1"/>
              </a:solidFill>
              <a:latin typeface="+mn-lt"/>
              <a:ea typeface="+mn-ea"/>
              <a:cs typeface="+mn-cs"/>
            </a:rPr>
            <a:t>ie TM1The pipeline also needs to have sufficient spare capacity</a:t>
          </a:r>
        </a:p>
        <a:p>
          <a:r>
            <a:rPr lang="en-ZA" sz="1100" b="0" i="0" u="none" strike="noStrike" baseline="0" smtClean="0">
              <a:solidFill>
                <a:schemeClr val="dk1"/>
              </a:solidFill>
              <a:latin typeface="+mn-lt"/>
              <a:ea typeface="+mn-ea"/>
              <a:cs typeface="+mn-cs"/>
            </a:rPr>
            <a:t>to service a major supply disruption from the Coal to</a:t>
          </a:r>
        </a:p>
        <a:p>
          <a:r>
            <a:rPr lang="en-ZA" sz="1100" b="0" i="0" u="none" strike="noStrike" baseline="0" smtClean="0">
              <a:solidFill>
                <a:schemeClr val="dk1"/>
              </a:solidFill>
              <a:latin typeface="+mn-lt"/>
              <a:ea typeface="+mn-ea"/>
              <a:cs typeface="+mn-cs"/>
            </a:rPr>
            <a:t>Liquids (CTL) plants at Secunda. The MPP24 is replacing</a:t>
          </a:r>
        </a:p>
        <a:p>
          <a:r>
            <a:rPr lang="en-ZA" sz="1100" b="0" i="0" u="none" strike="noStrike" baseline="0" smtClean="0">
              <a:solidFill>
                <a:schemeClr val="dk1"/>
              </a:solidFill>
              <a:latin typeface="+mn-lt"/>
              <a:ea typeface="+mn-ea"/>
              <a:cs typeface="+mn-cs"/>
            </a:rPr>
            <a:t>the 12 inch DJP and has a capacity </a:t>
          </a:r>
          <a:r>
            <a:rPr lang="en-ZA" sz="1100" b="1" i="0" u="none" strike="noStrike" baseline="0" smtClean="0">
              <a:solidFill>
                <a:schemeClr val="dk1"/>
              </a:solidFill>
              <a:latin typeface="+mn-lt"/>
              <a:ea typeface="+mn-ea"/>
              <a:cs typeface="+mn-cs"/>
            </a:rPr>
            <a:t>of 8,7 billion litres</a:t>
          </a:r>
        </a:p>
        <a:p>
          <a:r>
            <a:rPr lang="en-ZA" sz="1100" b="1" i="0" u="none" strike="noStrike" baseline="0" smtClean="0">
              <a:solidFill>
                <a:schemeClr val="dk1"/>
              </a:solidFill>
              <a:latin typeface="+mn-lt"/>
              <a:ea typeface="+mn-ea"/>
              <a:cs typeface="+mn-cs"/>
            </a:rPr>
            <a:t>per annum </a:t>
          </a:r>
          <a:r>
            <a:rPr lang="en-ZA" sz="1100" b="0" i="0" u="none" strike="noStrike" baseline="0" smtClean="0">
              <a:solidFill>
                <a:schemeClr val="dk1"/>
              </a:solidFill>
              <a:latin typeface="+mn-lt"/>
              <a:ea typeface="+mn-ea"/>
              <a:cs typeface="+mn-cs"/>
            </a:rPr>
            <a:t>and at full capacity [</a:t>
          </a:r>
          <a:r>
            <a:rPr lang="en-ZA" sz="1100" b="0" i="1" u="none" strike="noStrike" baseline="0" smtClean="0">
              <a:solidFill>
                <a:schemeClr val="dk1"/>
              </a:solidFill>
              <a:latin typeface="+mn-lt"/>
              <a:ea typeface="+mn-ea"/>
              <a:cs typeface="+mn-cs"/>
            </a:rPr>
            <a:t>phase 2</a:t>
          </a:r>
          <a:r>
            <a:rPr lang="en-ZA" sz="1100" b="0" i="0" u="none" strike="noStrike" baseline="0" smtClean="0">
              <a:solidFill>
                <a:schemeClr val="dk1"/>
              </a:solidFill>
              <a:latin typeface="+mn-lt"/>
              <a:ea typeface="+mn-ea"/>
              <a:cs typeface="+mn-cs"/>
            </a:rPr>
            <a:t>] will be able to deliver</a:t>
          </a:r>
        </a:p>
        <a:p>
          <a:r>
            <a:rPr lang="en-ZA" sz="1100" b="0" i="0" u="none" strike="noStrike" baseline="0" smtClean="0">
              <a:solidFill>
                <a:schemeClr val="dk1"/>
              </a:solidFill>
              <a:latin typeface="+mn-lt"/>
              <a:ea typeface="+mn-ea"/>
              <a:cs typeface="+mn-cs"/>
            </a:rPr>
            <a:t>26,3 billion litres per annum. in Durban and TM2 at Jameson Park in Gauteng</a:t>
          </a:r>
          <a:endParaRPr lang="en-ZA" sz="1100"/>
        </a:p>
      </xdr:txBody>
    </xdr:sp>
    <xdr:clientData/>
  </xdr:twoCellAnchor>
  <xdr:twoCellAnchor>
    <xdr:from>
      <xdr:col>0</xdr:col>
      <xdr:colOff>95250</xdr:colOff>
      <xdr:row>57</xdr:row>
      <xdr:rowOff>142875</xdr:rowOff>
    </xdr:from>
    <xdr:to>
      <xdr:col>3</xdr:col>
      <xdr:colOff>571500</xdr:colOff>
      <xdr:row>63</xdr:row>
      <xdr:rowOff>0</xdr:rowOff>
    </xdr:to>
    <xdr:sp macro="" textlink="">
      <xdr:nvSpPr>
        <xdr:cNvPr id="10" name="TextBox 9"/>
        <xdr:cNvSpPr txBox="1"/>
      </xdr:nvSpPr>
      <xdr:spPr>
        <a:xfrm>
          <a:off x="95250" y="11001375"/>
          <a:ext cx="5934075"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b="0" i="0" u="none" strike="noStrike">
              <a:solidFill>
                <a:schemeClr val="dk1"/>
              </a:solidFill>
              <a:effectLst/>
              <a:latin typeface="+mn-lt"/>
              <a:ea typeface="+mn-ea"/>
              <a:cs typeface="+mn-cs"/>
            </a:rPr>
            <a:t>Phase 1 of the GEPP includes the installation and operation of an open cycle system only. Water consumption during the open cycle is estimated at </a:t>
          </a:r>
          <a:r>
            <a:rPr lang="en-ZA" sz="1100" b="1" i="0" u="none" strike="noStrike">
              <a:solidFill>
                <a:schemeClr val="dk1"/>
              </a:solidFill>
              <a:effectLst/>
              <a:latin typeface="+mn-lt"/>
              <a:ea typeface="+mn-ea"/>
              <a:cs typeface="+mn-cs"/>
            </a:rPr>
            <a:t>4 litres per MW/h</a:t>
          </a:r>
          <a:r>
            <a:rPr lang="en-ZA" sz="1100" b="0" i="0" u="none" strike="noStrike">
              <a:solidFill>
                <a:schemeClr val="dk1"/>
              </a:solidFill>
              <a:effectLst/>
              <a:latin typeface="+mn-lt"/>
              <a:ea typeface="+mn-ea"/>
              <a:cs typeface="+mn-cs"/>
            </a:rPr>
            <a:t> (Table 8). Phase 2 of the GEPP includes the ORC technology selected by Sasol, opposed to the heat recovery steam generator (HRSG) technology described in the final scoping report. The ORC will use no water per annum, compared to the HRSG, calculated to use approximately 280 000m3 of water per annum (Table 8)</a:t>
          </a:r>
          <a:r>
            <a:rPr lang="en-ZA"/>
            <a:t> </a:t>
          </a:r>
          <a:endParaRPr lang="en-ZA" sz="1100"/>
        </a:p>
      </xdr:txBody>
    </xdr:sp>
    <xdr:clientData/>
  </xdr:twoCellAnchor>
  <xdr:twoCellAnchor editAs="oneCell">
    <xdr:from>
      <xdr:col>10</xdr:col>
      <xdr:colOff>142875</xdr:colOff>
      <xdr:row>59</xdr:row>
      <xdr:rowOff>47625</xdr:rowOff>
    </xdr:from>
    <xdr:to>
      <xdr:col>19</xdr:col>
      <xdr:colOff>381000</xdr:colOff>
      <xdr:row>70</xdr:row>
      <xdr:rowOff>14808</xdr:rowOff>
    </xdr:to>
    <xdr:pic>
      <xdr:nvPicPr>
        <xdr:cNvPr id="15" name="Picture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53725" y="11287125"/>
          <a:ext cx="5724525" cy="2062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xdr:colOff>
      <xdr:row>37</xdr:row>
      <xdr:rowOff>47625</xdr:rowOff>
    </xdr:from>
    <xdr:to>
      <xdr:col>19</xdr:col>
      <xdr:colOff>552450</xdr:colOff>
      <xdr:row>57</xdr:row>
      <xdr:rowOff>28575</xdr:rowOff>
    </xdr:to>
    <xdr:pic>
      <xdr:nvPicPr>
        <xdr:cNvPr id="17" name="Picture 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58475" y="7096125"/>
          <a:ext cx="5991225" cy="379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323850</xdr:colOff>
      <xdr:row>71</xdr:row>
      <xdr:rowOff>57150</xdr:rowOff>
    </xdr:from>
    <xdr:to>
      <xdr:col>18</xdr:col>
      <xdr:colOff>123825</xdr:colOff>
      <xdr:row>92</xdr:row>
      <xdr:rowOff>171450</xdr:rowOff>
    </xdr:to>
    <xdr:sp macro="" textlink="">
      <xdr:nvSpPr>
        <xdr:cNvPr id="5" name="TextBox 4"/>
        <xdr:cNvSpPr txBox="1"/>
      </xdr:nvSpPr>
      <xdr:spPr>
        <a:xfrm>
          <a:off x="8467725" y="13582650"/>
          <a:ext cx="7143750" cy="411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b="1"/>
            <a:t>RE: SUBMISSION ON SASOL APPLICATIONS FOR ADDITIONAL POSTPONEMENT OF COMPLIANCE WITH MINIMUM EMISSION STANDARDS (MES) UNDER SECTION 21 OF THE NATIONAL ENVIRONMENTAL MANAGEMENT AIR QUALITY ACT (AQA</a:t>
          </a:r>
          <a:r>
            <a:rPr lang="en-GB"/>
            <a:t>)</a:t>
          </a:r>
        </a:p>
        <a:p>
          <a:endParaRPr lang="en-GB"/>
        </a:p>
        <a:p>
          <a:pPr algn="r"/>
          <a:r>
            <a:rPr lang="en-GB"/>
            <a:t>[Sasol-add-postponements-LRC-2014-11-25- [FGD legal emissions].pdf]</a:t>
          </a:r>
        </a:p>
        <a:p>
          <a:pPr algn="r"/>
          <a:endParaRPr lang="en-GB"/>
        </a:p>
        <a:p>
          <a:pPr algn="l"/>
          <a:r>
            <a:rPr lang="en-GB" sz="1100" b="0" i="0" u="none" strike="noStrike">
              <a:solidFill>
                <a:schemeClr val="dk1"/>
              </a:solidFill>
              <a:effectLst/>
              <a:latin typeface="+mn-lt"/>
              <a:ea typeface="+mn-ea"/>
              <a:cs typeface="+mn-cs"/>
            </a:rPr>
            <a:t>[SECUNDA]</a:t>
          </a:r>
          <a:r>
            <a:rPr lang="en-GB" sz="1100" b="0" i="0" u="none" strike="noStrike">
              <a:solidFill>
                <a:srgbClr val="C00000"/>
              </a:solidFill>
              <a:effectLst/>
              <a:latin typeface="+mn-lt"/>
              <a:ea typeface="+mn-ea"/>
              <a:cs typeface="+mn-cs"/>
            </a:rPr>
            <a:t> The conceptual phase of the project identified semi-dry technology as the technology most likely </a:t>
          </a:r>
          <a:r>
            <a:rPr lang="en-GB" sz="1100" b="0" i="0" u="none" strike="noStrike">
              <a:solidFill>
                <a:schemeClr val="dk1"/>
              </a:solidFill>
              <a:effectLst/>
              <a:latin typeface="+mn-lt"/>
              <a:ea typeface="+mn-ea"/>
              <a:cs typeface="+mn-cs"/>
            </a:rPr>
            <a:t>to be suitable for SO2 reduction for a number of reasons, key among them being a more compact space footprint compared with other FGD options, given significant space constraints on the site, and the lower water consumption of the process.</a:t>
          </a:r>
          <a:endParaRPr lang="en-GB"/>
        </a:p>
        <a:p>
          <a:pPr algn="r"/>
          <a:endParaRPr lang="en-GB"/>
        </a:p>
        <a:p>
          <a:r>
            <a:rPr lang="en-GB"/>
            <a:t>Lime or limestone is required as the sorbent for the desulphurisation reaction. Sasol would require up to 180,000 tons per year of lime, and limited suppliers exist with the ability to supply Sasol with high quality lime or limestone suited to the technology choice. Within the Sasol Synfuels factory site, the increase in lime transport logistics from a large centralised lime storage facility to smaller day silos at the steam plant where the lime would be consumed proved to be a significant obstacle due to site space constraints. Additional dry waste production results from the use of large volumes of lime in the process, which would require significant additional waste handling infrastructure. Additional waste would be produced in the ratio of ~2 tons of waste for every ton of lime consumed. This new stream of ~350,000 tons per year would require a waste management solution. </a:t>
          </a:r>
        </a:p>
        <a:p>
          <a:endParaRPr lang="en-GB"/>
        </a:p>
        <a:p>
          <a:r>
            <a:rPr lang="en-GB" b="0">
              <a:solidFill>
                <a:srgbClr val="C00000"/>
              </a:solidFill>
            </a:rPr>
            <a:t>An increase in raw water consumption for the Secunda complex in the order of 4,000 Megalitres per year.</a:t>
          </a:r>
        </a:p>
        <a:p>
          <a:endParaRPr lang="en-GB" sz="1100" b="0" i="0" u="none" strike="noStrike">
            <a:solidFill>
              <a:srgbClr val="C00000"/>
            </a:solidFill>
            <a:effectLst/>
            <a:latin typeface="+mn-lt"/>
            <a:ea typeface="+mn-ea"/>
            <a:cs typeface="+mn-cs"/>
          </a:endParaRPr>
        </a:p>
      </xdr:txBody>
    </xdr:sp>
    <xdr:clientData/>
  </xdr:twoCellAnchor>
  <xdr:twoCellAnchor editAs="oneCell">
    <xdr:from>
      <xdr:col>0</xdr:col>
      <xdr:colOff>0</xdr:colOff>
      <xdr:row>66</xdr:row>
      <xdr:rowOff>95250</xdr:rowOff>
    </xdr:from>
    <xdr:to>
      <xdr:col>5</xdr:col>
      <xdr:colOff>581025</xdr:colOff>
      <xdr:row>95</xdr:row>
      <xdr:rowOff>123825</xdr:rowOff>
    </xdr:to>
    <xdr:pic>
      <xdr:nvPicPr>
        <xdr:cNvPr id="18" name="Picture 1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2668250"/>
          <a:ext cx="8143875" cy="555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371475</xdr:colOff>
      <xdr:row>93</xdr:row>
      <xdr:rowOff>85725</xdr:rowOff>
    </xdr:from>
    <xdr:to>
      <xdr:col>19</xdr:col>
      <xdr:colOff>390525</xdr:colOff>
      <xdr:row>111</xdr:row>
      <xdr:rowOff>95250</xdr:rowOff>
    </xdr:to>
    <xdr:sp macro="" textlink="">
      <xdr:nvSpPr>
        <xdr:cNvPr id="8" name="TextBox 7"/>
        <xdr:cNvSpPr txBox="1"/>
      </xdr:nvSpPr>
      <xdr:spPr>
        <a:xfrm>
          <a:off x="9906000" y="17802225"/>
          <a:ext cx="6724650" cy="344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t>Emission Factors A variety of processes or operations in a petroleum refinery may produce sulfur dioxide (S02) emissions. However, several minor refinery process sources represent only a small (and generally uncertain) fraction of total refinery S02 emissions. On the other hand, three major refinery operations produce significant S02 emissions and are treated as separate emissions sources: (1) catalyst regenerators, (2) Claus sulfur recovery plants, and (3) fuel combustion processes; i.e., heaters and boilers. As indicated in the estimated 1970 refinery sulfur balance shown in table B.1, the S02 emissions from these three operations account for 5.5, 4.5, and 3.3 percent, respectively, (for a combined total of about 13 percent) of the sulfur present in the input crude oil. About 78 percent of the input sulfur is distributed among marketed products (45.9 percent), recovered sulfur (26.7 percent), and waste water effluent (5.7 percent); the remaining 8.4 percent is unaccounted for and represents either S02 emissions by other refinery operations for which emission factors are unknown, or the result of using an unrepresentative value for the average sulfur weight percentage of the input crude oil.</a:t>
          </a:r>
        </a:p>
        <a:p>
          <a:endParaRPr lang="en-GB" sz="1100"/>
        </a:p>
        <a:p>
          <a:r>
            <a:rPr lang="en-GB" sz="1100"/>
            <a:t>SULFUR EMISSION FACTORS AND CONTROL COSTS FOR PETROLEUM REFINERIES</a:t>
          </a:r>
        </a:p>
        <a:p>
          <a:endParaRPr lang="en-GB" sz="1100"/>
        </a:p>
      </xdr:txBody>
    </xdr:sp>
    <xdr:clientData/>
  </xdr:twoCellAnchor>
  <xdr:twoCellAnchor>
    <xdr:from>
      <xdr:col>0</xdr:col>
      <xdr:colOff>38100</xdr:colOff>
      <xdr:row>121</xdr:row>
      <xdr:rowOff>38100</xdr:rowOff>
    </xdr:from>
    <xdr:to>
      <xdr:col>3</xdr:col>
      <xdr:colOff>114300</xdr:colOff>
      <xdr:row>129</xdr:row>
      <xdr:rowOff>161925</xdr:rowOff>
    </xdr:to>
    <xdr:sp macro="" textlink="">
      <xdr:nvSpPr>
        <xdr:cNvPr id="9" name="TextBox 8"/>
        <xdr:cNvSpPr txBox="1"/>
      </xdr:nvSpPr>
      <xdr:spPr>
        <a:xfrm>
          <a:off x="38100" y="23279100"/>
          <a:ext cx="5534025"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Therefore, according to Eskom, estimated CAPEX unit costs for SO2 abatement range from R1 057/kW for In-­‐Duct technology with a 30% efficiency, R3 155/kW for semi-­‐dry FGD with a 90% efficiency and R4 165/kW for Wet FGD with a 90% efficiency. OPEX unit costs for SO2 abatement were estimated at R107/kW/yr for Wet FGD, R118/kW/yr for In-­‐Duct and R169/kW/yr for semi-­‐dry FGD. OPEX includes the cost of the sorbent (limestone/lime), additional water, increase in auxiliary power consumption and wastewater treatment.</a:t>
          </a:r>
          <a:endParaRPr lang="en-GB">
            <a:effectLst/>
          </a:endParaRPr>
        </a:p>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228600</xdr:colOff>
      <xdr:row>3</xdr:row>
      <xdr:rowOff>19050</xdr:rowOff>
    </xdr:from>
    <xdr:to>
      <xdr:col>12</xdr:col>
      <xdr:colOff>571500</xdr:colOff>
      <xdr:row>16</xdr:row>
      <xdr:rowOff>91507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590550"/>
          <a:ext cx="7658100" cy="2548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13</xdr:col>
      <xdr:colOff>371475</xdr:colOff>
      <xdr:row>34</xdr:row>
      <xdr:rowOff>116831</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619500"/>
          <a:ext cx="7686675" cy="297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25</xdr:col>
      <xdr:colOff>57150</xdr:colOff>
      <xdr:row>44</xdr:row>
      <xdr:rowOff>95250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0" y="762000"/>
          <a:ext cx="6762750" cy="771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40</xdr:row>
      <xdr:rowOff>48416</xdr:rowOff>
    </xdr:from>
    <xdr:to>
      <xdr:col>11</xdr:col>
      <xdr:colOff>561975</xdr:colOff>
      <xdr:row>57</xdr:row>
      <xdr:rowOff>19050</xdr:rowOff>
    </xdr:to>
    <xdr:pic>
      <xdr:nvPicPr>
        <xdr:cNvPr id="7"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1" y="7668416"/>
          <a:ext cx="6657974" cy="3209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238125</xdr:colOff>
      <xdr:row>45</xdr:row>
      <xdr:rowOff>103607</xdr:rowOff>
    </xdr:from>
    <xdr:to>
      <xdr:col>27</xdr:col>
      <xdr:colOff>304800</xdr:colOff>
      <xdr:row>57</xdr:row>
      <xdr:rowOff>0</xdr:rowOff>
    </xdr:to>
    <xdr:pic>
      <xdr:nvPicPr>
        <xdr:cNvPr id="10" name="Picture 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53325" y="8676107"/>
          <a:ext cx="9210675" cy="2182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82</xdr:row>
      <xdr:rowOff>171450</xdr:rowOff>
    </xdr:from>
    <xdr:to>
      <xdr:col>10</xdr:col>
      <xdr:colOff>323850</xdr:colOff>
      <xdr:row>97</xdr:row>
      <xdr:rowOff>57150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9525</xdr:colOff>
      <xdr:row>97</xdr:row>
      <xdr:rowOff>171450</xdr:rowOff>
    </xdr:from>
    <xdr:to>
      <xdr:col>10</xdr:col>
      <xdr:colOff>314325</xdr:colOff>
      <xdr:row>112</xdr:row>
      <xdr:rowOff>57150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199758</xdr:colOff>
      <xdr:row>58</xdr:row>
      <xdr:rowOff>190403</xdr:rowOff>
    </xdr:from>
    <xdr:to>
      <xdr:col>22</xdr:col>
      <xdr:colOff>481367</xdr:colOff>
      <xdr:row>73</xdr:row>
      <xdr:rowOff>76103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58</xdr:row>
      <xdr:rowOff>89647</xdr:rowOff>
    </xdr:from>
    <xdr:to>
      <xdr:col>14</xdr:col>
      <xdr:colOff>514350</xdr:colOff>
      <xdr:row>81</xdr:row>
      <xdr:rowOff>146797</xdr:rowOff>
    </xdr:to>
    <xdr:pic>
      <xdr:nvPicPr>
        <xdr:cNvPr id="12" name="Picture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138647"/>
          <a:ext cx="8985997" cy="443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20</xdr:row>
      <xdr:rowOff>0</xdr:rowOff>
    </xdr:from>
    <xdr:to>
      <xdr:col>16</xdr:col>
      <xdr:colOff>9525</xdr:colOff>
      <xdr:row>35</xdr:row>
      <xdr:rowOff>161925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0</xdr:rowOff>
    </xdr:from>
    <xdr:to>
      <xdr:col>16</xdr:col>
      <xdr:colOff>9525</xdr:colOff>
      <xdr:row>18</xdr:row>
      <xdr:rowOff>161925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266701</xdr:colOff>
      <xdr:row>0</xdr:row>
      <xdr:rowOff>323850</xdr:rowOff>
    </xdr:from>
    <xdr:to>
      <xdr:col>28</xdr:col>
      <xdr:colOff>38101</xdr:colOff>
      <xdr:row>8</xdr:row>
      <xdr:rowOff>214537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9801" y="323850"/>
          <a:ext cx="5867400" cy="3557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18</xdr:col>
      <xdr:colOff>276225</xdr:colOff>
      <xdr:row>1</xdr:row>
      <xdr:rowOff>0</xdr:rowOff>
    </xdr:from>
    <xdr:to>
      <xdr:col>27</xdr:col>
      <xdr:colOff>406199</xdr:colOff>
      <xdr:row>27</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219075"/>
          <a:ext cx="5616374"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19</xdr:row>
      <xdr:rowOff>0</xdr:rowOff>
    </xdr:from>
    <xdr:to>
      <xdr:col>17</xdr:col>
      <xdr:colOff>322800</xdr:colOff>
      <xdr:row>32</xdr:row>
      <xdr:rowOff>115500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590550</xdr:colOff>
      <xdr:row>2</xdr:row>
      <xdr:rowOff>0</xdr:rowOff>
    </xdr:from>
    <xdr:to>
      <xdr:col>17</xdr:col>
      <xdr:colOff>304800</xdr:colOff>
      <xdr:row>15</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35</xdr:row>
      <xdr:rowOff>0</xdr:rowOff>
    </xdr:from>
    <xdr:to>
      <xdr:col>17</xdr:col>
      <xdr:colOff>322800</xdr:colOff>
      <xdr:row>48</xdr:row>
      <xdr:rowOff>115500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50</xdr:row>
      <xdr:rowOff>0</xdr:rowOff>
    </xdr:from>
    <xdr:to>
      <xdr:col>17</xdr:col>
      <xdr:colOff>322800</xdr:colOff>
      <xdr:row>63</xdr:row>
      <xdr:rowOff>115500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371475</xdr:colOff>
      <xdr:row>50</xdr:row>
      <xdr:rowOff>9525</xdr:rowOff>
    </xdr:from>
    <xdr:to>
      <xdr:col>25</xdr:col>
      <xdr:colOff>66675</xdr:colOff>
      <xdr:row>64</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152400</xdr:colOff>
      <xdr:row>50</xdr:row>
      <xdr:rowOff>9525</xdr:rowOff>
    </xdr:from>
    <xdr:to>
      <xdr:col>32</xdr:col>
      <xdr:colOff>457200</xdr:colOff>
      <xdr:row>64</xdr:row>
      <xdr:rowOff>85725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xdr:colOff>
      <xdr:row>0</xdr:row>
      <xdr:rowOff>57150</xdr:rowOff>
    </xdr:from>
    <xdr:to>
      <xdr:col>0</xdr:col>
      <xdr:colOff>2524125</xdr:colOff>
      <xdr:row>2</xdr:row>
      <xdr:rowOff>19050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050" y="57150"/>
          <a:ext cx="25050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33617</xdr:colOff>
      <xdr:row>0</xdr:row>
      <xdr:rowOff>145677</xdr:rowOff>
    </xdr:from>
    <xdr:to>
      <xdr:col>49</xdr:col>
      <xdr:colOff>307141</xdr:colOff>
      <xdr:row>31</xdr:row>
      <xdr:rowOff>33617</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206205" y="145677"/>
          <a:ext cx="6324701" cy="6118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481853</xdr:colOff>
      <xdr:row>0</xdr:row>
      <xdr:rowOff>56030</xdr:rowOff>
    </xdr:from>
    <xdr:to>
      <xdr:col>60</xdr:col>
      <xdr:colOff>345702</xdr:colOff>
      <xdr:row>48</xdr:row>
      <xdr:rowOff>29136</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05618" y="56030"/>
          <a:ext cx="6520143" cy="9498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358588</xdr:colOff>
      <xdr:row>48</xdr:row>
      <xdr:rowOff>56029</xdr:rowOff>
    </xdr:from>
    <xdr:to>
      <xdr:col>60</xdr:col>
      <xdr:colOff>450476</xdr:colOff>
      <xdr:row>59</xdr:row>
      <xdr:rowOff>72478</xdr:rowOff>
    </xdr:to>
    <xdr:pic>
      <xdr:nvPicPr>
        <xdr:cNvPr id="8"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733382" y="9581029"/>
          <a:ext cx="6748182" cy="2324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537883</xdr:colOff>
      <xdr:row>60</xdr:row>
      <xdr:rowOff>2810</xdr:rowOff>
    </xdr:from>
    <xdr:to>
      <xdr:col>60</xdr:col>
      <xdr:colOff>396688</xdr:colOff>
      <xdr:row>79</xdr:row>
      <xdr:rowOff>179854</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912677" y="12037928"/>
          <a:ext cx="6515099" cy="3796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541883</xdr:colOff>
      <xdr:row>24</xdr:row>
      <xdr:rowOff>37619</xdr:rowOff>
    </xdr:from>
    <xdr:to>
      <xdr:col>60</xdr:col>
      <xdr:colOff>237723</xdr:colOff>
      <xdr:row>45</xdr:row>
      <xdr:rowOff>118862</xdr:rowOff>
    </xdr:to>
    <xdr:pic>
      <xdr:nvPicPr>
        <xdr:cNvPr id="10" name="Picture 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567419" y="4936190"/>
          <a:ext cx="6431375" cy="417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52668</xdr:colOff>
      <xdr:row>0</xdr:row>
      <xdr:rowOff>57150</xdr:rowOff>
    </xdr:from>
    <xdr:to>
      <xdr:col>1</xdr:col>
      <xdr:colOff>156882</xdr:colOff>
      <xdr:row>2</xdr:row>
      <xdr:rowOff>19050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668" y="57150"/>
          <a:ext cx="2037789"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43</xdr:col>
      <xdr:colOff>33617</xdr:colOff>
      <xdr:row>0</xdr:row>
      <xdr:rowOff>145677</xdr:rowOff>
    </xdr:from>
    <xdr:ext cx="6324701" cy="6118411"/>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42992" y="145677"/>
          <a:ext cx="6324701" cy="61184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481853</xdr:colOff>
      <xdr:row>0</xdr:row>
      <xdr:rowOff>56030</xdr:rowOff>
    </xdr:from>
    <xdr:ext cx="6520143" cy="9498106"/>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87228" y="56030"/>
          <a:ext cx="6520143" cy="9498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358588</xdr:colOff>
      <xdr:row>54</xdr:row>
      <xdr:rowOff>56029</xdr:rowOff>
    </xdr:from>
    <xdr:ext cx="6748182" cy="2324861"/>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363963" y="9962029"/>
          <a:ext cx="6748182" cy="2324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537883</xdr:colOff>
      <xdr:row>66</xdr:row>
      <xdr:rowOff>2810</xdr:rowOff>
    </xdr:from>
    <xdr:ext cx="6515099" cy="3796544"/>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543258" y="12413885"/>
          <a:ext cx="6515099" cy="37965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65</xdr:col>
      <xdr:colOff>0</xdr:colOff>
      <xdr:row>0</xdr:row>
      <xdr:rowOff>33619</xdr:rowOff>
    </xdr:from>
    <xdr:ext cx="10375755" cy="7967382"/>
    <xdr:pic>
      <xdr:nvPicPr>
        <xdr:cNvPr id="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349150" y="33619"/>
          <a:ext cx="10375755" cy="79673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541883</xdr:colOff>
      <xdr:row>26</xdr:row>
      <xdr:rowOff>37619</xdr:rowOff>
    </xdr:from>
    <xdr:ext cx="6352134" cy="4160184"/>
    <xdr:pic>
      <xdr:nvPicPr>
        <xdr:cNvPr id="8"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547258" y="5114444"/>
          <a:ext cx="6352134" cy="4160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39</xdr:col>
      <xdr:colOff>440719</xdr:colOff>
      <xdr:row>97</xdr:row>
      <xdr:rowOff>48105</xdr:rowOff>
    </xdr:from>
    <xdr:to>
      <xdr:col>53</xdr:col>
      <xdr:colOff>60634</xdr:colOff>
      <xdr:row>115</xdr:row>
      <xdr:rowOff>47625</xdr:rowOff>
    </xdr:to>
    <xdr:sp macro="" textlink="">
      <xdr:nvSpPr>
        <xdr:cNvPr id="9" name="TextBox 8"/>
        <xdr:cNvSpPr txBox="1"/>
      </xdr:nvSpPr>
      <xdr:spPr>
        <a:xfrm>
          <a:off x="34897407" y="18990949"/>
          <a:ext cx="8120977" cy="3428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baseline="0" smtClean="0">
              <a:solidFill>
                <a:schemeClr val="dk1"/>
              </a:solidFill>
              <a:latin typeface="+mn-lt"/>
              <a:ea typeface="+mn-ea"/>
              <a:cs typeface="+mn-cs"/>
            </a:rPr>
            <a:t>Boskraai Dam:</a:t>
          </a:r>
        </a:p>
        <a:p>
          <a:r>
            <a:rPr lang="en-GB" sz="1100" b="0" i="0" u="none" strike="noStrike" baseline="0" smtClean="0">
              <a:solidFill>
                <a:schemeClr val="dk1"/>
              </a:solidFill>
              <a:latin typeface="+mn-lt"/>
              <a:ea typeface="+mn-ea"/>
              <a:cs typeface="+mn-cs"/>
            </a:rPr>
            <a:t>This option comprises a combination of the Bosberg and Kraai river dams, with the two dams being at the same FSL, which is above the height of the Partition saddle. This option has the advantage that the large flows in the Orange River can be stored in the large storage capacity in the Kraai river portion of the basin, providing a larger yield that can be provided by the two dams separately. The two dams will act as a single reservoir as water from one basin will spill over to the other at 1 365 masl and higher.</a:t>
          </a:r>
        </a:p>
        <a:p>
          <a:r>
            <a:rPr lang="en-GB" sz="1100" b="0" i="0" u="none" strike="noStrike" baseline="0" smtClean="0">
              <a:solidFill>
                <a:schemeClr val="dk1"/>
              </a:solidFill>
              <a:latin typeface="+mn-lt"/>
              <a:ea typeface="+mn-ea"/>
              <a:cs typeface="+mn-cs"/>
            </a:rPr>
            <a:t>For the purpose of this study, a FSL of 1 385 masl giving an active storage of 10 700 million m3 and an HFY of 937 million m3/a, has been adopted.  A saddle is required left of the Kraai Dam at a FSL of 1 385 to prevent spilling. A cost model that was previously prepared for the ORRS in 1994, for a rollcrete dam at full supply level of 1 385 masl was reviewed. </a:t>
          </a:r>
          <a:r>
            <a:rPr lang="en-GB" sz="1100" b="1" i="0" u="none" strike="noStrike" baseline="0" smtClean="0">
              <a:solidFill>
                <a:schemeClr val="dk1"/>
              </a:solidFill>
              <a:latin typeface="+mn-lt"/>
              <a:ea typeface="+mn-ea"/>
              <a:cs typeface="+mn-cs"/>
            </a:rPr>
            <a:t>The rates used in April 1994, were escalated by a factor of 3.55 to determine 2012 rates</a:t>
          </a:r>
          <a:r>
            <a:rPr lang="en-GB" sz="1100" b="0" i="0" u="none" strike="noStrike" baseline="0" smtClean="0">
              <a:solidFill>
                <a:schemeClr val="dk1"/>
              </a:solidFill>
              <a:latin typeface="+mn-lt"/>
              <a:ea typeface="+mn-ea"/>
              <a:cs typeface="+mn-cs"/>
            </a:rPr>
            <a:t>. It was established that the previous study failed to identify significant lengths of major road which would have to  be relocated, and appropriate costs were added to the estimate.</a:t>
          </a:r>
        </a:p>
        <a:p>
          <a:r>
            <a:rPr lang="en-GB" sz="1100" b="1" i="0" u="none" strike="noStrike" baseline="0" smtClean="0">
              <a:solidFill>
                <a:schemeClr val="dk1"/>
              </a:solidFill>
              <a:latin typeface="+mn-lt"/>
              <a:ea typeface="+mn-ea"/>
              <a:cs typeface="+mn-cs"/>
            </a:rPr>
            <a:t>The total capital cost estimate for the Boskraai Dam with FSL 1385 is R4 962 million. The historic firm yield is 937 million m³/a, giving a URV of R 0.56/m³ at 8% discount rate.</a:t>
          </a:r>
        </a:p>
        <a:p>
          <a:endParaRPr lang="en-GB"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Department of Water Affairs, South Africa, 2013. DEVELOPMENT OF</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RECONCILLIATION STRATEGIES FOR LARGE BULK WATER SUPPLY</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SYSTEMS: ORANGE RIVER</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FINAL RECONCILIATION STRATEGY (NOVEMBER 2014)</a:t>
          </a:r>
          <a:endParaRPr lang="en-GB" sz="1100" b="0" i="0" u="none" strike="noStrike" baseline="0" smtClean="0">
            <a:solidFill>
              <a:schemeClr val="dk1"/>
            </a:solidFill>
            <a:latin typeface="+mn-lt"/>
            <a:ea typeface="+mn-ea"/>
            <a:cs typeface="+mn-cs"/>
          </a:endParaRPr>
        </a:p>
      </xdr:txBody>
    </xdr:sp>
    <xdr:clientData/>
  </xdr:twoCellAnchor>
  <xdr:twoCellAnchor editAs="oneCell">
    <xdr:from>
      <xdr:col>44</xdr:col>
      <xdr:colOff>333375</xdr:colOff>
      <xdr:row>41</xdr:row>
      <xdr:rowOff>85725</xdr:rowOff>
    </xdr:from>
    <xdr:to>
      <xdr:col>52</xdr:col>
      <xdr:colOff>447675</xdr:colOff>
      <xdr:row>57</xdr:row>
      <xdr:rowOff>57150</xdr:rowOff>
    </xdr:to>
    <xdr:pic>
      <xdr:nvPicPr>
        <xdr:cNvPr id="12" name="Picture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7880925" y="8067675"/>
          <a:ext cx="49911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488156</xdr:colOff>
      <xdr:row>58</xdr:row>
      <xdr:rowOff>18343</xdr:rowOff>
    </xdr:from>
    <xdr:to>
      <xdr:col>53</xdr:col>
      <xdr:colOff>248780</xdr:colOff>
      <xdr:row>91</xdr:row>
      <xdr:rowOff>37522</xdr:rowOff>
    </xdr:to>
    <xdr:pic>
      <xdr:nvPicPr>
        <xdr:cNvPr id="14" name="Picture 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944844" y="11507874"/>
          <a:ext cx="8261686" cy="632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869155</xdr:colOff>
      <xdr:row>65</xdr:row>
      <xdr:rowOff>76199</xdr:rowOff>
    </xdr:from>
    <xdr:to>
      <xdr:col>54</xdr:col>
      <xdr:colOff>80960</xdr:colOff>
      <xdr:row>88</xdr:row>
      <xdr:rowOff>16668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42</xdr:col>
      <xdr:colOff>28575</xdr:colOff>
      <xdr:row>72</xdr:row>
      <xdr:rowOff>9525</xdr:rowOff>
    </xdr:from>
    <xdr:to>
      <xdr:col>51</xdr:col>
      <xdr:colOff>57150</xdr:colOff>
      <xdr:row>83</xdr:row>
      <xdr:rowOff>161925</xdr:rowOff>
    </xdr:to>
    <xdr:sp macro="" textlink="">
      <xdr:nvSpPr>
        <xdr:cNvPr id="10" name="TextBox 9"/>
        <xdr:cNvSpPr txBox="1"/>
      </xdr:nvSpPr>
      <xdr:spPr>
        <a:xfrm>
          <a:off x="36356925" y="14344650"/>
          <a:ext cx="5514975" cy="2247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solidFill>
                <a:schemeClr val="dk1"/>
              </a:solidFill>
              <a:effectLst/>
              <a:latin typeface="+mn-lt"/>
              <a:ea typeface="+mn-ea"/>
              <a:cs typeface="+mn-cs"/>
            </a:rPr>
            <a:t>Item 6.2.4 - Mokolo-Crocodile Water Augmentation project:</a:t>
          </a:r>
        </a:p>
        <a:p>
          <a:endParaRPr lang="en-ZA" sz="1100">
            <a:solidFill>
              <a:schemeClr val="dk1"/>
            </a:solidFill>
            <a:effectLst/>
            <a:latin typeface="+mn-lt"/>
            <a:ea typeface="+mn-ea"/>
            <a:cs typeface="+mn-cs"/>
          </a:endParaRPr>
        </a:p>
        <a:p>
          <a:r>
            <a:rPr lang="en-ZA" sz="1100">
              <a:solidFill>
                <a:schemeClr val="dk1"/>
              </a:solidFill>
              <a:effectLst/>
              <a:latin typeface="+mn-lt"/>
              <a:ea typeface="+mn-ea"/>
              <a:cs typeface="+mn-cs"/>
            </a:rPr>
            <a:t>Continuation of the Crocodile West Water Supply System Reconciliation Strategy – SSC 8</a:t>
          </a:r>
          <a:br>
            <a:rPr lang="en-ZA" sz="1100">
              <a:solidFill>
                <a:schemeClr val="dk1"/>
              </a:solidFill>
              <a:effectLst/>
              <a:latin typeface="+mn-lt"/>
              <a:ea typeface="+mn-ea"/>
              <a:cs typeface="+mn-cs"/>
            </a:rPr>
          </a:br>
          <a:r>
            <a:rPr lang="en-ZA" sz="1100">
              <a:solidFill>
                <a:schemeClr val="dk1"/>
              </a:solidFill>
              <a:effectLst/>
              <a:latin typeface="+mn-lt"/>
              <a:ea typeface="+mn-ea"/>
              <a:cs typeface="+mn-cs"/>
            </a:rPr>
            <a:t>Mokolo-Crocodile Water Augmentation Project</a:t>
          </a:r>
          <a:br>
            <a:rPr lang="en-ZA" sz="1100">
              <a:solidFill>
                <a:schemeClr val="dk1"/>
              </a:solidFill>
              <a:effectLst/>
              <a:latin typeface="+mn-lt"/>
              <a:ea typeface="+mn-ea"/>
              <a:cs typeface="+mn-cs"/>
            </a:rPr>
          </a:br>
          <a:r>
            <a:rPr lang="en-ZA" sz="1100">
              <a:solidFill>
                <a:schemeClr val="dk1"/>
              </a:solidFill>
              <a:effectLst/>
              <a:latin typeface="+mn-lt"/>
              <a:ea typeface="+mn-ea"/>
              <a:cs typeface="+mn-cs"/>
            </a:rPr>
            <a:t/>
          </a:r>
          <a:br>
            <a:rPr lang="en-ZA" sz="1100">
              <a:solidFill>
                <a:schemeClr val="dk1"/>
              </a:solidFill>
              <a:effectLst/>
              <a:latin typeface="+mn-lt"/>
              <a:ea typeface="+mn-ea"/>
              <a:cs typeface="+mn-cs"/>
            </a:rPr>
          </a:br>
          <a:r>
            <a:rPr lang="en-ZA" sz="1100">
              <a:solidFill>
                <a:schemeClr val="dk1"/>
              </a:solidFill>
              <a:effectLst/>
              <a:latin typeface="+mn-lt"/>
              <a:ea typeface="+mn-ea"/>
              <a:cs typeface="+mn-cs"/>
            </a:rPr>
            <a:t>4 March 2015</a:t>
          </a:r>
          <a:br>
            <a:rPr lang="en-ZA" sz="1100">
              <a:solidFill>
                <a:schemeClr val="dk1"/>
              </a:solidFill>
              <a:effectLst/>
              <a:latin typeface="+mn-lt"/>
              <a:ea typeface="+mn-ea"/>
              <a:cs typeface="+mn-cs"/>
            </a:rPr>
          </a:br>
          <a:r>
            <a:rPr lang="en-ZA" sz="1100">
              <a:solidFill>
                <a:schemeClr val="dk1"/>
              </a:solidFill>
              <a:effectLst/>
              <a:latin typeface="+mn-lt"/>
              <a:ea typeface="+mn-ea"/>
              <a:cs typeface="+mn-cs"/>
            </a:rPr>
            <a:t/>
          </a:r>
          <a:br>
            <a:rPr lang="en-ZA" sz="1100">
              <a:solidFill>
                <a:schemeClr val="dk1"/>
              </a:solidFill>
              <a:effectLst/>
              <a:latin typeface="+mn-lt"/>
              <a:ea typeface="+mn-ea"/>
              <a:cs typeface="+mn-cs"/>
            </a:rPr>
          </a:br>
          <a:r>
            <a:rPr lang="en-ZA" sz="1100">
              <a:solidFill>
                <a:schemeClr val="dk1"/>
              </a:solidFill>
              <a:effectLst/>
              <a:latin typeface="+mn-lt"/>
              <a:ea typeface="+mn-ea"/>
              <a:cs typeface="+mn-cs"/>
            </a:rPr>
            <a:t>Presented by:</a:t>
          </a:r>
          <a:br>
            <a:rPr lang="en-ZA" sz="1100">
              <a:solidFill>
                <a:schemeClr val="dk1"/>
              </a:solidFill>
              <a:effectLst/>
              <a:latin typeface="+mn-lt"/>
              <a:ea typeface="+mn-ea"/>
              <a:cs typeface="+mn-cs"/>
            </a:rPr>
          </a:br>
          <a:r>
            <a:rPr lang="en-ZA" sz="1100">
              <a:solidFill>
                <a:schemeClr val="dk1"/>
              </a:solidFill>
              <a:effectLst/>
              <a:latin typeface="+mn-lt"/>
              <a:ea typeface="+mn-ea"/>
              <a:cs typeface="+mn-cs"/>
            </a:rPr>
            <a:t>Ockie van den Berg</a:t>
          </a:r>
          <a:br>
            <a:rPr lang="en-ZA" sz="1100">
              <a:solidFill>
                <a:schemeClr val="dk1"/>
              </a:solidFill>
              <a:effectLst/>
              <a:latin typeface="+mn-lt"/>
              <a:ea typeface="+mn-ea"/>
              <a:cs typeface="+mn-cs"/>
            </a:rPr>
          </a:br>
          <a:r>
            <a:rPr lang="en-ZA" sz="1100">
              <a:solidFill>
                <a:schemeClr val="dk1"/>
              </a:solidFill>
              <a:effectLst/>
              <a:latin typeface="+mn-lt"/>
              <a:ea typeface="+mn-ea"/>
              <a:cs typeface="+mn-cs"/>
            </a:rPr>
            <a:t>Chief Engineer: Options Analysis</a:t>
          </a:r>
          <a:br>
            <a:rPr lang="en-ZA" sz="1100">
              <a:solidFill>
                <a:schemeClr val="dk1"/>
              </a:solidFill>
              <a:effectLst/>
              <a:latin typeface="+mn-lt"/>
              <a:ea typeface="+mn-ea"/>
              <a:cs typeface="+mn-cs"/>
            </a:rPr>
          </a:br>
          <a:r>
            <a:rPr lang="en-ZA" sz="1100">
              <a:solidFill>
                <a:schemeClr val="dk1"/>
              </a:solidFill>
              <a:effectLst/>
              <a:latin typeface="+mn-lt"/>
              <a:ea typeface="+mn-ea"/>
              <a:cs typeface="+mn-cs"/>
            </a:rPr>
            <a:t>Department of Water and Sanitation</a:t>
          </a:r>
          <a:endParaRPr lang="en-GB"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121920</xdr:colOff>
      <xdr:row>9</xdr:row>
      <xdr:rowOff>171450</xdr:rowOff>
    </xdr:from>
    <xdr:to>
      <xdr:col>15</xdr:col>
      <xdr:colOff>426720</xdr:colOff>
      <xdr:row>24</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152400</xdr:colOff>
      <xdr:row>25</xdr:row>
      <xdr:rowOff>87630</xdr:rowOff>
    </xdr:from>
    <xdr:to>
      <xdr:col>15</xdr:col>
      <xdr:colOff>457200</xdr:colOff>
      <xdr:row>40</xdr:row>
      <xdr:rowOff>87630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415290</xdr:colOff>
      <xdr:row>14</xdr:row>
      <xdr:rowOff>152400</xdr:rowOff>
    </xdr:from>
    <xdr:to>
      <xdr:col>29</xdr:col>
      <xdr:colOff>533400</xdr:colOff>
      <xdr:row>37</xdr:row>
      <xdr:rowOff>11430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297180</xdr:colOff>
      <xdr:row>49</xdr:row>
      <xdr:rowOff>80010</xdr:rowOff>
    </xdr:from>
    <xdr:to>
      <xdr:col>29</xdr:col>
      <xdr:colOff>472440</xdr:colOff>
      <xdr:row>74</xdr:row>
      <xdr:rowOff>167640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441960</xdr:colOff>
      <xdr:row>565</xdr:row>
      <xdr:rowOff>11430</xdr:rowOff>
    </xdr:from>
    <xdr:to>
      <xdr:col>12</xdr:col>
      <xdr:colOff>137160</xdr:colOff>
      <xdr:row>580</xdr:row>
      <xdr:rowOff>11430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45</xdr:row>
      <xdr:rowOff>0</xdr:rowOff>
    </xdr:from>
    <xdr:to>
      <xdr:col>15</xdr:col>
      <xdr:colOff>304800</xdr:colOff>
      <xdr:row>60</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132603</xdr:colOff>
      <xdr:row>62</xdr:row>
      <xdr:rowOff>45446</xdr:rowOff>
    </xdr:from>
    <xdr:to>
      <xdr:col>23</xdr:col>
      <xdr:colOff>397188</xdr:colOff>
      <xdr:row>70</xdr:row>
      <xdr:rowOff>41212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291353</xdr:colOff>
      <xdr:row>36</xdr:row>
      <xdr:rowOff>212912</xdr:rowOff>
    </xdr:from>
    <xdr:to>
      <xdr:col>23</xdr:col>
      <xdr:colOff>555938</xdr:colOff>
      <xdr:row>44</xdr:row>
      <xdr:rowOff>176929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963085</xdr:colOff>
      <xdr:row>21</xdr:row>
      <xdr:rowOff>178050</xdr:rowOff>
    </xdr:from>
    <xdr:to>
      <xdr:col>20</xdr:col>
      <xdr:colOff>264586</xdr:colOff>
      <xdr:row>32</xdr:row>
      <xdr:rowOff>141445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593911</xdr:colOff>
      <xdr:row>22</xdr:row>
      <xdr:rowOff>33617</xdr:rowOff>
    </xdr:from>
    <xdr:to>
      <xdr:col>28</xdr:col>
      <xdr:colOff>274545</xdr:colOff>
      <xdr:row>32</xdr:row>
      <xdr:rowOff>187512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xdr:colOff>
      <xdr:row>0</xdr:row>
      <xdr:rowOff>0</xdr:rowOff>
    </xdr:from>
    <xdr:to>
      <xdr:col>12</xdr:col>
      <xdr:colOff>248709</xdr:colOff>
      <xdr:row>5</xdr:row>
      <xdr:rowOff>122767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xdr:row>
      <xdr:rowOff>137583</xdr:rowOff>
    </xdr:from>
    <xdr:to>
      <xdr:col>12</xdr:col>
      <xdr:colOff>248708</xdr:colOff>
      <xdr:row>11</xdr:row>
      <xdr:rowOff>69850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11</xdr:row>
      <xdr:rowOff>105834</xdr:rowOff>
    </xdr:from>
    <xdr:to>
      <xdr:col>12</xdr:col>
      <xdr:colOff>248708</xdr:colOff>
      <xdr:row>17</xdr:row>
      <xdr:rowOff>38101</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17</xdr:row>
      <xdr:rowOff>31750</xdr:rowOff>
    </xdr:from>
    <xdr:to>
      <xdr:col>12</xdr:col>
      <xdr:colOff>248708</xdr:colOff>
      <xdr:row>22</xdr:row>
      <xdr:rowOff>154517</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63500</xdr:colOff>
      <xdr:row>0</xdr:row>
      <xdr:rowOff>31751</xdr:rowOff>
    </xdr:from>
    <xdr:to>
      <xdr:col>32</xdr:col>
      <xdr:colOff>273050</xdr:colOff>
      <xdr:row>20</xdr:row>
      <xdr:rowOff>121545</xdr:rowOff>
    </xdr:to>
    <xdr:pic>
      <xdr:nvPicPr>
        <xdr:cNvPr id="10"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949083" y="31751"/>
          <a:ext cx="5924550" cy="389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296334</xdr:colOff>
      <xdr:row>104</xdr:row>
      <xdr:rowOff>179917</xdr:rowOff>
    </xdr:from>
    <xdr:to>
      <xdr:col>8</xdr:col>
      <xdr:colOff>89027</xdr:colOff>
      <xdr:row>130</xdr:row>
      <xdr:rowOff>42437</xdr:rowOff>
    </xdr:to>
    <xdr:pic>
      <xdr:nvPicPr>
        <xdr:cNvPr id="14" name="Picture 1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6334" y="20605750"/>
          <a:ext cx="7440084" cy="481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338667</xdr:colOff>
      <xdr:row>112</xdr:row>
      <xdr:rowOff>116417</xdr:rowOff>
    </xdr:from>
    <xdr:to>
      <xdr:col>19</xdr:col>
      <xdr:colOff>243417</xdr:colOff>
      <xdr:row>129</xdr:row>
      <xdr:rowOff>127000</xdr:rowOff>
    </xdr:to>
    <xdr:sp macro="" textlink="">
      <xdr:nvSpPr>
        <xdr:cNvPr id="2" name="TextBox 1"/>
        <xdr:cNvSpPr txBox="1"/>
      </xdr:nvSpPr>
      <xdr:spPr>
        <a:xfrm>
          <a:off x="7874000" y="21293667"/>
          <a:ext cx="5799667" cy="32490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b="0" i="0" u="none" strike="noStrike">
              <a:solidFill>
                <a:schemeClr val="dk1"/>
              </a:solidFill>
              <a:effectLst/>
              <a:latin typeface="+mn-lt"/>
              <a:ea typeface="+mn-ea"/>
              <a:cs typeface="+mn-cs"/>
            </a:rPr>
            <a:t>Mining water use</a:t>
          </a:r>
          <a:r>
            <a:rPr lang="en-ZA"/>
            <a:t> </a:t>
          </a:r>
          <a:r>
            <a:rPr lang="en-ZA" sz="1100" b="0" i="0" u="none" strike="noStrike">
              <a:solidFill>
                <a:schemeClr val="dk1"/>
              </a:solidFill>
              <a:effectLst/>
              <a:latin typeface="+mn-lt"/>
              <a:ea typeface="+mn-ea"/>
              <a:cs typeface="+mn-cs"/>
            </a:rPr>
            <a:t>Mining water use in the Upper Olifants catchment consists almost entirely of coal</a:t>
          </a:r>
          <a:r>
            <a:rPr lang="en-ZA"/>
            <a:t> </a:t>
          </a:r>
          <a:r>
            <a:rPr lang="en-ZA" sz="1100" b="0" i="0" u="none" strike="noStrike">
              <a:solidFill>
                <a:schemeClr val="dk1"/>
              </a:solidFill>
              <a:effectLst/>
              <a:latin typeface="+mn-lt"/>
              <a:ea typeface="+mn-ea"/>
              <a:cs typeface="+mn-cs"/>
            </a:rPr>
            <a:t>mining. Coal mines in this area generally have a small water use on start-up but once</a:t>
          </a:r>
          <a:r>
            <a:rPr lang="en-ZA"/>
            <a:t> </a:t>
          </a:r>
          <a:r>
            <a:rPr lang="en-ZA" sz="1100" b="0" i="0" u="none" strike="noStrike">
              <a:solidFill>
                <a:schemeClr val="dk1"/>
              </a:solidFill>
              <a:effectLst/>
              <a:latin typeface="+mn-lt"/>
              <a:ea typeface="+mn-ea"/>
              <a:cs typeface="+mn-cs"/>
            </a:rPr>
            <a:t>even moderate excavation depths are reached, there is excess water in the mine which</a:t>
          </a:r>
          <a:r>
            <a:rPr lang="en-ZA"/>
            <a:t> </a:t>
          </a:r>
          <a:r>
            <a:rPr lang="en-ZA" sz="1100" b="0" i="0" u="none" strike="noStrike">
              <a:solidFill>
                <a:schemeClr val="dk1"/>
              </a:solidFill>
              <a:effectLst/>
              <a:latin typeface="+mn-lt"/>
              <a:ea typeface="+mn-ea"/>
              <a:cs typeface="+mn-cs"/>
            </a:rPr>
            <a:t>has to pumped out. According to Coleman (2011), the water use estimated for coal</a:t>
          </a:r>
          <a:r>
            <a:rPr lang="en-ZA"/>
            <a:t> </a:t>
          </a:r>
          <a:r>
            <a:rPr lang="en-ZA" sz="1100" b="0" i="0" u="none" strike="noStrike">
              <a:solidFill>
                <a:schemeClr val="dk1"/>
              </a:solidFill>
              <a:effectLst/>
              <a:latin typeface="+mn-lt"/>
              <a:ea typeface="+mn-ea"/>
              <a:cs typeface="+mn-cs"/>
            </a:rPr>
            <a:t>mines given in the IWRMP report (DWA, 2009) are now probably over-estimated since</a:t>
          </a:r>
          <a:r>
            <a:rPr lang="en-ZA"/>
            <a:t> </a:t>
          </a:r>
          <a:r>
            <a:rPr lang="en-ZA" sz="1100" b="0" i="0" u="none" strike="noStrike">
              <a:solidFill>
                <a:schemeClr val="dk1"/>
              </a:solidFill>
              <a:effectLst/>
              <a:latin typeface="+mn-lt"/>
              <a:ea typeface="+mn-ea"/>
              <a:cs typeface="+mn-cs"/>
            </a:rPr>
            <a:t>water use by these mines are reducing over time.</a:t>
          </a:r>
          <a:r>
            <a:rPr lang="en-ZA"/>
            <a:t> </a:t>
          </a:r>
          <a:r>
            <a:rPr lang="en-ZA" sz="1100" b="0" i="0" u="none" strike="noStrike">
              <a:solidFill>
                <a:schemeClr val="dk1"/>
              </a:solidFill>
              <a:effectLst/>
              <a:latin typeface="+mn-lt"/>
              <a:ea typeface="+mn-ea"/>
              <a:cs typeface="+mn-cs"/>
            </a:rPr>
            <a:t>With regard to future mining activities, Gunther (2011) reiterates that coal mines in the</a:t>
          </a:r>
          <a:r>
            <a:rPr lang="en-ZA"/>
            <a:t> </a:t>
          </a:r>
          <a:r>
            <a:rPr lang="en-ZA" sz="1100" b="0" i="0" u="none" strike="noStrike">
              <a:solidFill>
                <a:schemeClr val="dk1"/>
              </a:solidFill>
              <a:effectLst/>
              <a:latin typeface="+mn-lt"/>
              <a:ea typeface="+mn-ea"/>
              <a:cs typeface="+mn-cs"/>
            </a:rPr>
            <a:t>upper Olifants catchment suffer from excess water and hence the water requirements</a:t>
          </a:r>
          <a:r>
            <a:rPr lang="en-ZA"/>
            <a:t> </a:t>
          </a:r>
          <a:r>
            <a:rPr lang="en-ZA" sz="1100" b="0" i="0" u="none" strike="noStrike">
              <a:solidFill>
                <a:schemeClr val="dk1"/>
              </a:solidFill>
              <a:effectLst/>
              <a:latin typeface="+mn-lt"/>
              <a:ea typeface="+mn-ea"/>
              <a:cs typeface="+mn-cs"/>
            </a:rPr>
            <a:t>of the coal mining sector is decreasing and not increasing. A good example of this is</a:t>
          </a:r>
          <a:r>
            <a:rPr lang="en-ZA"/>
            <a:t> </a:t>
          </a:r>
          <a:r>
            <a:rPr lang="en-ZA" sz="1100" b="0" i="0" u="none" strike="noStrike">
              <a:solidFill>
                <a:schemeClr val="dk1"/>
              </a:solidFill>
              <a:effectLst/>
              <a:latin typeface="+mn-lt"/>
              <a:ea typeface="+mn-ea"/>
              <a:cs typeface="+mn-cs"/>
            </a:rPr>
            <a:t>the proposed new coal mine planned to serve the new Kusile power station which will</a:t>
          </a:r>
          <a:r>
            <a:rPr lang="en-ZA"/>
            <a:t> </a:t>
          </a:r>
          <a:r>
            <a:rPr lang="en-ZA" sz="1100" b="0" i="0" u="none" strike="noStrike">
              <a:solidFill>
                <a:schemeClr val="dk1"/>
              </a:solidFill>
              <a:effectLst/>
              <a:latin typeface="+mn-lt"/>
              <a:ea typeface="+mn-ea"/>
              <a:cs typeface="+mn-cs"/>
            </a:rPr>
            <a:t>reportedly not use any surface water but rather use water from neighbouring coal</a:t>
          </a:r>
          <a:r>
            <a:rPr lang="en-ZA"/>
            <a:t> </a:t>
          </a:r>
          <a:r>
            <a:rPr lang="en-ZA" sz="1100" b="0" i="0" u="none" strike="noStrike">
              <a:solidFill>
                <a:schemeClr val="dk1"/>
              </a:solidFill>
              <a:effectLst/>
              <a:latin typeface="+mn-lt"/>
              <a:ea typeface="+mn-ea"/>
              <a:cs typeface="+mn-cs"/>
            </a:rPr>
            <a:t>mines during the start-up phase,</a:t>
          </a:r>
          <a:r>
            <a:rPr lang="en-ZA"/>
            <a:t> </a:t>
          </a:r>
          <a:r>
            <a:rPr lang="en-ZA" sz="1100" b="0" i="0" u="none" strike="noStrike">
              <a:solidFill>
                <a:schemeClr val="dk1"/>
              </a:solidFill>
              <a:effectLst/>
              <a:latin typeface="+mn-lt"/>
              <a:ea typeface="+mn-ea"/>
              <a:cs typeface="+mn-cs"/>
            </a:rPr>
            <a:t>It is recommended that water use of coal mines be monitored and as this decreases</a:t>
          </a:r>
          <a:r>
            <a:rPr lang="en-ZA"/>
            <a:t> </a:t>
          </a:r>
          <a:r>
            <a:rPr lang="en-ZA" sz="1100" b="0" i="0" u="none" strike="noStrike">
              <a:solidFill>
                <a:schemeClr val="dk1"/>
              </a:solidFill>
              <a:effectLst/>
              <a:latin typeface="+mn-lt"/>
              <a:ea typeface="+mn-ea"/>
              <a:cs typeface="+mn-cs"/>
            </a:rPr>
            <a:t>the water that is freed up must be de-registered and formally freed up for re-allocation</a:t>
          </a:r>
          <a:r>
            <a:rPr lang="en-ZA"/>
            <a:t> </a:t>
          </a:r>
          <a:r>
            <a:rPr lang="en-ZA" sz="1100" b="0" i="0" u="none" strike="noStrike">
              <a:solidFill>
                <a:schemeClr val="dk1"/>
              </a:solidFill>
              <a:effectLst/>
              <a:latin typeface="+mn-lt"/>
              <a:ea typeface="+mn-ea"/>
              <a:cs typeface="+mn-cs"/>
            </a:rPr>
            <a:t>or left for the ecological Reserve.</a:t>
          </a:r>
          <a:r>
            <a:rPr lang="en-ZA"/>
            <a:t> </a:t>
          </a:r>
          <a:endParaRPr lang="en-ZA" sz="1100"/>
        </a:p>
      </xdr:txBody>
    </xdr:sp>
    <xdr:clientData/>
  </xdr:twoCellAnchor>
  <xdr:twoCellAnchor>
    <xdr:from>
      <xdr:col>17</xdr:col>
      <xdr:colOff>190500</xdr:colOff>
      <xdr:row>48</xdr:row>
      <xdr:rowOff>0</xdr:rowOff>
    </xdr:from>
    <xdr:to>
      <xdr:col>24</xdr:col>
      <xdr:colOff>156882</xdr:colOff>
      <xdr:row>57</xdr:row>
      <xdr:rowOff>64122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430893</xdr:colOff>
      <xdr:row>121</xdr:row>
      <xdr:rowOff>28727</xdr:rowOff>
    </xdr:from>
    <xdr:to>
      <xdr:col>28</xdr:col>
      <xdr:colOff>71059</xdr:colOff>
      <xdr:row>132</xdr:row>
      <xdr:rowOff>142119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312520</xdr:colOff>
      <xdr:row>121</xdr:row>
      <xdr:rowOff>168897</xdr:rowOff>
    </xdr:from>
    <xdr:to>
      <xdr:col>35</xdr:col>
      <xdr:colOff>603872</xdr:colOff>
      <xdr:row>136</xdr:row>
      <xdr:rowOff>77009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xdr:col>
      <xdr:colOff>1344707</xdr:colOff>
      <xdr:row>79</xdr:row>
      <xdr:rowOff>302558</xdr:rowOff>
    </xdr:from>
    <xdr:to>
      <xdr:col>18</xdr:col>
      <xdr:colOff>56857</xdr:colOff>
      <xdr:row>104</xdr:row>
      <xdr:rowOff>101413</xdr:rowOff>
    </xdr:to>
    <xdr:pic>
      <xdr:nvPicPr>
        <xdr:cNvPr id="21" name="Picture 2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57148" y="15195176"/>
          <a:ext cx="7665650" cy="5054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89646</xdr:colOff>
      <xdr:row>36</xdr:row>
      <xdr:rowOff>201705</xdr:rowOff>
    </xdr:from>
    <xdr:to>
      <xdr:col>31</xdr:col>
      <xdr:colOff>425821</xdr:colOff>
      <xdr:row>44</xdr:row>
      <xdr:rowOff>122142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476250</xdr:colOff>
      <xdr:row>1</xdr:row>
      <xdr:rowOff>85725</xdr:rowOff>
    </xdr:from>
    <xdr:to>
      <xdr:col>28</xdr:col>
      <xdr:colOff>76200</xdr:colOff>
      <xdr:row>17</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7875" y="285750"/>
          <a:ext cx="762000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52</xdr:col>
      <xdr:colOff>342899</xdr:colOff>
      <xdr:row>4</xdr:row>
      <xdr:rowOff>171450</xdr:rowOff>
    </xdr:from>
    <xdr:to>
      <xdr:col>60</xdr:col>
      <xdr:colOff>28574</xdr:colOff>
      <xdr:row>18</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4</xdr:row>
      <xdr:rowOff>180975</xdr:rowOff>
    </xdr:from>
    <xdr:to>
      <xdr:col>52</xdr:col>
      <xdr:colOff>238125</xdr:colOff>
      <xdr:row>18</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46</xdr:col>
      <xdr:colOff>0</xdr:colOff>
      <xdr:row>24</xdr:row>
      <xdr:rowOff>66675</xdr:rowOff>
    </xdr:from>
    <xdr:to>
      <xdr:col>53</xdr:col>
      <xdr:colOff>380999</xdr:colOff>
      <xdr:row>32</xdr:row>
      <xdr:rowOff>0</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965900" y="3695700"/>
          <a:ext cx="616267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0</xdr:colOff>
      <xdr:row>38</xdr:row>
      <xdr:rowOff>19050</xdr:rowOff>
    </xdr:from>
    <xdr:to>
      <xdr:col>53</xdr:col>
      <xdr:colOff>419100</xdr:colOff>
      <xdr:row>45</xdr:row>
      <xdr:rowOff>57150</xdr:rowOff>
    </xdr:to>
    <xdr:pic>
      <xdr:nvPicPr>
        <xdr:cNvPr id="6"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528125" y="7267575"/>
          <a:ext cx="6200775"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542925</xdr:colOff>
      <xdr:row>46</xdr:row>
      <xdr:rowOff>57150</xdr:rowOff>
    </xdr:from>
    <xdr:to>
      <xdr:col>53</xdr:col>
      <xdr:colOff>504825</xdr:colOff>
      <xdr:row>54</xdr:row>
      <xdr:rowOff>152400</xdr:rowOff>
    </xdr:to>
    <xdr:pic>
      <xdr:nvPicPr>
        <xdr:cNvPr id="7" name="Picture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899225" y="6924675"/>
          <a:ext cx="63531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476250</xdr:colOff>
      <xdr:row>1</xdr:row>
      <xdr:rowOff>85725</xdr:rowOff>
    </xdr:from>
    <xdr:to>
      <xdr:col>28</xdr:col>
      <xdr:colOff>76200</xdr:colOff>
      <xdr:row>17</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49825" y="285750"/>
          <a:ext cx="762000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466724</xdr:colOff>
      <xdr:row>1</xdr:row>
      <xdr:rowOff>138112</xdr:rowOff>
    </xdr:from>
    <xdr:to>
      <xdr:col>20</xdr:col>
      <xdr:colOff>47625</xdr:colOff>
      <xdr:row>20</xdr:row>
      <xdr:rowOff>47625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49</xdr:row>
      <xdr:rowOff>14287</xdr:rowOff>
    </xdr:from>
    <xdr:to>
      <xdr:col>14</xdr:col>
      <xdr:colOff>314325</xdr:colOff>
      <xdr:row>63</xdr:row>
      <xdr:rowOff>42862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447675</xdr:colOff>
      <xdr:row>49</xdr:row>
      <xdr:rowOff>47625</xdr:rowOff>
    </xdr:from>
    <xdr:to>
      <xdr:col>22</xdr:col>
      <xdr:colOff>142875</xdr:colOff>
      <xdr:row>63</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28576</xdr:colOff>
      <xdr:row>1</xdr:row>
      <xdr:rowOff>0</xdr:rowOff>
    </xdr:from>
    <xdr:to>
      <xdr:col>11</xdr:col>
      <xdr:colOff>403521</xdr:colOff>
      <xdr:row>24</xdr:row>
      <xdr:rowOff>114299</xdr:rowOff>
    </xdr:to>
    <xdr:pic>
      <xdr:nvPicPr>
        <xdr:cNvPr id="6"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38476" y="190500"/>
          <a:ext cx="5127920" cy="449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24</xdr:row>
      <xdr:rowOff>28602</xdr:rowOff>
    </xdr:from>
    <xdr:to>
      <xdr:col>5</xdr:col>
      <xdr:colOff>447675</xdr:colOff>
      <xdr:row>42</xdr:row>
      <xdr:rowOff>114299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4219602"/>
          <a:ext cx="4829175" cy="3514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24</xdr:row>
      <xdr:rowOff>1</xdr:rowOff>
    </xdr:from>
    <xdr:to>
      <xdr:col>14</xdr:col>
      <xdr:colOff>85726</xdr:colOff>
      <xdr:row>43</xdr:row>
      <xdr:rowOff>88923</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62550" y="4191001"/>
          <a:ext cx="4962525" cy="370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485775</xdr:colOff>
      <xdr:row>39</xdr:row>
      <xdr:rowOff>53068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49075" cy="753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180975</xdr:colOff>
      <xdr:row>1</xdr:row>
      <xdr:rowOff>100011</xdr:rowOff>
    </xdr:from>
    <xdr:to>
      <xdr:col>35</xdr:col>
      <xdr:colOff>409575</xdr:colOff>
      <xdr:row>23</xdr:row>
      <xdr:rowOff>104774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581025</xdr:colOff>
      <xdr:row>10</xdr:row>
      <xdr:rowOff>157162</xdr:rowOff>
    </xdr:from>
    <xdr:to>
      <xdr:col>12</xdr:col>
      <xdr:colOff>276225</xdr:colOff>
      <xdr:row>25</xdr:row>
      <xdr:rowOff>23812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581026</xdr:colOff>
      <xdr:row>2</xdr:row>
      <xdr:rowOff>57150</xdr:rowOff>
    </xdr:from>
    <xdr:to>
      <xdr:col>15</xdr:col>
      <xdr:colOff>647701</xdr:colOff>
      <xdr:row>16</xdr:row>
      <xdr:rowOff>148827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1" y="438150"/>
          <a:ext cx="4210050" cy="2758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73</xdr:row>
      <xdr:rowOff>0</xdr:rowOff>
    </xdr:from>
    <xdr:to>
      <xdr:col>3</xdr:col>
      <xdr:colOff>1095376</xdr:colOff>
      <xdr:row>100</xdr:row>
      <xdr:rowOff>52956</xdr:rowOff>
    </xdr:to>
    <xdr:pic>
      <xdr:nvPicPr>
        <xdr:cNvPr id="8"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4097000"/>
          <a:ext cx="6305550" cy="5196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163285</xdr:colOff>
      <xdr:row>49</xdr:row>
      <xdr:rowOff>135818</xdr:rowOff>
    </xdr:from>
    <xdr:to>
      <xdr:col>14</xdr:col>
      <xdr:colOff>55673</xdr:colOff>
      <xdr:row>68</xdr:row>
      <xdr:rowOff>93889</xdr:rowOff>
    </xdr:to>
    <xdr:pic>
      <xdr:nvPicPr>
        <xdr:cNvPr id="10"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58892" y="9660818"/>
          <a:ext cx="7158602" cy="3577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398672</xdr:colOff>
      <xdr:row>75</xdr:row>
      <xdr:rowOff>57150</xdr:rowOff>
    </xdr:from>
    <xdr:to>
      <xdr:col>11</xdr:col>
      <xdr:colOff>701935</xdr:colOff>
      <xdr:row>100</xdr:row>
      <xdr:rowOff>0</xdr:rowOff>
    </xdr:to>
    <xdr:pic>
      <xdr:nvPicPr>
        <xdr:cNvPr id="12" name="Picture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272" y="14535150"/>
          <a:ext cx="7151738" cy="470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81643</xdr:colOff>
      <xdr:row>50</xdr:row>
      <xdr:rowOff>85725</xdr:rowOff>
    </xdr:from>
    <xdr:to>
      <xdr:col>5</xdr:col>
      <xdr:colOff>1044491</xdr:colOff>
      <xdr:row>69</xdr:row>
      <xdr:rowOff>0</xdr:rowOff>
    </xdr:to>
    <xdr:grpSp>
      <xdr:nvGrpSpPr>
        <xdr:cNvPr id="4" name="Group 3"/>
        <xdr:cNvGrpSpPr/>
      </xdr:nvGrpSpPr>
      <xdr:grpSpPr>
        <a:xfrm>
          <a:off x="81643" y="9610725"/>
          <a:ext cx="8201848" cy="3533775"/>
          <a:chOff x="81643" y="9801225"/>
          <a:chExt cx="8201848" cy="3533775"/>
        </a:xfrm>
      </xdr:grpSpPr>
      <xdr:pic>
        <xdr:nvPicPr>
          <xdr:cNvPr id="5"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643" y="9801225"/>
            <a:ext cx="8201848" cy="35337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xdr:cNvSpPr txBox="1"/>
        </xdr:nvSpPr>
        <xdr:spPr>
          <a:xfrm>
            <a:off x="394607" y="9946821"/>
            <a:ext cx="2939143" cy="5987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www.spe.org HANDLING PRODUCED HYDRAULIC FRACTURING WATER (2012)</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228600</xdr:colOff>
      <xdr:row>0</xdr:row>
      <xdr:rowOff>76200</xdr:rowOff>
    </xdr:from>
    <xdr:to>
      <xdr:col>15</xdr:col>
      <xdr:colOff>228600</xdr:colOff>
      <xdr:row>64</xdr:row>
      <xdr:rowOff>171450</xdr:rowOff>
    </xdr:to>
    <xdr:sp macro="" textlink="">
      <xdr:nvSpPr>
        <xdr:cNvPr id="2" name="TextBox 1"/>
        <xdr:cNvSpPr txBox="1"/>
      </xdr:nvSpPr>
      <xdr:spPr>
        <a:xfrm>
          <a:off x="228600" y="76200"/>
          <a:ext cx="9591675" cy="1228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b="1" i="0" u="none" strike="noStrike">
              <a:solidFill>
                <a:schemeClr val="dk1"/>
              </a:solidFill>
              <a:effectLst/>
              <a:latin typeface="+mn-lt"/>
              <a:ea typeface="+mn-ea"/>
              <a:cs typeface="+mn-cs"/>
            </a:rPr>
            <a:t>Funke 1990</a:t>
          </a:r>
          <a:r>
            <a:rPr lang="en-ZA"/>
            <a:t> </a:t>
          </a:r>
        </a:p>
        <a:p>
          <a:r>
            <a:rPr lang="en-ZA" sz="1100" b="0" i="0" u="none" strike="noStrike" baseline="0" smtClean="0">
              <a:solidFill>
                <a:schemeClr val="dk1"/>
              </a:solidFill>
              <a:latin typeface="+mn-lt"/>
              <a:ea typeface="+mn-ea"/>
              <a:cs typeface="+mn-cs"/>
            </a:rPr>
            <a:t>About 50% of the total water intake by the mines consists of a low total dissolved salt</a:t>
          </a:r>
        </a:p>
        <a:p>
          <a:r>
            <a:rPr lang="en-ZA" sz="1100" b="0" i="0" u="none" strike="noStrike" baseline="0" smtClean="0">
              <a:solidFill>
                <a:schemeClr val="dk1"/>
              </a:solidFill>
              <a:latin typeface="+mn-lt"/>
              <a:ea typeface="+mn-ea"/>
              <a:cs typeface="+mn-cs"/>
            </a:rPr>
            <a:t>(TDS) river water, either abstracted directly by the mines, or supplied by water board</a:t>
          </a:r>
        </a:p>
        <a:p>
          <a:r>
            <a:rPr lang="en-ZA" sz="1100" b="0" i="0" u="none" strike="noStrike" baseline="0" smtClean="0">
              <a:solidFill>
                <a:schemeClr val="dk1"/>
              </a:solidFill>
              <a:latin typeface="+mn-lt"/>
              <a:ea typeface="+mn-ea"/>
              <a:cs typeface="+mn-cs"/>
            </a:rPr>
            <a:t>authorities such as the Rand Water Board, the Western Transvaal Regional Water Company</a:t>
          </a:r>
        </a:p>
        <a:p>
          <a:r>
            <a:rPr lang="en-ZA" sz="1100" b="0" i="0" u="none" strike="noStrike" baseline="0" smtClean="0">
              <a:solidFill>
                <a:schemeClr val="dk1"/>
              </a:solidFill>
              <a:latin typeface="+mn-lt"/>
              <a:ea typeface="+mn-ea"/>
              <a:cs typeface="+mn-cs"/>
            </a:rPr>
            <a:t>near Orkney and the OFS Goldfields Water Board at Balkfontein, which treat the</a:t>
          </a:r>
        </a:p>
        <a:p>
          <a:r>
            <a:rPr lang="en-ZA" sz="1100" b="0" i="0" u="none" strike="noStrike" baseline="0" smtClean="0">
              <a:solidFill>
                <a:schemeClr val="dk1"/>
              </a:solidFill>
              <a:latin typeface="+mn-lt"/>
              <a:ea typeface="+mn-ea"/>
              <a:cs typeface="+mn-cs"/>
            </a:rPr>
            <a:t>water to potable standards . The other water intake is mine water, pumped to the surface</a:t>
          </a:r>
        </a:p>
        <a:p>
          <a:r>
            <a:rPr lang="en-ZA" sz="1100" b="0" i="0" u="none" strike="noStrike" baseline="0" smtClean="0">
              <a:solidFill>
                <a:schemeClr val="dk1"/>
              </a:solidFill>
              <a:latin typeface="+mn-lt"/>
              <a:ea typeface="+mn-ea"/>
              <a:cs typeface="+mn-cs"/>
            </a:rPr>
            <a:t>and used by the mines. Pan water which is made up of mine pumpage, metallurgical plant</a:t>
          </a:r>
        </a:p>
        <a:p>
          <a:r>
            <a:rPr lang="en-ZA" sz="1100" b="0" i="0" u="none" strike="noStrike" baseline="0" smtClean="0">
              <a:solidFill>
                <a:schemeClr val="dk1"/>
              </a:solidFill>
              <a:latin typeface="+mn-lt"/>
              <a:ea typeface="+mn-ea"/>
              <a:cs typeface="+mn-cs"/>
            </a:rPr>
            <a:t>and sewage plant effluents and natural runoff is a major source of water supply to the OFS</a:t>
          </a:r>
        </a:p>
        <a:p>
          <a:r>
            <a:rPr lang="en-ZA" sz="1100" b="0" i="0" u="none" strike="noStrike" baseline="0" smtClean="0">
              <a:solidFill>
                <a:schemeClr val="dk1"/>
              </a:solidFill>
              <a:latin typeface="+mn-lt"/>
              <a:ea typeface="+mn-ea"/>
              <a:cs typeface="+mn-cs"/>
            </a:rPr>
            <a:t>mines.</a:t>
          </a:r>
        </a:p>
        <a:p>
          <a:endParaRPr lang="en-ZA" sz="1100" b="0" i="0" u="none" strike="noStrike" baseline="0" smtClean="0">
            <a:solidFill>
              <a:schemeClr val="dk1"/>
            </a:solidFill>
            <a:latin typeface="+mn-lt"/>
            <a:ea typeface="+mn-ea"/>
            <a:cs typeface="+mn-cs"/>
          </a:endParaRPr>
        </a:p>
        <a:p>
          <a:r>
            <a:rPr lang="en-ZA" sz="1100" b="0" i="0" baseline="0">
              <a:solidFill>
                <a:schemeClr val="dk1"/>
              </a:solidFill>
              <a:effectLst/>
              <a:latin typeface="+mn-lt"/>
              <a:ea typeface="+mn-ea"/>
              <a:cs typeface="+mn-cs"/>
            </a:rPr>
            <a:t>Obtaining sufficient volumes of water is not a decisive cost factor for most mines. The</a:t>
          </a:r>
          <a:endParaRPr lang="en-ZA">
            <a:effectLst/>
          </a:endParaRPr>
        </a:p>
        <a:p>
          <a:r>
            <a:rPr lang="en-ZA" sz="1100" b="0" i="0" baseline="0">
              <a:solidFill>
                <a:schemeClr val="dk1"/>
              </a:solidFill>
              <a:effectLst/>
              <a:latin typeface="+mn-lt"/>
              <a:ea typeface="+mn-ea"/>
              <a:cs typeface="+mn-cs"/>
            </a:rPr>
            <a:t>major cost factors are the replacement of corroded pipes and equipment, the increase in</a:t>
          </a:r>
          <a:endParaRPr lang="en-ZA">
            <a:effectLst/>
          </a:endParaRPr>
        </a:p>
        <a:p>
          <a:r>
            <a:rPr lang="en-ZA" sz="1100" b="0" i="0" baseline="0">
              <a:solidFill>
                <a:schemeClr val="dk1"/>
              </a:solidFill>
              <a:effectLst/>
              <a:latin typeface="+mn-lt"/>
              <a:ea typeface="+mn-ea"/>
              <a:cs typeface="+mn-cs"/>
            </a:rPr>
            <a:t>power use to compensate for the reduced heat transfer at refrigeration plants or for pumping</a:t>
          </a:r>
          <a:endParaRPr lang="en-ZA">
            <a:effectLst/>
          </a:endParaRPr>
        </a:p>
        <a:p>
          <a:r>
            <a:rPr lang="en-ZA" sz="1100" b="0" i="0" baseline="0">
              <a:solidFill>
                <a:schemeClr val="dk1"/>
              </a:solidFill>
              <a:effectLst/>
              <a:latin typeface="+mn-lt"/>
              <a:ea typeface="+mn-ea"/>
              <a:cs typeface="+mn-cs"/>
            </a:rPr>
            <a:t>through scaled up pipes and the use of treatment chemicals. The cost to the goldmining</a:t>
          </a:r>
          <a:endParaRPr lang="en-ZA">
            <a:effectLst/>
          </a:endParaRPr>
        </a:p>
        <a:p>
          <a:r>
            <a:rPr lang="en-ZA" sz="1100" b="0" i="0" baseline="0">
              <a:solidFill>
                <a:schemeClr val="dk1"/>
              </a:solidFill>
              <a:effectLst/>
              <a:latin typeface="+mn-lt"/>
              <a:ea typeface="+mn-ea"/>
              <a:cs typeface="+mn-cs"/>
            </a:rPr>
            <a:t>industry because of poor quality water is estimated to be in the order of R150 to</a:t>
          </a:r>
          <a:endParaRPr lang="en-ZA">
            <a:effectLst/>
          </a:endParaRPr>
        </a:p>
        <a:p>
          <a:r>
            <a:rPr lang="en-ZA" sz="1100" b="0" i="0" baseline="0">
              <a:solidFill>
                <a:schemeClr val="dk1"/>
              </a:solidFill>
              <a:effectLst/>
              <a:latin typeface="+mn-lt"/>
              <a:ea typeface="+mn-ea"/>
              <a:cs typeface="+mn-cs"/>
            </a:rPr>
            <a:t>R300 x 106/a.</a:t>
          </a:r>
          <a:endParaRPr lang="en-ZA">
            <a:effectLst/>
          </a:endParaRPr>
        </a:p>
        <a:p>
          <a:r>
            <a:rPr lang="en-ZA" sz="1100" b="0" i="0" baseline="0">
              <a:solidFill>
                <a:schemeClr val="dk1"/>
              </a:solidFill>
              <a:effectLst/>
              <a:latin typeface="+mn-lt"/>
              <a:ea typeface="+mn-ea"/>
              <a:cs typeface="+mn-cs"/>
            </a:rPr>
            <a:t>Water low in suspended solids, TDS, chloride and hardness is required for</a:t>
          </a:r>
          <a:endParaRPr lang="en-ZA">
            <a:effectLst/>
          </a:endParaRPr>
        </a:p>
        <a:p>
          <a:r>
            <a:rPr lang="en-ZA" sz="1100" b="0" i="0" baseline="0">
              <a:solidFill>
                <a:schemeClr val="dk1"/>
              </a:solidFill>
              <a:effectLst/>
              <a:latin typeface="+mn-lt"/>
              <a:ea typeface="+mn-ea"/>
              <a:cs typeface="+mn-cs"/>
            </a:rPr>
            <a:t>cooling/refrigeration and for certain applications in the metallurgical plants.</a:t>
          </a:r>
          <a:endParaRPr lang="en-ZA">
            <a:effectLst/>
          </a:endParaRPr>
        </a:p>
        <a:p>
          <a:endParaRPr lang="en-ZA" sz="1100" b="0" i="0" u="none" strike="noStrike" baseline="0" smtClean="0">
            <a:solidFill>
              <a:schemeClr val="dk1"/>
            </a:solidFill>
            <a:latin typeface="+mn-lt"/>
            <a:ea typeface="+mn-ea"/>
            <a:cs typeface="+mn-cs"/>
          </a:endParaRPr>
        </a:p>
        <a:p>
          <a:r>
            <a:rPr lang="en-ZA" sz="1100" b="0" i="0" u="none" strike="noStrike" baseline="0" smtClean="0">
              <a:solidFill>
                <a:schemeClr val="dk1"/>
              </a:solidFill>
              <a:latin typeface="+mn-lt"/>
              <a:ea typeface="+mn-ea"/>
              <a:cs typeface="+mn-cs"/>
            </a:rPr>
            <a:t>During 1983 the low TDS water supplied directly from the river by the water boards was</a:t>
          </a:r>
        </a:p>
        <a:p>
          <a:r>
            <a:rPr lang="en-ZA" sz="1100" b="0" i="0" u="none" strike="noStrike" baseline="0" smtClean="0">
              <a:solidFill>
                <a:schemeClr val="dk1"/>
              </a:solidFill>
              <a:latin typeface="+mn-lt"/>
              <a:ea typeface="+mn-ea"/>
              <a:cs typeface="+mn-cs"/>
            </a:rPr>
            <a:t>used as follows:</a:t>
          </a:r>
        </a:p>
        <a:p>
          <a:r>
            <a:rPr lang="en-ZA" sz="1100" b="0" i="0" u="none" strike="noStrike" baseline="0" smtClean="0">
              <a:solidFill>
                <a:schemeClr val="dk1"/>
              </a:solidFill>
              <a:latin typeface="+mn-lt"/>
              <a:ea typeface="+mn-ea"/>
              <a:cs typeface="+mn-cs"/>
            </a:rPr>
            <a:t>50% for domestic supply;</a:t>
          </a:r>
        </a:p>
        <a:p>
          <a:r>
            <a:rPr lang="en-ZA" sz="1100" b="0" i="0" u="none" strike="noStrike" baseline="0" smtClean="0">
              <a:solidFill>
                <a:schemeClr val="dk1"/>
              </a:solidFill>
              <a:latin typeface="+mn-lt"/>
              <a:ea typeface="+mn-ea"/>
              <a:cs typeface="+mn-cs"/>
            </a:rPr>
            <a:t>40% for cooling/refrigeration, chilled mine service water supply; and</a:t>
          </a:r>
        </a:p>
        <a:p>
          <a:r>
            <a:rPr lang="en-ZA" sz="1100" b="0" i="0" u="none" strike="noStrike" baseline="0" smtClean="0">
              <a:solidFill>
                <a:schemeClr val="dk1"/>
              </a:solidFill>
              <a:latin typeface="+mn-lt"/>
              <a:ea typeface="+mn-ea"/>
              <a:cs typeface="+mn-cs"/>
            </a:rPr>
            <a:t>10% for metallurgical plants and gardens.</a:t>
          </a:r>
        </a:p>
        <a:p>
          <a:r>
            <a:rPr lang="en-ZA" sz="1100" b="0" i="0" u="none" strike="noStrike" baseline="0" smtClean="0">
              <a:solidFill>
                <a:schemeClr val="dk1"/>
              </a:solidFill>
              <a:latin typeface="+mn-lt"/>
              <a:ea typeface="+mn-ea"/>
              <a:cs typeface="+mn-cs"/>
            </a:rPr>
            <a:t>Half of the total water intake to the mines is used by the surface metallurgical plants to</a:t>
          </a:r>
        </a:p>
        <a:p>
          <a:r>
            <a:rPr lang="en-ZA" sz="1100" b="0" i="0" u="none" strike="noStrike" baseline="0" smtClean="0">
              <a:solidFill>
                <a:schemeClr val="dk1"/>
              </a:solidFill>
              <a:latin typeface="+mn-lt"/>
              <a:ea typeface="+mn-ea"/>
              <a:cs typeface="+mn-cs"/>
            </a:rPr>
            <a:t>process about 120 x 106 t/a of ore and about 90 x 10" t/a of old sand and slimes residues</a:t>
          </a:r>
        </a:p>
        <a:p>
          <a:r>
            <a:rPr lang="en-ZA" sz="1100" b="0" i="0" u="none" strike="noStrike" baseline="0" smtClean="0">
              <a:solidFill>
                <a:schemeClr val="dk1"/>
              </a:solidFill>
              <a:latin typeface="+mn-lt"/>
              <a:ea typeface="+mn-ea"/>
              <a:cs typeface="+mn-cs"/>
            </a:rPr>
            <a:t>for the recovery of gold, uranium, pyrite and sulphuric acid</a:t>
          </a:r>
        </a:p>
        <a:p>
          <a:endParaRPr lang="en-ZA" sz="1100" b="0" i="0" u="none" strike="noStrike" baseline="0" smtClean="0">
            <a:solidFill>
              <a:schemeClr val="dk1"/>
            </a:solidFill>
            <a:latin typeface="+mn-lt"/>
            <a:ea typeface="+mn-ea"/>
            <a:cs typeface="+mn-cs"/>
          </a:endParaRPr>
        </a:p>
        <a:p>
          <a:endParaRPr lang="en-ZA" sz="1100" b="0" i="0" u="none" strike="noStrike" baseline="0" smtClean="0">
            <a:solidFill>
              <a:schemeClr val="dk1"/>
            </a:solidFill>
            <a:latin typeface="+mn-lt"/>
            <a:ea typeface="+mn-ea"/>
            <a:cs typeface="+mn-cs"/>
          </a:endParaRPr>
        </a:p>
        <a:p>
          <a:r>
            <a:rPr lang="en-ZA" sz="1100" b="0" i="0" u="none" strike="noStrike" baseline="0" smtClean="0">
              <a:solidFill>
                <a:schemeClr val="dk1"/>
              </a:solidFill>
              <a:latin typeface="+mn-lt"/>
              <a:ea typeface="+mn-ea"/>
              <a:cs typeface="+mn-cs"/>
            </a:rPr>
            <a:t>Typical water intake figures at surface plants are:</a:t>
          </a:r>
        </a:p>
        <a:p>
          <a:r>
            <a:rPr lang="en-ZA" sz="1100" b="0" i="0" u="none" strike="noStrike" baseline="0" smtClean="0">
              <a:solidFill>
                <a:schemeClr val="dk1"/>
              </a:solidFill>
              <a:latin typeface="+mn-lt"/>
              <a:ea typeface="+mn-ea"/>
              <a:cs typeface="+mn-cs"/>
            </a:rPr>
            <a:t>gold recovery only: 0,9 to 1,4 m3/t of processed ore</a:t>
          </a:r>
        </a:p>
        <a:p>
          <a:r>
            <a:rPr lang="en-ZA" sz="1100" b="0" i="0" u="none" strike="noStrike" baseline="0" smtClean="0">
              <a:solidFill>
                <a:schemeClr val="dk1"/>
              </a:solidFill>
              <a:latin typeface="+mn-lt"/>
              <a:ea typeface="+mn-ea"/>
              <a:cs typeface="+mn-cs"/>
            </a:rPr>
            <a:t>gold and uranium recovery: 2,5 m /t of processed ore</a:t>
          </a:r>
        </a:p>
        <a:p>
          <a:r>
            <a:rPr lang="en-ZA" sz="1100" b="0" i="0" u="none" strike="noStrike" baseline="0" smtClean="0">
              <a:solidFill>
                <a:schemeClr val="dk1"/>
              </a:solidFill>
              <a:latin typeface="+mn-lt"/>
              <a:ea typeface="+mn-ea"/>
              <a:cs typeface="+mn-cs"/>
            </a:rPr>
            <a:t>gold, uranium and pyrite recovery: 3,0 m3/t of processed ore</a:t>
          </a:r>
        </a:p>
        <a:p>
          <a:r>
            <a:rPr lang="en-ZA" sz="1100" b="0" i="0" u="none" strike="noStrike" baseline="0" smtClean="0">
              <a:solidFill>
                <a:schemeClr val="dk1"/>
              </a:solidFill>
              <a:latin typeface="+mn-lt"/>
              <a:ea typeface="+mn-ea"/>
              <a:cs typeface="+mn-cs"/>
            </a:rPr>
            <a:t>gold, uranium, pyrite recovery and</a:t>
          </a:r>
        </a:p>
        <a:p>
          <a:r>
            <a:rPr lang="en-ZA" sz="1100" b="0" i="0" u="none" strike="noStrike" baseline="0" smtClean="0">
              <a:solidFill>
                <a:schemeClr val="dk1"/>
              </a:solidFill>
              <a:latin typeface="+mn-lt"/>
              <a:ea typeface="+mn-ea"/>
              <a:cs typeface="+mn-cs"/>
            </a:rPr>
            <a:t>production of sulphuric acid: 4,0 to 4,5 m3/t of processed ore</a:t>
          </a:r>
        </a:p>
        <a:p>
          <a:r>
            <a:rPr lang="en-ZA" sz="1100" b="0" i="0" u="none" strike="noStrike" baseline="0" smtClean="0">
              <a:solidFill>
                <a:schemeClr val="dk1"/>
              </a:solidFill>
              <a:latin typeface="+mn-lt"/>
              <a:ea typeface="+mn-ea"/>
              <a:cs typeface="+mn-cs"/>
            </a:rPr>
            <a:t>H2SO4 plant, scrubber/cooling</a:t>
          </a:r>
        </a:p>
        <a:p>
          <a:r>
            <a:rPr lang="en-ZA" sz="1100" b="0" i="0" u="none" strike="noStrike" baseline="0" smtClean="0">
              <a:solidFill>
                <a:schemeClr val="dk1"/>
              </a:solidFill>
              <a:latin typeface="+mn-lt"/>
              <a:ea typeface="+mn-ea"/>
              <a:cs typeface="+mn-cs"/>
            </a:rPr>
            <a:t>water in circulation: 11,0 to 14,0 m3/t of acid</a:t>
          </a:r>
        </a:p>
        <a:p>
          <a:endParaRPr lang="en-ZA" sz="1100" b="0" i="0" u="none" strike="noStrike" baseline="0" smtClean="0">
            <a:solidFill>
              <a:schemeClr val="dk1"/>
            </a:solidFill>
            <a:latin typeface="+mn-lt"/>
            <a:ea typeface="+mn-ea"/>
            <a:cs typeface="+mn-cs"/>
          </a:endParaRPr>
        </a:p>
        <a:p>
          <a:r>
            <a:rPr lang="en-ZA" sz="1100" b="0" i="0" u="none" strike="noStrike" baseline="0" smtClean="0">
              <a:solidFill>
                <a:schemeClr val="dk1"/>
              </a:solidFill>
              <a:latin typeface="+mn-lt"/>
              <a:ea typeface="+mn-ea"/>
              <a:cs typeface="+mn-cs"/>
            </a:rPr>
            <a:t>Mines use water for the following purposes:</a:t>
          </a:r>
        </a:p>
        <a:p>
          <a:r>
            <a:rPr lang="en-ZA" sz="1100" b="0" i="0" u="none" strike="noStrike" baseline="0" smtClean="0">
              <a:solidFill>
                <a:schemeClr val="dk1"/>
              </a:solidFill>
              <a:latin typeface="+mn-lt"/>
              <a:ea typeface="+mn-ea"/>
              <a:cs typeface="+mn-cs"/>
            </a:rPr>
            <a:t>Underground:</a:t>
          </a:r>
        </a:p>
        <a:p>
          <a:r>
            <a:rPr lang="en-ZA" sz="1100" b="0" i="0" u="none" strike="noStrike" baseline="0" smtClean="0">
              <a:solidFill>
                <a:schemeClr val="dk1"/>
              </a:solidFill>
              <a:latin typeface="+mn-lt"/>
              <a:ea typeface="+mn-ea"/>
              <a:cs typeface="+mn-cs"/>
            </a:rPr>
            <a:t>dust suppression</a:t>
          </a:r>
        </a:p>
        <a:p>
          <a:r>
            <a:rPr lang="en-ZA" sz="1100" b="0" i="0" u="none" strike="noStrike" baseline="0" smtClean="0">
              <a:solidFill>
                <a:schemeClr val="dk1"/>
              </a:solidFill>
              <a:latin typeface="+mn-lt"/>
              <a:ea typeface="+mn-ea"/>
              <a:cs typeface="+mn-cs"/>
            </a:rPr>
            <a:t>stope cleaning</a:t>
          </a:r>
        </a:p>
        <a:p>
          <a:r>
            <a:rPr lang="en-ZA" sz="1100" b="0" i="0" u="none" strike="noStrike" baseline="0" smtClean="0">
              <a:solidFill>
                <a:schemeClr val="dk1"/>
              </a:solidFill>
              <a:latin typeface="+mn-lt"/>
              <a:ea typeface="+mn-ea"/>
              <a:cs typeface="+mn-cs"/>
            </a:rPr>
            <a:t>mine cooling/refrigeration</a:t>
          </a:r>
        </a:p>
        <a:p>
          <a:r>
            <a:rPr lang="en-ZA" sz="1100" b="0" i="0" u="none" strike="noStrike" baseline="0" smtClean="0">
              <a:solidFill>
                <a:schemeClr val="dk1"/>
              </a:solidFill>
              <a:latin typeface="+mn-lt"/>
              <a:ea typeface="+mn-ea"/>
              <a:cs typeface="+mn-cs"/>
            </a:rPr>
            <a:t>fire fighting</a:t>
          </a:r>
        </a:p>
        <a:p>
          <a:r>
            <a:rPr lang="en-ZA" sz="1100" b="0" i="0" u="none" strike="noStrike" baseline="0" smtClean="0">
              <a:solidFill>
                <a:schemeClr val="dk1"/>
              </a:solidFill>
              <a:latin typeface="+mn-lt"/>
              <a:ea typeface="+mn-ea"/>
              <a:cs typeface="+mn-cs"/>
            </a:rPr>
            <a:t>drinking</a:t>
          </a:r>
        </a:p>
        <a:p>
          <a:r>
            <a:rPr lang="en-ZA" sz="1100" b="0" i="0" u="none" strike="noStrike" baseline="0" smtClean="0">
              <a:solidFill>
                <a:schemeClr val="dk1"/>
              </a:solidFill>
              <a:latin typeface="+mn-lt"/>
              <a:ea typeface="+mn-ea"/>
              <a:cs typeface="+mn-cs"/>
            </a:rPr>
            <a:t>hydraulic equipment</a:t>
          </a:r>
        </a:p>
        <a:p>
          <a:endParaRPr lang="en-ZA" sz="1100" b="0" i="0" u="none" strike="noStrike" baseline="0" smtClean="0">
            <a:solidFill>
              <a:schemeClr val="dk1"/>
            </a:solidFill>
            <a:latin typeface="+mn-lt"/>
            <a:ea typeface="+mn-ea"/>
            <a:cs typeface="+mn-cs"/>
          </a:endParaRPr>
        </a:p>
        <a:p>
          <a:r>
            <a:rPr lang="en-ZA" sz="1100" b="0" i="0" u="none" strike="noStrike" baseline="0" smtClean="0">
              <a:solidFill>
                <a:schemeClr val="dk1"/>
              </a:solidFill>
              <a:latin typeface="+mn-lt"/>
              <a:ea typeface="+mn-ea"/>
              <a:cs typeface="+mn-cs"/>
            </a:rPr>
            <a:t>On the surface:</a:t>
          </a:r>
        </a:p>
        <a:p>
          <a:r>
            <a:rPr lang="en-ZA" sz="1100" b="0" i="0" u="none" strike="noStrike" baseline="0" smtClean="0">
              <a:solidFill>
                <a:schemeClr val="dk1"/>
              </a:solidFill>
              <a:latin typeface="+mn-lt"/>
              <a:ea typeface="+mn-ea"/>
              <a:cs typeface="+mn-cs"/>
            </a:rPr>
            <a:t>domestic (drinking, washing, sanitation)</a:t>
          </a:r>
        </a:p>
        <a:p>
          <a:r>
            <a:rPr lang="en-ZA" sz="1100" b="0" i="0" u="none" strike="noStrike" baseline="0" smtClean="0">
              <a:solidFill>
                <a:schemeClr val="dk1"/>
              </a:solidFill>
              <a:latin typeface="+mn-lt"/>
              <a:ea typeface="+mn-ea"/>
              <a:cs typeface="+mn-cs"/>
            </a:rPr>
            <a:t>mine cooling/refrigeration</a:t>
          </a:r>
        </a:p>
        <a:p>
          <a:r>
            <a:rPr lang="en-ZA" sz="1100" b="0" i="0" u="none" strike="noStrike" baseline="0" smtClean="0">
              <a:solidFill>
                <a:schemeClr val="dk1"/>
              </a:solidFill>
              <a:latin typeface="+mn-lt"/>
              <a:ea typeface="+mn-ea"/>
              <a:cs typeface="+mn-cs"/>
            </a:rPr>
            <a:t>ore washing, milling</a:t>
          </a:r>
        </a:p>
        <a:p>
          <a:r>
            <a:rPr lang="en-ZA" sz="1100" b="0" i="0" u="none" strike="noStrike" baseline="0" smtClean="0">
              <a:solidFill>
                <a:schemeClr val="dk1"/>
              </a:solidFill>
              <a:latin typeface="+mn-lt"/>
              <a:ea typeface="+mn-ea"/>
              <a:cs typeface="+mn-cs"/>
            </a:rPr>
            <a:t>gold leaching and processing</a:t>
          </a:r>
        </a:p>
        <a:p>
          <a:r>
            <a:rPr lang="en-ZA" sz="1100" b="0" i="0" u="none" strike="noStrike" baseline="0" smtClean="0">
              <a:solidFill>
                <a:schemeClr val="dk1"/>
              </a:solidFill>
              <a:latin typeface="+mn-lt"/>
              <a:ea typeface="+mn-ea"/>
              <a:cs typeface="+mn-cs"/>
            </a:rPr>
            <a:t>pyrite flotation, sulphuric acid production</a:t>
          </a:r>
        </a:p>
        <a:p>
          <a:r>
            <a:rPr lang="en-ZA" sz="1100" b="0" i="0" u="none" strike="noStrike" baseline="0" smtClean="0">
              <a:solidFill>
                <a:schemeClr val="dk1"/>
              </a:solidFill>
              <a:latin typeface="+mn-lt"/>
              <a:ea typeface="+mn-ea"/>
              <a:cs typeface="+mn-cs"/>
            </a:rPr>
            <a:t>uranium leaching and extraction</a:t>
          </a:r>
        </a:p>
        <a:p>
          <a:r>
            <a:rPr lang="en-ZA" sz="1100" b="0" i="0" u="none" strike="noStrike" baseline="0" smtClean="0">
              <a:solidFill>
                <a:schemeClr val="dk1"/>
              </a:solidFill>
              <a:latin typeface="+mn-lt"/>
              <a:ea typeface="+mn-ea"/>
              <a:cs typeface="+mn-cs"/>
            </a:rPr>
            <a:t>disposal of tailings</a:t>
          </a:r>
        </a:p>
        <a:p>
          <a:endParaRPr lang="en-ZA" sz="1100" b="0" i="0" u="none" strike="noStrike" baseline="0" smtClean="0">
            <a:solidFill>
              <a:schemeClr val="dk1"/>
            </a:solidFill>
            <a:latin typeface="+mn-lt"/>
            <a:ea typeface="+mn-ea"/>
            <a:cs typeface="+mn-cs"/>
          </a:endParaRPr>
        </a:p>
        <a:p>
          <a:r>
            <a:rPr lang="en-ZA" sz="1100" b="0" i="0" u="none" strike="noStrike" baseline="0" smtClean="0">
              <a:solidFill>
                <a:schemeClr val="dk1"/>
              </a:solidFill>
              <a:latin typeface="+mn-lt"/>
              <a:ea typeface="+mn-ea"/>
              <a:cs typeface="+mn-cs"/>
            </a:rPr>
            <a:t>Of the total water intake (Fig 2),</a:t>
          </a:r>
        </a:p>
        <a:p>
          <a:r>
            <a:rPr lang="en-ZA" sz="1100" b="0" i="0" u="none" strike="noStrike" baseline="0" smtClean="0">
              <a:solidFill>
                <a:schemeClr val="dk1"/>
              </a:solidFill>
              <a:latin typeface="+mn-lt"/>
              <a:ea typeface="+mn-ea"/>
              <a:cs typeface="+mn-cs"/>
            </a:rPr>
            <a:t>49% is used at metallurgical plants;</a:t>
          </a:r>
        </a:p>
        <a:p>
          <a:r>
            <a:rPr lang="en-ZA" sz="1100" b="0" i="0" u="none" strike="noStrike" baseline="0" smtClean="0">
              <a:solidFill>
                <a:schemeClr val="dk1"/>
              </a:solidFill>
              <a:latin typeface="+mn-lt"/>
              <a:ea typeface="+mn-ea"/>
              <a:cs typeface="+mn-cs"/>
            </a:rPr>
            <a:t>27% at hostels, offices, houses;</a:t>
          </a:r>
        </a:p>
        <a:p>
          <a:r>
            <a:rPr lang="en-ZA" sz="1100" b="0" i="0" u="none" strike="noStrike" baseline="0" smtClean="0">
              <a:solidFill>
                <a:schemeClr val="dk1"/>
              </a:solidFill>
              <a:latin typeface="+mn-lt"/>
              <a:ea typeface="+mn-ea"/>
              <a:cs typeface="+mn-cs"/>
            </a:rPr>
            <a:t>22% underground; and</a:t>
          </a:r>
        </a:p>
        <a:p>
          <a:r>
            <a:rPr lang="en-ZA" sz="1100" b="0" i="0" u="none" strike="noStrike" baseline="0" smtClean="0">
              <a:solidFill>
                <a:schemeClr val="dk1"/>
              </a:solidFill>
              <a:latin typeface="+mn-lt"/>
              <a:ea typeface="+mn-ea"/>
              <a:cs typeface="+mn-cs"/>
            </a:rPr>
            <a:t>2% for power.</a:t>
          </a:r>
        </a:p>
        <a:p>
          <a:endParaRPr lang="en-ZA" sz="1100" b="0" i="0" u="none" strike="noStrike" baseline="0" smtClean="0">
            <a:solidFill>
              <a:schemeClr val="dk1"/>
            </a:solidFill>
            <a:latin typeface="+mn-lt"/>
            <a:ea typeface="+mn-ea"/>
            <a:cs typeface="+mn-cs"/>
          </a:endParaRPr>
        </a:p>
        <a:p>
          <a:r>
            <a:rPr lang="en-ZA" sz="1100" b="0" i="0" u="none" strike="noStrike" baseline="0" smtClean="0">
              <a:solidFill>
                <a:schemeClr val="dk1"/>
              </a:solidFill>
              <a:latin typeface="+mn-lt"/>
              <a:ea typeface="+mn-ea"/>
              <a:cs typeface="+mn-cs"/>
            </a:rPr>
            <a:t>During 1983 the water emanating from the gold and uranium mines was disposed of</a:t>
          </a:r>
        </a:p>
        <a:p>
          <a:r>
            <a:rPr lang="en-ZA" sz="1100" b="0" i="0" u="none" strike="noStrike" baseline="0" smtClean="0">
              <a:solidFill>
                <a:schemeClr val="dk1"/>
              </a:solidFill>
              <a:latin typeface="+mn-lt"/>
              <a:ea typeface="+mn-ea"/>
              <a:cs typeface="+mn-cs"/>
            </a:rPr>
            <a:t>or lost as follows:</a:t>
          </a:r>
        </a:p>
        <a:p>
          <a:r>
            <a:rPr lang="en-ZA" sz="1100" b="0" i="0" u="none" strike="noStrike" baseline="0" smtClean="0">
              <a:solidFill>
                <a:schemeClr val="dk1"/>
              </a:solidFill>
              <a:latin typeface="+mn-lt"/>
              <a:ea typeface="+mn-ea"/>
              <a:cs typeface="+mn-cs"/>
            </a:rPr>
            <a:t>to surface streams or returned</a:t>
          </a:r>
        </a:p>
        <a:p>
          <a:r>
            <a:rPr lang="en-ZA" sz="1100" b="0" i="0" u="none" strike="noStrike" baseline="0" smtClean="0">
              <a:solidFill>
                <a:schemeClr val="dk1"/>
              </a:solidFill>
              <a:latin typeface="+mn-lt"/>
              <a:ea typeface="+mn-ea"/>
              <a:cs typeface="+mn-cs"/>
            </a:rPr>
            <a:t>to dolomite compartments: 132 700 M//a = 39%</a:t>
          </a:r>
        </a:p>
        <a:p>
          <a:r>
            <a:rPr lang="en-ZA" sz="1100" b="0" i="0" u="none" strike="noStrike" baseline="0" smtClean="0">
              <a:solidFill>
                <a:schemeClr val="dk1"/>
              </a:solidFill>
              <a:latin typeface="+mn-lt"/>
              <a:ea typeface="+mn-ea"/>
              <a:cs typeface="+mn-cs"/>
            </a:rPr>
            <a:t>lost by evaporative cooling or</a:t>
          </a:r>
        </a:p>
        <a:p>
          <a:r>
            <a:rPr lang="en-ZA" sz="1100" b="0" i="0" u="none" strike="noStrike" baseline="0" smtClean="0">
              <a:solidFill>
                <a:schemeClr val="dk1"/>
              </a:solidFill>
              <a:latin typeface="+mn-lt"/>
              <a:ea typeface="+mn-ea"/>
              <a:cs typeface="+mn-cs"/>
            </a:rPr>
            <a:t>with ventilation air: 34 000 M//a = 10%</a:t>
          </a:r>
        </a:p>
        <a:p>
          <a:r>
            <a:rPr lang="en-ZA" sz="1100" b="0" i="0" u="none" strike="noStrike" baseline="0" smtClean="0">
              <a:solidFill>
                <a:schemeClr val="dk1"/>
              </a:solidFill>
              <a:latin typeface="+mn-lt"/>
              <a:ea typeface="+mn-ea"/>
              <a:cs typeface="+mn-cs"/>
            </a:rPr>
            <a:t>to tailings and evaporation dams: 170 000 M//a = 51%</a:t>
          </a:r>
        </a:p>
        <a:p>
          <a:r>
            <a:rPr lang="en-ZA" sz="1100" b="0" i="0" u="none" strike="noStrike" baseline="0" smtClean="0">
              <a:solidFill>
                <a:schemeClr val="dk1"/>
              </a:solidFill>
              <a:latin typeface="+mn-lt"/>
              <a:ea typeface="+mn-ea"/>
              <a:cs typeface="+mn-cs"/>
            </a:rPr>
            <a:t>336 700 M//a</a:t>
          </a:r>
          <a:endParaRPr lang="en-ZA" sz="1100"/>
        </a:p>
      </xdr:txBody>
    </xdr:sp>
    <xdr:clientData/>
  </xdr:twoCellAnchor>
  <xdr:twoCellAnchor editAs="oneCell">
    <xdr:from>
      <xdr:col>15</xdr:col>
      <xdr:colOff>523875</xdr:colOff>
      <xdr:row>0</xdr:row>
      <xdr:rowOff>0</xdr:rowOff>
    </xdr:from>
    <xdr:to>
      <xdr:col>22</xdr:col>
      <xdr:colOff>153615</xdr:colOff>
      <xdr:row>19</xdr:row>
      <xdr:rowOff>9524</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3896940" cy="3629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85725</xdr:colOff>
      <xdr:row>3</xdr:row>
      <xdr:rowOff>9525</xdr:rowOff>
    </xdr:from>
    <xdr:to>
      <xdr:col>15</xdr:col>
      <xdr:colOff>278130</xdr:colOff>
      <xdr:row>19</xdr:row>
      <xdr:rowOff>92710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581025"/>
          <a:ext cx="4459605" cy="3131185"/>
        </a:xfrm>
        <a:prstGeom prst="rect">
          <a:avLst/>
        </a:prstGeom>
        <a:noFill/>
        <a:ln>
          <a:noFill/>
        </a:ln>
      </xdr:spPr>
    </xdr:pic>
    <xdr:clientData/>
  </xdr:twoCellAnchor>
  <xdr:twoCellAnchor editAs="oneCell">
    <xdr:from>
      <xdr:col>17</xdr:col>
      <xdr:colOff>200025</xdr:colOff>
      <xdr:row>0</xdr:row>
      <xdr:rowOff>0</xdr:rowOff>
    </xdr:from>
    <xdr:to>
      <xdr:col>26</xdr:col>
      <xdr:colOff>441502</xdr:colOff>
      <xdr:row>27</xdr:row>
      <xdr:rowOff>38100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63225" y="0"/>
          <a:ext cx="5727877" cy="51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428626</xdr:rowOff>
    </xdr:from>
    <xdr:to>
      <xdr:col>11</xdr:col>
      <xdr:colOff>539820</xdr:colOff>
      <xdr:row>117</xdr:row>
      <xdr:rowOff>114300</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021176"/>
          <a:ext cx="8426520" cy="5638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19049</xdr:colOff>
      <xdr:row>55</xdr:row>
      <xdr:rowOff>76200</xdr:rowOff>
    </xdr:from>
    <xdr:to>
      <xdr:col>8</xdr:col>
      <xdr:colOff>523874</xdr:colOff>
      <xdr:row>79</xdr:row>
      <xdr:rowOff>28245</xdr:rowOff>
    </xdr:to>
    <xdr:pic>
      <xdr:nvPicPr>
        <xdr:cNvPr id="6"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49" y="11220450"/>
          <a:ext cx="6562725" cy="4952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35</xdr:row>
      <xdr:rowOff>57150</xdr:rowOff>
    </xdr:from>
    <xdr:to>
      <xdr:col>7</xdr:col>
      <xdr:colOff>361950</xdr:colOff>
      <xdr:row>54</xdr:row>
      <xdr:rowOff>152400</xdr:rowOff>
    </xdr:to>
    <xdr:pic>
      <xdr:nvPicPr>
        <xdr:cNvPr id="7" name="Picture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625" y="6724650"/>
          <a:ext cx="5762625"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152400</xdr:colOff>
      <xdr:row>29</xdr:row>
      <xdr:rowOff>180975</xdr:rowOff>
    </xdr:from>
    <xdr:to>
      <xdr:col>22</xdr:col>
      <xdr:colOff>600075</xdr:colOff>
      <xdr:row>44</xdr:row>
      <xdr:rowOff>57151</xdr:rowOff>
    </xdr:to>
    <xdr:sp macro="" textlink="">
      <xdr:nvSpPr>
        <xdr:cNvPr id="4" name="TextBox 3"/>
        <xdr:cNvSpPr txBox="1"/>
      </xdr:nvSpPr>
      <xdr:spPr>
        <a:xfrm>
          <a:off x="6819900" y="5705475"/>
          <a:ext cx="8372475" cy="2733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SO2 technology abatement unit costs</a:t>
          </a:r>
          <a:endParaRPr lang="en-GB"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Eskom’s latest revised SO2 abatement unit cost estimates are based on a study done by E.ON Engineering (E.ON, 2007) for the Kendal FGD retrofit. However, the E.ON study </a:t>
          </a:r>
          <a:r>
            <a:rPr lang="en-US" sz="1100" i="1">
              <a:solidFill>
                <a:schemeClr val="dk1"/>
              </a:solidFill>
              <a:effectLst/>
              <a:latin typeface="+mn-lt"/>
              <a:ea typeface="+mn-ea"/>
              <a:cs typeface="+mn-cs"/>
            </a:rPr>
            <a:t>“…only considered the Flue Gas Desulfurization (FGD) island in itself and did not consider the balance of plant such as materials handling, water management, waste treatment and storage, auxiliary power requirements, civil and structural considerations etc</a:t>
          </a:r>
          <a:r>
            <a:rPr lang="en-US" sz="1100">
              <a:solidFill>
                <a:schemeClr val="dk1"/>
              </a:solidFill>
              <a:effectLst/>
              <a:latin typeface="+mn-lt"/>
              <a:ea typeface="+mn-ea"/>
              <a:cs typeface="+mn-cs"/>
            </a:rPr>
            <a:t>.” (Patel, 2013) Eskom utilized the total CAPEX estimated by E.ON, and adjusted the results for inflation to express in 2012 values and included a “Balance of Plant” provision as well as an “Owner Development Costs” to calculate more realistic estimates.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Therefore, according to Eskom, estimated CAPEX unit costs for SO2 abatement range from R1 057/kW for In-­‐Duct technology with a 30% efficiency, R3 155/kW for semi-­‐dry FGD with a 90% efficiency and R4 165/kW for Wet FGD with a 90% efficiency. OPEX unit costs for SO2 abatement were estimated at R107/kW/yr for Wet FGD, R118/kW/yr for In-­‐Duct and R169/kW/yr for semi-­‐dry FGD. OPEX includes the cost of the sorbent (limestone/lime), additional water, increase in auxiliary power consumption and wastewater treatment.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2012 ZAR</a:t>
          </a:r>
        </a:p>
        <a:p>
          <a:r>
            <a:rPr lang="en-GB" sz="1100">
              <a:solidFill>
                <a:schemeClr val="dk1"/>
              </a:solidFill>
              <a:effectLst/>
              <a:latin typeface="+mn-lt"/>
              <a:ea typeface="+mn-ea"/>
              <a:cs typeface="+mn-cs"/>
            </a:rPr>
            <a:t>A REVIEW OF ABATEMENT COST ESTIMATES FOR PMNOx and SO2 CONTROL AT ESKOM COALFIRED POWER STATIONS FINAL REPORT- iliso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433536\Google%20Drive\SATIM\Model%20Files\DMD_PRJ%20-%20Cop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nswerTIMESv6\Answer_Databases\WB\SATIM_20140819runs-copy\TCH_PWR-WA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swerTIMESv6\Answer_Databases\WB\SATIM-W\SATWFS\TCH_WATSUP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REGIONS"/>
      <sheetName val="Index"/>
      <sheetName val="FromCGE"/>
      <sheetName val="ITEMS_AGR"/>
      <sheetName val="AGR"/>
      <sheetName val="ITEMS_IND"/>
      <sheetName val="IND"/>
      <sheetName val="ITEMS_RES"/>
      <sheetName val="RES"/>
      <sheetName val="ITEMS_COM"/>
      <sheetName val="COM"/>
      <sheetName val="ITEMS_TRA"/>
      <sheetName val="FTRA"/>
      <sheetName val="PTRA"/>
      <sheetName val="OtherTRA"/>
    </sheetNames>
    <sheetDataSet>
      <sheetData sheetId="0" refreshError="1"/>
      <sheetData sheetId="1" refreshError="1"/>
      <sheetData sheetId="2">
        <row r="7">
          <cell r="C7">
            <v>1</v>
          </cell>
        </row>
        <row r="8">
          <cell r="C8">
            <v>1</v>
          </cell>
        </row>
        <row r="9">
          <cell r="C9">
            <v>1</v>
          </cell>
        </row>
        <row r="10">
          <cell r="C10">
            <v>1</v>
          </cell>
        </row>
        <row r="11">
          <cell r="C11">
            <v>1</v>
          </cell>
        </row>
      </sheetData>
      <sheetData sheetId="3">
        <row r="5">
          <cell r="J5" t="str">
            <v>Greenshoots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 capacity basic data"/>
      <sheetName val="PWR"/>
      <sheetName val="ITEMS_Teche"/>
      <sheetName val="TS ETech"/>
      <sheetName val="TID ETech"/>
      <sheetName val="ITEMS_Comm"/>
      <sheetName val="New Capacity basic data"/>
      <sheetName val="Inga"/>
      <sheetName val="OtherRegionalProjects"/>
      <sheetName val="NT_PWR"/>
      <sheetName val="ITEMS_Techn"/>
      <sheetName val="TS INVFX"/>
      <sheetName val="TS INVFX_5yr"/>
      <sheetName val="TS INVFX_IRP"/>
      <sheetName val="TS NTech"/>
      <sheetName val="TS NTechICost"/>
      <sheetName val="TID NTech"/>
      <sheetName val="ITEMS GRP"/>
      <sheetName val="TS Othere"/>
      <sheetName val="TID Othere"/>
      <sheetName val="ITEMS UC"/>
      <sheetName val="TS UC"/>
      <sheetName val="TID UC"/>
      <sheetName val="ITEMS UC_BLIPPP"/>
      <sheetName val="TS UC_BLIPPP"/>
      <sheetName val="TID UC_BLIPPP"/>
      <sheetName val="REAvail"/>
      <sheetName val="REAvail (2)"/>
      <sheetName val="TS REAvail"/>
      <sheetName val="REAvail_10TS"/>
      <sheetName val="REAvail_10TS (2)"/>
      <sheetName val="TS REAvail_10TS"/>
      <sheetName val="REGIONS"/>
      <sheetName val="NameConv"/>
      <sheetName val="Deflator"/>
      <sheetName val="EskomCoalEff"/>
      <sheetName val="Analytica_Input"/>
      <sheetName val="LogofChanges"/>
    </sheetNames>
    <sheetDataSet>
      <sheetData sheetId="0"/>
      <sheetData sheetId="1"/>
      <sheetData sheetId="2"/>
      <sheetData sheetId="3"/>
      <sheetData sheetId="4"/>
      <sheetData sheetId="5"/>
      <sheetData sheetId="6">
        <row r="9">
          <cell r="B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Climate"/>
      <sheetName val="TechWAT"/>
      <sheetName val="RegionInfo"/>
      <sheetName val="_GLOBAL-Items"/>
      <sheetName val="_GLOBAL-TSData"/>
      <sheetName val="_GLOBAL-TIDData"/>
      <sheetName val="REGION1-Items"/>
      <sheetName val="REGION1-TSData"/>
      <sheetName val="REGION1-TIDData"/>
      <sheetName val="Trade-TSData"/>
      <sheetName val="Trade-TIDData"/>
    </sheetNames>
    <sheetDataSet>
      <sheetData sheetId="0" refreshError="1">
        <row r="6">
          <cell r="A6" t="str">
            <v>A</v>
          </cell>
          <cell r="B6">
            <v>0.98</v>
          </cell>
        </row>
        <row r="7">
          <cell r="A7" t="str">
            <v>B</v>
          </cell>
          <cell r="B7">
            <v>0.995</v>
          </cell>
        </row>
        <row r="8">
          <cell r="A8" t="str">
            <v>C</v>
          </cell>
          <cell r="B8">
            <v>1</v>
          </cell>
        </row>
        <row r="9">
          <cell r="A9" t="str">
            <v>D</v>
          </cell>
          <cell r="B9">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3:F33"/>
  <sheetViews>
    <sheetView topLeftCell="P28" zoomScaleNormal="100" workbookViewId="0">
      <selection activeCell="AC68" sqref="AC68"/>
    </sheetView>
  </sheetViews>
  <sheetFormatPr defaultRowHeight="15" x14ac:dyDescent="0.25"/>
  <cols>
    <col min="1" max="1" width="17.85546875" customWidth="1"/>
    <col min="2" max="2" width="13.28515625" customWidth="1"/>
    <col min="3" max="3" width="29.42578125" customWidth="1"/>
  </cols>
  <sheetData>
    <row r="3" spans="1:4" x14ac:dyDescent="0.25">
      <c r="A3" t="s">
        <v>53</v>
      </c>
      <c r="B3" t="s">
        <v>54</v>
      </c>
      <c r="C3" t="s">
        <v>55</v>
      </c>
      <c r="D3" t="s">
        <v>56</v>
      </c>
    </row>
    <row r="4" spans="1:4" x14ac:dyDescent="0.25">
      <c r="A4" t="s">
        <v>57</v>
      </c>
      <c r="B4">
        <v>1</v>
      </c>
      <c r="C4" t="s">
        <v>58</v>
      </c>
      <c r="D4" t="s">
        <v>59</v>
      </c>
    </row>
    <row r="5" spans="1:4" x14ac:dyDescent="0.25">
      <c r="A5" t="s">
        <v>60</v>
      </c>
      <c r="B5">
        <v>2</v>
      </c>
      <c r="C5" t="s">
        <v>61</v>
      </c>
      <c r="D5" t="s">
        <v>59</v>
      </c>
    </row>
    <row r="6" spans="1:4" x14ac:dyDescent="0.25">
      <c r="A6" t="s">
        <v>62</v>
      </c>
      <c r="B6">
        <v>5</v>
      </c>
      <c r="C6" t="s">
        <v>63</v>
      </c>
      <c r="D6" t="s">
        <v>59</v>
      </c>
    </row>
    <row r="7" spans="1:4" x14ac:dyDescent="0.25">
      <c r="A7" t="s">
        <v>64</v>
      </c>
      <c r="B7">
        <v>4</v>
      </c>
      <c r="C7" t="s">
        <v>65</v>
      </c>
      <c r="D7" t="s">
        <v>59</v>
      </c>
    </row>
    <row r="8" spans="1:4" x14ac:dyDescent="0.25">
      <c r="A8" t="s">
        <v>66</v>
      </c>
      <c r="B8">
        <v>6</v>
      </c>
      <c r="C8" t="s">
        <v>67</v>
      </c>
      <c r="D8" t="s">
        <v>68</v>
      </c>
    </row>
    <row r="9" spans="1:4" x14ac:dyDescent="0.25">
      <c r="A9" s="6" t="s">
        <v>69</v>
      </c>
      <c r="B9" s="7" t="s">
        <v>70</v>
      </c>
      <c r="C9" s="6" t="s">
        <v>71</v>
      </c>
      <c r="D9" s="6" t="s">
        <v>72</v>
      </c>
    </row>
    <row r="10" spans="1:4" x14ac:dyDescent="0.25">
      <c r="A10" t="s">
        <v>73</v>
      </c>
      <c r="B10">
        <v>6</v>
      </c>
      <c r="C10" t="s">
        <v>74</v>
      </c>
      <c r="D10" t="s">
        <v>75</v>
      </c>
    </row>
    <row r="11" spans="1:4" x14ac:dyDescent="0.25">
      <c r="A11" s="8"/>
    </row>
    <row r="16" spans="1:4" x14ac:dyDescent="0.25">
      <c r="A16" t="s">
        <v>53</v>
      </c>
      <c r="B16" t="s">
        <v>54</v>
      </c>
      <c r="C16" t="s">
        <v>55</v>
      </c>
      <c r="D16" t="s">
        <v>56</v>
      </c>
    </row>
    <row r="17" spans="1:4" x14ac:dyDescent="0.25">
      <c r="A17" t="s">
        <v>57</v>
      </c>
      <c r="B17">
        <v>1</v>
      </c>
      <c r="C17" t="s">
        <v>58</v>
      </c>
      <c r="D17" t="s">
        <v>59</v>
      </c>
    </row>
    <row r="18" spans="1:4" x14ac:dyDescent="0.25">
      <c r="A18" t="s">
        <v>60</v>
      </c>
      <c r="B18">
        <v>2</v>
      </c>
      <c r="C18" t="s">
        <v>76</v>
      </c>
      <c r="D18" t="s">
        <v>59</v>
      </c>
    </row>
    <row r="19" spans="1:4" x14ac:dyDescent="0.25">
      <c r="A19" t="s">
        <v>62</v>
      </c>
      <c r="B19">
        <v>5</v>
      </c>
      <c r="C19" t="s">
        <v>77</v>
      </c>
      <c r="D19" t="s">
        <v>59</v>
      </c>
    </row>
    <row r="20" spans="1:4" x14ac:dyDescent="0.25">
      <c r="A20" t="s">
        <v>64</v>
      </c>
      <c r="B20">
        <v>6</v>
      </c>
      <c r="C20" t="s">
        <v>67</v>
      </c>
      <c r="D20" t="s">
        <v>68</v>
      </c>
    </row>
    <row r="21" spans="1:4" x14ac:dyDescent="0.25">
      <c r="A21" t="s">
        <v>78</v>
      </c>
      <c r="B21">
        <v>6</v>
      </c>
      <c r="C21" t="s">
        <v>74</v>
      </c>
      <c r="D21" t="s">
        <v>75</v>
      </c>
    </row>
    <row r="22" spans="1:4" x14ac:dyDescent="0.25">
      <c r="A22" t="s">
        <v>79</v>
      </c>
      <c r="B22">
        <v>4</v>
      </c>
      <c r="C22" t="s">
        <v>65</v>
      </c>
      <c r="D22" t="s">
        <v>59</v>
      </c>
    </row>
    <row r="33" spans="6:6" x14ac:dyDescent="0.25">
      <c r="F33" t="s">
        <v>80</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74"/>
  <sheetViews>
    <sheetView topLeftCell="A7" zoomScale="70" zoomScaleNormal="70" workbookViewId="0">
      <selection activeCell="B47" sqref="B47"/>
    </sheetView>
  </sheetViews>
  <sheetFormatPr defaultRowHeight="15" x14ac:dyDescent="0.25"/>
  <cols>
    <col min="1" max="1" width="28.5703125" bestFit="1" customWidth="1"/>
    <col min="2" max="2" width="28.5703125" customWidth="1"/>
    <col min="3" max="3" width="21" bestFit="1" customWidth="1"/>
    <col min="4" max="4" width="16.7109375" customWidth="1"/>
    <col min="5" max="5" width="13.7109375" bestFit="1" customWidth="1"/>
    <col min="6" max="6" width="17.28515625" customWidth="1"/>
    <col min="7" max="7" width="17" customWidth="1"/>
    <col min="8" max="8" width="12.42578125" bestFit="1" customWidth="1"/>
    <col min="9" max="9" width="17.42578125" customWidth="1"/>
    <col min="10" max="11" width="12.42578125" customWidth="1"/>
    <col min="12" max="23" width="12.42578125" bestFit="1" customWidth="1"/>
  </cols>
  <sheetData>
    <row r="1" spans="1:23" x14ac:dyDescent="0.25">
      <c r="A1" s="26" t="s">
        <v>114</v>
      </c>
      <c r="I1">
        <f>$B$10*$B$17</f>
        <v>43950</v>
      </c>
    </row>
    <row r="2" spans="1:23" x14ac:dyDescent="0.25">
      <c r="A2" s="5" t="s">
        <v>52</v>
      </c>
    </row>
    <row r="3" spans="1:23" x14ac:dyDescent="0.25">
      <c r="A3" t="s">
        <v>12</v>
      </c>
      <c r="C3" t="s">
        <v>18</v>
      </c>
      <c r="F3" t="s">
        <v>17</v>
      </c>
      <c r="I3" t="s">
        <v>232</v>
      </c>
    </row>
    <row r="4" spans="1:23" x14ac:dyDescent="0.25">
      <c r="C4" t="s">
        <v>19</v>
      </c>
      <c r="D4" t="s">
        <v>15</v>
      </c>
      <c r="E4" t="s">
        <v>14</v>
      </c>
      <c r="F4" t="s">
        <v>16</v>
      </c>
      <c r="G4" t="s">
        <v>15</v>
      </c>
      <c r="H4" t="s">
        <v>14</v>
      </c>
      <c r="I4" t="s">
        <v>15</v>
      </c>
      <c r="J4" t="s">
        <v>14</v>
      </c>
    </row>
    <row r="5" spans="1:23" x14ac:dyDescent="0.25">
      <c r="B5" t="s">
        <v>11</v>
      </c>
      <c r="C5" t="s">
        <v>127</v>
      </c>
      <c r="D5" t="s">
        <v>125</v>
      </c>
      <c r="E5" t="s">
        <v>132</v>
      </c>
      <c r="F5" t="s">
        <v>28</v>
      </c>
      <c r="G5" t="s">
        <v>126</v>
      </c>
      <c r="H5" t="s">
        <v>133</v>
      </c>
      <c r="I5" t="s">
        <v>26</v>
      </c>
      <c r="J5" t="s">
        <v>133</v>
      </c>
    </row>
    <row r="6" spans="1:23" x14ac:dyDescent="0.25">
      <c r="A6" s="40" t="s">
        <v>115</v>
      </c>
      <c r="B6" s="41">
        <v>146.5</v>
      </c>
      <c r="C6" s="42">
        <v>2142500000</v>
      </c>
      <c r="D6" s="42">
        <v>477549575</v>
      </c>
      <c r="E6" s="42"/>
      <c r="F6" s="42">
        <v>252314082</v>
      </c>
      <c r="G6" s="42">
        <v>5961614</v>
      </c>
      <c r="H6" s="43">
        <v>0.13</v>
      </c>
      <c r="I6" s="42">
        <v>10694500</v>
      </c>
      <c r="J6" s="43">
        <v>0.2</v>
      </c>
    </row>
    <row r="7" spans="1:23" x14ac:dyDescent="0.25">
      <c r="A7" s="40" t="s">
        <v>34</v>
      </c>
      <c r="B7" s="41">
        <v>14.65</v>
      </c>
      <c r="C7" s="42">
        <v>267812500</v>
      </c>
      <c r="D7" s="42">
        <v>47754957.5</v>
      </c>
      <c r="E7" s="42"/>
      <c r="F7" s="42">
        <v>25231408.199999999</v>
      </c>
      <c r="G7" s="42">
        <v>662401.5555555555</v>
      </c>
      <c r="H7" s="43"/>
      <c r="I7" s="42">
        <v>1069450</v>
      </c>
      <c r="J7" s="43"/>
    </row>
    <row r="8" spans="1:23" x14ac:dyDescent="0.25">
      <c r="A8" s="40" t="s">
        <v>35</v>
      </c>
      <c r="B8" s="41">
        <v>15</v>
      </c>
      <c r="C8" s="42">
        <v>294750000</v>
      </c>
      <c r="D8" s="42">
        <v>48990300</v>
      </c>
      <c r="E8" s="42"/>
      <c r="F8" s="42">
        <v>28723608</v>
      </c>
      <c r="G8" s="42">
        <v>736002</v>
      </c>
      <c r="H8" s="43"/>
      <c r="I8" s="42">
        <v>1095000</v>
      </c>
      <c r="J8" s="43"/>
    </row>
    <row r="9" spans="1:23" x14ac:dyDescent="0.25">
      <c r="B9" t="s">
        <v>122</v>
      </c>
    </row>
    <row r="10" spans="1:23" s="5" customFormat="1" x14ac:dyDescent="0.25">
      <c r="A10" s="46" t="s">
        <v>120</v>
      </c>
      <c r="B10" s="47">
        <f>B7*1000</f>
        <v>14650</v>
      </c>
      <c r="C10" s="48">
        <f>'TDS  vs Capex'!$D$65*C$7</f>
        <v>348650977.85492891</v>
      </c>
      <c r="D10" s="48">
        <f>'TDS  vs Capex'!$D$65*D$7</f>
        <v>62169662.094919287</v>
      </c>
      <c r="E10" s="48">
        <f>$B$10*$B$17*$B$16/$B$10*$B$18</f>
        <v>8.884615384615385</v>
      </c>
      <c r="F10" s="48">
        <f>'TDS  vs Capex'!$D$65*F$7</f>
        <v>32847440.435330208</v>
      </c>
      <c r="G10" s="48">
        <f>'TDS  vs Capex'!$D$65*G$7</f>
        <v>862345.67123293516</v>
      </c>
      <c r="H10" s="48">
        <f>H6</f>
        <v>0.13</v>
      </c>
      <c r="I10" s="48">
        <f>'TDS  vs Capex'!$D$65*I$7</f>
        <v>1392260.586294343</v>
      </c>
      <c r="J10" s="48">
        <f>J6</f>
        <v>0.2</v>
      </c>
      <c r="W10" s="39"/>
    </row>
    <row r="11" spans="1:23" s="5" customFormat="1" x14ac:dyDescent="0.25">
      <c r="A11" s="46" t="s">
        <v>121</v>
      </c>
      <c r="B11" s="47">
        <f>E15</f>
        <v>27932.054794520554</v>
      </c>
      <c r="C11" s="48">
        <f>'TDS  vs Capex'!$D$65*C$8</f>
        <v>383719489.27977711</v>
      </c>
      <c r="D11" s="48">
        <f>'TDS  vs Capex'!$D$65*D$8</f>
        <v>63777889.383080795</v>
      </c>
      <c r="E11" s="48">
        <f>E10</f>
        <v>8.884615384615385</v>
      </c>
      <c r="F11" s="48">
        <f>'TDS  vs Capex'!$D$65*F$8</f>
        <v>37393751.287642136</v>
      </c>
      <c r="G11" s="48">
        <f>'TDS  vs Capex'!$D$65*G$8</f>
        <v>958162.21051363694</v>
      </c>
      <c r="H11" s="48">
        <f>H6</f>
        <v>0.13</v>
      </c>
      <c r="I11" s="48">
        <f>'TDS  vs Capex'!$D$65*I$8</f>
        <v>1425522.7846017163</v>
      </c>
      <c r="J11" s="48">
        <f>J6</f>
        <v>0.2</v>
      </c>
      <c r="W11" s="39"/>
    </row>
    <row r="12" spans="1:23" s="5" customFormat="1" x14ac:dyDescent="0.25">
      <c r="B12" s="27"/>
      <c r="C12" s="44"/>
      <c r="D12" s="44"/>
      <c r="E12" s="44"/>
      <c r="F12" s="44"/>
      <c r="G12" s="44"/>
      <c r="H12" s="44"/>
      <c r="I12" s="44"/>
      <c r="J12" s="38"/>
      <c r="K12" s="38"/>
      <c r="R12" s="38"/>
      <c r="U12" s="39"/>
    </row>
    <row r="13" spans="1:23" x14ac:dyDescent="0.25">
      <c r="A13" s="45" t="s">
        <v>20</v>
      </c>
      <c r="B13" s="5">
        <v>0.08</v>
      </c>
      <c r="D13" s="1"/>
      <c r="G13" s="1"/>
      <c r="K13" s="1"/>
      <c r="U13" s="2"/>
    </row>
    <row r="14" spans="1:23" x14ac:dyDescent="0.25">
      <c r="A14" s="45" t="s">
        <v>21</v>
      </c>
      <c r="B14" s="5">
        <v>20</v>
      </c>
      <c r="D14" s="8" t="s">
        <v>134</v>
      </c>
      <c r="E14">
        <f>'Shale gas'!X28</f>
        <v>509.76000000000005</v>
      </c>
      <c r="F14" t="s">
        <v>94</v>
      </c>
      <c r="G14" s="1"/>
      <c r="K14" s="1"/>
      <c r="O14" s="1"/>
      <c r="R14" s="2"/>
    </row>
    <row r="15" spans="1:23" x14ac:dyDescent="0.25">
      <c r="A15" s="45" t="s">
        <v>27</v>
      </c>
      <c r="B15" s="5">
        <v>0.95</v>
      </c>
      <c r="D15" s="1" t="s">
        <v>135</v>
      </c>
      <c r="E15">
        <f>1000000*E14/(B14*365 )*0.4</f>
        <v>27932.054794520554</v>
      </c>
      <c r="F15" t="s">
        <v>122</v>
      </c>
      <c r="G15" s="1">
        <f>B6*1000</f>
        <v>146500</v>
      </c>
      <c r="K15" s="1"/>
      <c r="R15" s="1"/>
      <c r="U15" s="2"/>
    </row>
    <row r="16" spans="1:23" x14ac:dyDescent="0.25">
      <c r="A16" s="45" t="s">
        <v>117</v>
      </c>
      <c r="B16" s="5">
        <v>1</v>
      </c>
      <c r="D16" s="1"/>
      <c r="E16">
        <f>E15/1000</f>
        <v>27.932054794520553</v>
      </c>
      <c r="F16" t="s">
        <v>136</v>
      </c>
      <c r="G16" s="1"/>
      <c r="K16" s="1"/>
      <c r="R16" s="1"/>
      <c r="U16" s="2"/>
    </row>
    <row r="17" spans="1:25" x14ac:dyDescent="0.25">
      <c r="A17" s="45" t="s">
        <v>118</v>
      </c>
      <c r="B17" s="5">
        <v>3</v>
      </c>
      <c r="G17" s="1"/>
      <c r="K17" s="1"/>
      <c r="R17" s="1"/>
      <c r="U17" s="2"/>
    </row>
    <row r="18" spans="1:25" x14ac:dyDescent="0.25">
      <c r="A18" s="45" t="s">
        <v>123</v>
      </c>
      <c r="B18" s="27">
        <f>(26+C18)/26</f>
        <v>2.9615384615384617</v>
      </c>
      <c r="C18" s="53">
        <f>D18*(7+13+14)</f>
        <v>51</v>
      </c>
      <c r="D18">
        <v>1.5</v>
      </c>
      <c r="G18" s="1"/>
      <c r="K18" s="1"/>
      <c r="R18" s="1"/>
      <c r="U18" s="2"/>
    </row>
    <row r="19" spans="1:25" x14ac:dyDescent="0.25">
      <c r="A19" s="5"/>
      <c r="B19" s="27"/>
      <c r="C19" s="53"/>
      <c r="G19" s="1"/>
      <c r="K19" s="1"/>
      <c r="R19" s="1"/>
      <c r="U19" s="2"/>
    </row>
    <row r="20" spans="1:25" x14ac:dyDescent="0.25">
      <c r="A20" s="5" t="s">
        <v>124</v>
      </c>
      <c r="D20" s="1"/>
      <c r="G20" s="1"/>
      <c r="K20" s="1"/>
      <c r="R20" s="1"/>
      <c r="U20" s="2"/>
    </row>
    <row r="21" spans="1:25" x14ac:dyDescent="0.25">
      <c r="A21" s="45" t="s">
        <v>22</v>
      </c>
      <c r="C21">
        <v>0</v>
      </c>
      <c r="D21">
        <f>1+C21</f>
        <v>1</v>
      </c>
      <c r="E21">
        <f t="shared" ref="E21:W21" si="0">1+D21</f>
        <v>2</v>
      </c>
      <c r="F21">
        <f t="shared" si="0"/>
        <v>3</v>
      </c>
      <c r="G21">
        <f t="shared" si="0"/>
        <v>4</v>
      </c>
      <c r="H21">
        <f t="shared" si="0"/>
        <v>5</v>
      </c>
      <c r="I21">
        <f t="shared" si="0"/>
        <v>6</v>
      </c>
      <c r="J21">
        <f t="shared" si="0"/>
        <v>7</v>
      </c>
      <c r="K21">
        <f t="shared" si="0"/>
        <v>8</v>
      </c>
      <c r="L21">
        <f t="shared" si="0"/>
        <v>9</v>
      </c>
      <c r="M21">
        <f t="shared" si="0"/>
        <v>10</v>
      </c>
      <c r="N21">
        <f t="shared" si="0"/>
        <v>11</v>
      </c>
      <c r="O21">
        <f t="shared" si="0"/>
        <v>12</v>
      </c>
      <c r="P21">
        <f t="shared" si="0"/>
        <v>13</v>
      </c>
      <c r="Q21">
        <f t="shared" si="0"/>
        <v>14</v>
      </c>
      <c r="R21">
        <f t="shared" si="0"/>
        <v>15</v>
      </c>
      <c r="S21">
        <f>1+R21</f>
        <v>16</v>
      </c>
      <c r="T21">
        <f t="shared" si="0"/>
        <v>17</v>
      </c>
      <c r="U21">
        <f t="shared" si="0"/>
        <v>18</v>
      </c>
      <c r="V21">
        <f t="shared" si="0"/>
        <v>19</v>
      </c>
      <c r="W21">
        <f t="shared" si="0"/>
        <v>20</v>
      </c>
      <c r="X21">
        <f t="shared" ref="X21" si="1">1+W21</f>
        <v>21</v>
      </c>
      <c r="Y21">
        <f t="shared" ref="Y21" si="2">1+X21</f>
        <v>22</v>
      </c>
    </row>
    <row r="22" spans="1:25" x14ac:dyDescent="0.25">
      <c r="A22" s="45" t="s">
        <v>23</v>
      </c>
      <c r="C22" s="3">
        <v>0</v>
      </c>
      <c r="D22" s="3">
        <v>0</v>
      </c>
      <c r="E22" s="3">
        <f t="shared" ref="E22:W22" si="3">$B$11*365*$B$15</f>
        <v>9685440.0000000019</v>
      </c>
      <c r="F22" s="3">
        <f t="shared" si="3"/>
        <v>9685440.0000000019</v>
      </c>
      <c r="G22" s="3">
        <f t="shared" si="3"/>
        <v>9685440.0000000019</v>
      </c>
      <c r="H22" s="3">
        <f t="shared" si="3"/>
        <v>9685440.0000000019</v>
      </c>
      <c r="I22" s="3">
        <f t="shared" si="3"/>
        <v>9685440.0000000019</v>
      </c>
      <c r="J22" s="3">
        <f t="shared" si="3"/>
        <v>9685440.0000000019</v>
      </c>
      <c r="K22" s="3">
        <f t="shared" si="3"/>
        <v>9685440.0000000019</v>
      </c>
      <c r="L22" s="3">
        <f t="shared" si="3"/>
        <v>9685440.0000000019</v>
      </c>
      <c r="M22" s="3">
        <f t="shared" si="3"/>
        <v>9685440.0000000019</v>
      </c>
      <c r="N22" s="3">
        <f t="shared" si="3"/>
        <v>9685440.0000000019</v>
      </c>
      <c r="O22" s="3">
        <f t="shared" si="3"/>
        <v>9685440.0000000019</v>
      </c>
      <c r="P22" s="3">
        <f t="shared" si="3"/>
        <v>9685440.0000000019</v>
      </c>
      <c r="Q22" s="3">
        <f t="shared" si="3"/>
        <v>9685440.0000000019</v>
      </c>
      <c r="R22" s="3">
        <f t="shared" si="3"/>
        <v>9685440.0000000019</v>
      </c>
      <c r="S22" s="3">
        <f t="shared" si="3"/>
        <v>9685440.0000000019</v>
      </c>
      <c r="T22" s="3">
        <f t="shared" si="3"/>
        <v>9685440.0000000019</v>
      </c>
      <c r="U22" s="3">
        <f t="shared" si="3"/>
        <v>9685440.0000000019</v>
      </c>
      <c r="V22" s="3">
        <f t="shared" si="3"/>
        <v>9685440.0000000019</v>
      </c>
      <c r="W22" s="3">
        <f t="shared" si="3"/>
        <v>9685440.0000000019</v>
      </c>
      <c r="X22" s="3">
        <f t="shared" ref="X22:Y22" si="4">$B$11*365*$B$15</f>
        <v>9685440.0000000019</v>
      </c>
      <c r="Y22" s="3">
        <f t="shared" si="4"/>
        <v>9685440.0000000019</v>
      </c>
    </row>
    <row r="23" spans="1:25" x14ac:dyDescent="0.25">
      <c r="A23" s="45" t="s">
        <v>10</v>
      </c>
      <c r="C23" s="1">
        <v>0</v>
      </c>
      <c r="D23" s="1">
        <v>0</v>
      </c>
      <c r="E23" s="1">
        <f>C11</f>
        <v>383719489.27977711</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row>
    <row r="24" spans="1:25" x14ac:dyDescent="0.25">
      <c r="A24" s="45" t="s">
        <v>28</v>
      </c>
      <c r="C24" s="1">
        <v>0</v>
      </c>
      <c r="D24" s="1">
        <v>0</v>
      </c>
      <c r="E24" s="1">
        <f>F11</f>
        <v>37393751.287642136</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row>
    <row r="25" spans="1:25" x14ac:dyDescent="0.25">
      <c r="A25" s="45" t="s">
        <v>24</v>
      </c>
      <c r="C25" s="1">
        <v>0</v>
      </c>
      <c r="D25" s="1">
        <v>0</v>
      </c>
      <c r="E25" s="1">
        <f>$D$11</f>
        <v>63777889.383080795</v>
      </c>
      <c r="F25" s="1">
        <f t="shared" ref="F25:Y25" si="5">$D$11</f>
        <v>63777889.383080795</v>
      </c>
      <c r="G25" s="1">
        <f t="shared" si="5"/>
        <v>63777889.383080795</v>
      </c>
      <c r="H25" s="1">
        <f t="shared" si="5"/>
        <v>63777889.383080795</v>
      </c>
      <c r="I25" s="1">
        <f t="shared" si="5"/>
        <v>63777889.383080795</v>
      </c>
      <c r="J25" s="1">
        <f t="shared" si="5"/>
        <v>63777889.383080795</v>
      </c>
      <c r="K25" s="1">
        <f t="shared" si="5"/>
        <v>63777889.383080795</v>
      </c>
      <c r="L25" s="1">
        <f t="shared" si="5"/>
        <v>63777889.383080795</v>
      </c>
      <c r="M25" s="1">
        <f t="shared" si="5"/>
        <v>63777889.383080795</v>
      </c>
      <c r="N25" s="1">
        <f t="shared" si="5"/>
        <v>63777889.383080795</v>
      </c>
      <c r="O25" s="1">
        <f t="shared" si="5"/>
        <v>63777889.383080795</v>
      </c>
      <c r="P25" s="1">
        <f t="shared" si="5"/>
        <v>63777889.383080795</v>
      </c>
      <c r="Q25" s="1">
        <f t="shared" si="5"/>
        <v>63777889.383080795</v>
      </c>
      <c r="R25" s="1">
        <f t="shared" si="5"/>
        <v>63777889.383080795</v>
      </c>
      <c r="S25" s="1">
        <f t="shared" si="5"/>
        <v>63777889.383080795</v>
      </c>
      <c r="T25" s="1">
        <f t="shared" si="5"/>
        <v>63777889.383080795</v>
      </c>
      <c r="U25" s="1">
        <f t="shared" si="5"/>
        <v>63777889.383080795</v>
      </c>
      <c r="V25" s="1">
        <f t="shared" si="5"/>
        <v>63777889.383080795</v>
      </c>
      <c r="W25" s="1">
        <f t="shared" si="5"/>
        <v>63777889.383080795</v>
      </c>
      <c r="X25" s="1">
        <f t="shared" si="5"/>
        <v>63777889.383080795</v>
      </c>
      <c r="Y25" s="1">
        <f t="shared" si="5"/>
        <v>63777889.383080795</v>
      </c>
    </row>
    <row r="26" spans="1:25" x14ac:dyDescent="0.25">
      <c r="A26" s="45" t="s">
        <v>25</v>
      </c>
      <c r="C26" s="1">
        <v>0</v>
      </c>
      <c r="D26" s="1">
        <v>0</v>
      </c>
      <c r="E26" s="1">
        <f>$G$11</f>
        <v>958162.21051363694</v>
      </c>
      <c r="F26" s="1">
        <f t="shared" ref="F26:Y26" si="6">$G$6</f>
        <v>5961614</v>
      </c>
      <c r="G26" s="1">
        <f t="shared" si="6"/>
        <v>5961614</v>
      </c>
      <c r="H26" s="1">
        <f t="shared" si="6"/>
        <v>5961614</v>
      </c>
      <c r="I26" s="1">
        <f t="shared" si="6"/>
        <v>5961614</v>
      </c>
      <c r="J26" s="1">
        <f t="shared" si="6"/>
        <v>5961614</v>
      </c>
      <c r="K26" s="1">
        <f t="shared" si="6"/>
        <v>5961614</v>
      </c>
      <c r="L26" s="1">
        <f t="shared" si="6"/>
        <v>5961614</v>
      </c>
      <c r="M26" s="1">
        <f t="shared" si="6"/>
        <v>5961614</v>
      </c>
      <c r="N26" s="1">
        <f t="shared" si="6"/>
        <v>5961614</v>
      </c>
      <c r="O26" s="1">
        <f t="shared" si="6"/>
        <v>5961614</v>
      </c>
      <c r="P26" s="1">
        <f t="shared" si="6"/>
        <v>5961614</v>
      </c>
      <c r="Q26" s="1">
        <f t="shared" si="6"/>
        <v>5961614</v>
      </c>
      <c r="R26" s="1">
        <f t="shared" si="6"/>
        <v>5961614</v>
      </c>
      <c r="S26" s="1">
        <f t="shared" si="6"/>
        <v>5961614</v>
      </c>
      <c r="T26" s="1">
        <f t="shared" si="6"/>
        <v>5961614</v>
      </c>
      <c r="U26" s="1">
        <f t="shared" si="6"/>
        <v>5961614</v>
      </c>
      <c r="V26" s="1">
        <f t="shared" si="6"/>
        <v>5961614</v>
      </c>
      <c r="W26" s="1">
        <f t="shared" si="6"/>
        <v>5961614</v>
      </c>
      <c r="X26" s="1">
        <f t="shared" si="6"/>
        <v>5961614</v>
      </c>
      <c r="Y26" s="1">
        <f t="shared" si="6"/>
        <v>5961614</v>
      </c>
    </row>
    <row r="27" spans="1:25" x14ac:dyDescent="0.25">
      <c r="A27" s="45" t="s">
        <v>128</v>
      </c>
      <c r="C27" s="28">
        <v>0</v>
      </c>
      <c r="D27" s="28">
        <v>0</v>
      </c>
      <c r="E27" s="28">
        <f>$E$11</f>
        <v>8.884615384615385</v>
      </c>
      <c r="F27" s="28">
        <f t="shared" ref="F27:Y27" si="7">$E$11</f>
        <v>8.884615384615385</v>
      </c>
      <c r="G27" s="28">
        <f t="shared" si="7"/>
        <v>8.884615384615385</v>
      </c>
      <c r="H27" s="28">
        <f t="shared" si="7"/>
        <v>8.884615384615385</v>
      </c>
      <c r="I27" s="28">
        <f t="shared" si="7"/>
        <v>8.884615384615385</v>
      </c>
      <c r="J27" s="28">
        <f t="shared" si="7"/>
        <v>8.884615384615385</v>
      </c>
      <c r="K27" s="28">
        <f t="shared" si="7"/>
        <v>8.884615384615385</v>
      </c>
      <c r="L27" s="28">
        <f t="shared" si="7"/>
        <v>8.884615384615385</v>
      </c>
      <c r="M27" s="28">
        <f t="shared" si="7"/>
        <v>8.884615384615385</v>
      </c>
      <c r="N27" s="28">
        <f t="shared" si="7"/>
        <v>8.884615384615385</v>
      </c>
      <c r="O27" s="28">
        <f t="shared" si="7"/>
        <v>8.884615384615385</v>
      </c>
      <c r="P27" s="28">
        <f t="shared" si="7"/>
        <v>8.884615384615385</v>
      </c>
      <c r="Q27" s="28">
        <f t="shared" si="7"/>
        <v>8.884615384615385</v>
      </c>
      <c r="R27" s="28">
        <f t="shared" si="7"/>
        <v>8.884615384615385</v>
      </c>
      <c r="S27" s="28">
        <f t="shared" si="7"/>
        <v>8.884615384615385</v>
      </c>
      <c r="T27" s="28">
        <f t="shared" si="7"/>
        <v>8.884615384615385</v>
      </c>
      <c r="U27" s="28">
        <f t="shared" si="7"/>
        <v>8.884615384615385</v>
      </c>
      <c r="V27" s="28">
        <f t="shared" si="7"/>
        <v>8.884615384615385</v>
      </c>
      <c r="W27" s="28">
        <f t="shared" si="7"/>
        <v>8.884615384615385</v>
      </c>
      <c r="X27" s="28">
        <f t="shared" si="7"/>
        <v>8.884615384615385</v>
      </c>
      <c r="Y27" s="28">
        <f t="shared" si="7"/>
        <v>8.884615384615385</v>
      </c>
    </row>
    <row r="28" spans="1:25" x14ac:dyDescent="0.25">
      <c r="A28" s="45" t="s">
        <v>129</v>
      </c>
      <c r="C28" s="28">
        <v>0</v>
      </c>
      <c r="D28" s="28">
        <v>0</v>
      </c>
      <c r="E28" s="28">
        <f>$H$11+$J$11</f>
        <v>0.33</v>
      </c>
      <c r="F28" s="28">
        <f t="shared" ref="F28:Y28" si="8">$H$11+$J$11</f>
        <v>0.33</v>
      </c>
      <c r="G28" s="28">
        <f t="shared" si="8"/>
        <v>0.33</v>
      </c>
      <c r="H28" s="28">
        <f t="shared" si="8"/>
        <v>0.33</v>
      </c>
      <c r="I28" s="28">
        <f t="shared" si="8"/>
        <v>0.33</v>
      </c>
      <c r="J28" s="28">
        <f t="shared" si="8"/>
        <v>0.33</v>
      </c>
      <c r="K28" s="28">
        <f t="shared" si="8"/>
        <v>0.33</v>
      </c>
      <c r="L28" s="28">
        <f t="shared" si="8"/>
        <v>0.33</v>
      </c>
      <c r="M28" s="28">
        <f t="shared" si="8"/>
        <v>0.33</v>
      </c>
      <c r="N28" s="28">
        <f t="shared" si="8"/>
        <v>0.33</v>
      </c>
      <c r="O28" s="28">
        <f t="shared" si="8"/>
        <v>0.33</v>
      </c>
      <c r="P28" s="28">
        <f t="shared" si="8"/>
        <v>0.33</v>
      </c>
      <c r="Q28" s="28">
        <f t="shared" si="8"/>
        <v>0.33</v>
      </c>
      <c r="R28" s="28">
        <f t="shared" si="8"/>
        <v>0.33</v>
      </c>
      <c r="S28" s="28">
        <f t="shared" si="8"/>
        <v>0.33</v>
      </c>
      <c r="T28" s="28">
        <f t="shared" si="8"/>
        <v>0.33</v>
      </c>
      <c r="U28" s="28">
        <f t="shared" si="8"/>
        <v>0.33</v>
      </c>
      <c r="V28" s="28">
        <f t="shared" si="8"/>
        <v>0.33</v>
      </c>
      <c r="W28" s="28">
        <f t="shared" si="8"/>
        <v>0.33</v>
      </c>
      <c r="X28" s="28">
        <f t="shared" si="8"/>
        <v>0.33</v>
      </c>
      <c r="Y28" s="28">
        <f t="shared" si="8"/>
        <v>0.33</v>
      </c>
    </row>
    <row r="30" spans="1:25" x14ac:dyDescent="0.25">
      <c r="A30" t="s">
        <v>30</v>
      </c>
      <c r="B30" s="4"/>
      <c r="C30">
        <f t="shared" ref="C30:W30" si="9">C22/(1+$B$13)^C$21</f>
        <v>0</v>
      </c>
      <c r="D30">
        <f t="shared" si="9"/>
        <v>0</v>
      </c>
      <c r="E30">
        <f t="shared" si="9"/>
        <v>8303703.7037037043</v>
      </c>
      <c r="F30">
        <f t="shared" si="9"/>
        <v>7688614.5404663924</v>
      </c>
      <c r="G30">
        <f t="shared" si="9"/>
        <v>7119087.5374688813</v>
      </c>
      <c r="H30">
        <f t="shared" si="9"/>
        <v>6591747.7198785944</v>
      </c>
      <c r="I30">
        <f t="shared" si="9"/>
        <v>6103470.1109986976</v>
      </c>
      <c r="J30">
        <f t="shared" si="9"/>
        <v>5651361.2138876822</v>
      </c>
      <c r="K30">
        <f t="shared" si="9"/>
        <v>5232741.8647108171</v>
      </c>
      <c r="L30">
        <f t="shared" si="9"/>
        <v>4845131.3562137196</v>
      </c>
      <c r="M30">
        <f t="shared" si="9"/>
        <v>4486232.7372349249</v>
      </c>
      <c r="N30">
        <f t="shared" si="9"/>
        <v>4153919.2011434492</v>
      </c>
      <c r="O30">
        <f t="shared" si="9"/>
        <v>3846221.4825402303</v>
      </c>
      <c r="P30">
        <f t="shared" si="9"/>
        <v>3561316.1875372506</v>
      </c>
      <c r="Q30">
        <f t="shared" si="9"/>
        <v>3297514.9884604164</v>
      </c>
      <c r="R30">
        <f t="shared" si="9"/>
        <v>3053254.6189448298</v>
      </c>
      <c r="S30">
        <f t="shared" si="9"/>
        <v>2827087.6101341019</v>
      </c>
      <c r="T30">
        <f t="shared" si="9"/>
        <v>2617673.7130871313</v>
      </c>
      <c r="U30">
        <f t="shared" si="9"/>
        <v>2423771.9565621582</v>
      </c>
      <c r="V30">
        <f t="shared" si="9"/>
        <v>2244233.2931131092</v>
      </c>
      <c r="W30">
        <f t="shared" si="9"/>
        <v>2077993.7899195459</v>
      </c>
      <c r="X30">
        <f t="shared" ref="X30:Y30" si="10">X22/(1+$B$13)^X$21</f>
        <v>1924068.3239995793</v>
      </c>
      <c r="Y30">
        <f t="shared" si="10"/>
        <v>1781544.7444440548</v>
      </c>
    </row>
    <row r="31" spans="1:25" x14ac:dyDescent="0.25">
      <c r="A31" t="s">
        <v>29</v>
      </c>
      <c r="B31" s="4">
        <f>SUM(C31:Y31)/SUM($C$30:$Y$30)</f>
        <v>3.6621962017960388</v>
      </c>
      <c r="C31">
        <f t="shared" ref="C31:W31" si="11">C23/(1+$B$13)^C$21</f>
        <v>0</v>
      </c>
      <c r="D31">
        <f t="shared" si="11"/>
        <v>0</v>
      </c>
      <c r="E31">
        <f t="shared" si="11"/>
        <v>328977614.26592684</v>
      </c>
      <c r="F31">
        <f t="shared" si="11"/>
        <v>0</v>
      </c>
      <c r="G31">
        <f t="shared" si="11"/>
        <v>0</v>
      </c>
      <c r="H31">
        <f t="shared" si="11"/>
        <v>0</v>
      </c>
      <c r="I31">
        <f t="shared" si="11"/>
        <v>0</v>
      </c>
      <c r="J31">
        <f t="shared" si="11"/>
        <v>0</v>
      </c>
      <c r="K31">
        <f t="shared" si="11"/>
        <v>0</v>
      </c>
      <c r="L31">
        <f t="shared" si="11"/>
        <v>0</v>
      </c>
      <c r="M31">
        <f t="shared" si="11"/>
        <v>0</v>
      </c>
      <c r="N31">
        <f t="shared" si="11"/>
        <v>0</v>
      </c>
      <c r="O31">
        <f t="shared" si="11"/>
        <v>0</v>
      </c>
      <c r="P31">
        <f t="shared" si="11"/>
        <v>0</v>
      </c>
      <c r="Q31">
        <f t="shared" si="11"/>
        <v>0</v>
      </c>
      <c r="R31">
        <f t="shared" si="11"/>
        <v>0</v>
      </c>
      <c r="S31">
        <f t="shared" si="11"/>
        <v>0</v>
      </c>
      <c r="T31">
        <f t="shared" si="11"/>
        <v>0</v>
      </c>
      <c r="U31">
        <f t="shared" si="11"/>
        <v>0</v>
      </c>
      <c r="V31">
        <f t="shared" si="11"/>
        <v>0</v>
      </c>
      <c r="W31">
        <f t="shared" si="11"/>
        <v>0</v>
      </c>
      <c r="X31">
        <f t="shared" ref="X31:Y31" si="12">X23/(1+$B$13)^X$21</f>
        <v>0</v>
      </c>
      <c r="Y31">
        <f t="shared" si="12"/>
        <v>0</v>
      </c>
    </row>
    <row r="32" spans="1:25" x14ac:dyDescent="0.25">
      <c r="A32" t="s">
        <v>31</v>
      </c>
      <c r="B32" s="4">
        <f t="shared" ref="B32:B36" si="13">SUM(C32:Y32)/SUM($C$30:$Y$30)</f>
        <v>0.35688375952325124</v>
      </c>
      <c r="C32">
        <f t="shared" ref="C32:W32" si="14">C24/(1+$B$13)^C$21</f>
        <v>0</v>
      </c>
      <c r="D32">
        <f t="shared" si="14"/>
        <v>0</v>
      </c>
      <c r="E32">
        <f t="shared" si="14"/>
        <v>32059114.615605395</v>
      </c>
      <c r="F32">
        <f t="shared" si="14"/>
        <v>0</v>
      </c>
      <c r="G32">
        <f t="shared" si="14"/>
        <v>0</v>
      </c>
      <c r="H32">
        <f t="shared" si="14"/>
        <v>0</v>
      </c>
      <c r="I32">
        <f t="shared" si="14"/>
        <v>0</v>
      </c>
      <c r="J32">
        <f t="shared" si="14"/>
        <v>0</v>
      </c>
      <c r="K32">
        <f t="shared" si="14"/>
        <v>0</v>
      </c>
      <c r="L32">
        <f t="shared" si="14"/>
        <v>0</v>
      </c>
      <c r="M32">
        <f t="shared" si="14"/>
        <v>0</v>
      </c>
      <c r="N32">
        <f t="shared" si="14"/>
        <v>0</v>
      </c>
      <c r="O32">
        <f t="shared" si="14"/>
        <v>0</v>
      </c>
      <c r="P32">
        <f t="shared" si="14"/>
        <v>0</v>
      </c>
      <c r="Q32">
        <f t="shared" si="14"/>
        <v>0</v>
      </c>
      <c r="R32">
        <f t="shared" si="14"/>
        <v>0</v>
      </c>
      <c r="S32">
        <f t="shared" si="14"/>
        <v>0</v>
      </c>
      <c r="T32">
        <f t="shared" si="14"/>
        <v>0</v>
      </c>
      <c r="U32">
        <f t="shared" si="14"/>
        <v>0</v>
      </c>
      <c r="V32">
        <f t="shared" si="14"/>
        <v>0</v>
      </c>
      <c r="W32">
        <f t="shared" si="14"/>
        <v>0</v>
      </c>
      <c r="X32">
        <f t="shared" ref="X32:Y32" si="15">X24/(1+$B$13)^X$21</f>
        <v>0</v>
      </c>
      <c r="Y32">
        <f t="shared" si="15"/>
        <v>0</v>
      </c>
    </row>
    <row r="33" spans="1:25" x14ac:dyDescent="0.25">
      <c r="A33" t="s">
        <v>32</v>
      </c>
      <c r="B33" s="4">
        <f t="shared" si="13"/>
        <v>6.5849243176438881</v>
      </c>
      <c r="C33">
        <f t="shared" ref="C33:W33" si="16">C25/(1+$B$13)^C$21</f>
        <v>0</v>
      </c>
      <c r="D33">
        <f t="shared" si="16"/>
        <v>0</v>
      </c>
      <c r="E33">
        <f t="shared" si="16"/>
        <v>54679260.445028111</v>
      </c>
      <c r="F33">
        <f t="shared" si="16"/>
        <v>50628944.85650751</v>
      </c>
      <c r="G33">
        <f t="shared" si="16"/>
        <v>46878652.644914359</v>
      </c>
      <c r="H33">
        <f t="shared" si="16"/>
        <v>43406159.856402181</v>
      </c>
      <c r="I33">
        <f t="shared" si="16"/>
        <v>40190888.755927943</v>
      </c>
      <c r="J33">
        <f t="shared" si="16"/>
        <v>37213785.885118462</v>
      </c>
      <c r="K33">
        <f t="shared" si="16"/>
        <v>34457209.152887464</v>
      </c>
      <c r="L33">
        <f t="shared" si="16"/>
        <v>31904823.289710615</v>
      </c>
      <c r="M33">
        <f t="shared" si="16"/>
        <v>29541503.046028346</v>
      </c>
      <c r="N33">
        <f t="shared" si="16"/>
        <v>27353243.561137356</v>
      </c>
      <c r="O33">
        <f t="shared" si="16"/>
        <v>25327077.371423475</v>
      </c>
      <c r="P33">
        <f t="shared" si="16"/>
        <v>23450997.566132847</v>
      </c>
      <c r="Q33">
        <f t="shared" si="16"/>
        <v>21713886.635308187</v>
      </c>
      <c r="R33">
        <f t="shared" si="16"/>
        <v>20105450.58824832</v>
      </c>
      <c r="S33">
        <f t="shared" si="16"/>
        <v>18616157.952081781</v>
      </c>
      <c r="T33">
        <f t="shared" si="16"/>
        <v>17237183.288964611</v>
      </c>
      <c r="U33">
        <f t="shared" si="16"/>
        <v>15960354.897189453</v>
      </c>
      <c r="V33">
        <f t="shared" si="16"/>
        <v>14778106.386286529</v>
      </c>
      <c r="W33">
        <f t="shared" si="16"/>
        <v>13683431.839154193</v>
      </c>
      <c r="X33">
        <f t="shared" ref="X33:Y33" si="17">X25/(1+$B$13)^X$21</f>
        <v>12669844.295513142</v>
      </c>
      <c r="Y33">
        <f t="shared" si="17"/>
        <v>11731337.310660316</v>
      </c>
    </row>
    <row r="34" spans="1:25" x14ac:dyDescent="0.25">
      <c r="A34" t="s">
        <v>33</v>
      </c>
      <c r="B34" s="4">
        <f t="shared" si="13"/>
        <v>0.56777065181595743</v>
      </c>
      <c r="C34">
        <f t="shared" ref="C34:W34" si="18">C26/(1+$B$13)^C$21</f>
        <v>0</v>
      </c>
      <c r="D34">
        <f t="shared" si="18"/>
        <v>0</v>
      </c>
      <c r="E34">
        <f t="shared" si="18"/>
        <v>821469.65921951039</v>
      </c>
      <c r="F34">
        <f t="shared" si="18"/>
        <v>4732521.4017172176</v>
      </c>
      <c r="G34">
        <f t="shared" si="18"/>
        <v>4381964.2608492747</v>
      </c>
      <c r="H34">
        <f t="shared" si="18"/>
        <v>4057374.3156011803</v>
      </c>
      <c r="I34">
        <f t="shared" si="18"/>
        <v>3756828.0700010927</v>
      </c>
      <c r="J34">
        <f t="shared" si="18"/>
        <v>3478544.5092602707</v>
      </c>
      <c r="K34">
        <f t="shared" si="18"/>
        <v>3220874.545611362</v>
      </c>
      <c r="L34">
        <f t="shared" si="18"/>
        <v>2982291.2459364459</v>
      </c>
      <c r="M34">
        <f t="shared" si="18"/>
        <v>2761380.7832744867</v>
      </c>
      <c r="N34">
        <f t="shared" si="18"/>
        <v>2556834.0585874878</v>
      </c>
      <c r="O34">
        <f t="shared" si="18"/>
        <v>2367438.9431365626</v>
      </c>
      <c r="P34">
        <f t="shared" si="18"/>
        <v>2192073.095496817</v>
      </c>
      <c r="Q34">
        <f t="shared" si="18"/>
        <v>2029697.3106452008</v>
      </c>
      <c r="R34">
        <f t="shared" si="18"/>
        <v>1879349.361708519</v>
      </c>
      <c r="S34">
        <f t="shared" si="18"/>
        <v>1740138.2978782584</v>
      </c>
      <c r="T34">
        <f t="shared" si="18"/>
        <v>1611239.1647020911</v>
      </c>
      <c r="U34">
        <f t="shared" si="18"/>
        <v>1491888.115464899</v>
      </c>
      <c r="V34">
        <f t="shared" si="18"/>
        <v>1381377.8846897213</v>
      </c>
      <c r="W34">
        <f t="shared" si="18"/>
        <v>1279053.5969349272</v>
      </c>
      <c r="X34">
        <f t="shared" ref="X34:Y34" si="19">X26/(1+$B$13)^X$21</f>
        <v>1184308.8860508583</v>
      </c>
      <c r="Y34">
        <f t="shared" si="19"/>
        <v>1096582.3018989428</v>
      </c>
    </row>
    <row r="35" spans="1:25" x14ac:dyDescent="0.25">
      <c r="A35" t="s">
        <v>130</v>
      </c>
      <c r="B35" s="4">
        <f t="shared" si="13"/>
        <v>9.17316651036544E-7</v>
      </c>
      <c r="C35">
        <f t="shared" ref="C35:R36" si="20">C27/(1+$B$13)^C$21</f>
        <v>0</v>
      </c>
      <c r="D35">
        <f t="shared" si="20"/>
        <v>0</v>
      </c>
      <c r="E35">
        <f t="shared" si="20"/>
        <v>7.6171256726812278</v>
      </c>
      <c r="F35">
        <f t="shared" si="20"/>
        <v>7.0528941413715067</v>
      </c>
      <c r="G35">
        <f t="shared" si="20"/>
        <v>6.5304575383069503</v>
      </c>
      <c r="H35">
        <f t="shared" si="20"/>
        <v>6.0467199428768055</v>
      </c>
      <c r="I35">
        <f t="shared" si="20"/>
        <v>5.5988147619229673</v>
      </c>
      <c r="J35">
        <f t="shared" si="20"/>
        <v>5.1840877425212666</v>
      </c>
      <c r="K35">
        <f t="shared" si="20"/>
        <v>4.8000812430752466</v>
      </c>
      <c r="L35">
        <f t="shared" si="20"/>
        <v>4.4445196695141167</v>
      </c>
      <c r="M35">
        <f t="shared" si="20"/>
        <v>4.115295990290849</v>
      </c>
      <c r="N35">
        <f t="shared" si="20"/>
        <v>3.8104592502693047</v>
      </c>
      <c r="O35">
        <f t="shared" si="20"/>
        <v>3.5282030095086148</v>
      </c>
      <c r="P35">
        <f t="shared" si="20"/>
        <v>3.2668546384339026</v>
      </c>
      <c r="Q35">
        <f t="shared" si="20"/>
        <v>3.0248654059573168</v>
      </c>
      <c r="R35">
        <f t="shared" si="20"/>
        <v>2.8008013018123301</v>
      </c>
      <c r="S35">
        <f t="shared" ref="D35:W36" si="21">S27/(1+$B$13)^S$21</f>
        <v>2.5933345387151205</v>
      </c>
      <c r="T35">
        <f t="shared" si="21"/>
        <v>2.4012356839954818</v>
      </c>
      <c r="U35">
        <f t="shared" si="21"/>
        <v>2.2233663740698906</v>
      </c>
      <c r="V35">
        <f t="shared" si="21"/>
        <v>2.0586725685832317</v>
      </c>
      <c r="W35">
        <f>W27/(1+$B$13)^W$21</f>
        <v>1.9061783042437332</v>
      </c>
      <c r="X35">
        <f t="shared" ref="X35:Y35" si="22">X27/(1+$B$13)^X$21</f>
        <v>1.7649799113367899</v>
      </c>
      <c r="Y35">
        <f t="shared" si="22"/>
        <v>1.6342406586451756</v>
      </c>
    </row>
    <row r="36" spans="1:25" x14ac:dyDescent="0.25">
      <c r="A36" t="s">
        <v>131</v>
      </c>
      <c r="B36" s="4">
        <f t="shared" si="13"/>
        <v>3.4071761324214495E-8</v>
      </c>
      <c r="C36">
        <f t="shared" si="20"/>
        <v>0</v>
      </c>
      <c r="D36">
        <f t="shared" si="21"/>
        <v>0</v>
      </c>
      <c r="E36">
        <f t="shared" si="21"/>
        <v>0.28292181069958844</v>
      </c>
      <c r="F36">
        <f t="shared" si="21"/>
        <v>0.261964639536656</v>
      </c>
      <c r="G36">
        <f t="shared" si="21"/>
        <v>0.2425598514228296</v>
      </c>
      <c r="H36">
        <f t="shared" si="21"/>
        <v>0.2245924550211385</v>
      </c>
      <c r="I36">
        <f t="shared" si="21"/>
        <v>0.2079559768714245</v>
      </c>
      <c r="J36">
        <f t="shared" si="21"/>
        <v>0.19255183043650417</v>
      </c>
      <c r="K36">
        <f t="shared" si="21"/>
        <v>0.178288731885652</v>
      </c>
      <c r="L36">
        <f t="shared" si="21"/>
        <v>0.16508215915338148</v>
      </c>
      <c r="M36">
        <f t="shared" si="21"/>
        <v>0.1528538510679458</v>
      </c>
      <c r="N36">
        <f t="shared" si="21"/>
        <v>0.1415313435814313</v>
      </c>
      <c r="O36">
        <f t="shared" si="21"/>
        <v>0.13104754035317712</v>
      </c>
      <c r="P36">
        <f t="shared" si="21"/>
        <v>0.12134031514183068</v>
      </c>
      <c r="Q36">
        <f t="shared" si="21"/>
        <v>0.11235214364984319</v>
      </c>
      <c r="R36">
        <f t="shared" si="21"/>
        <v>0.10402976263874369</v>
      </c>
      <c r="S36">
        <f t="shared" si="21"/>
        <v>9.6323854295133057E-2</v>
      </c>
      <c r="T36">
        <f t="shared" si="21"/>
        <v>8.9188753976975038E-2</v>
      </c>
      <c r="U36">
        <f t="shared" si="21"/>
        <v>8.2582179608310213E-2</v>
      </c>
      <c r="V36">
        <f t="shared" si="21"/>
        <v>7.6464981118805744E-2</v>
      </c>
      <c r="W36">
        <f t="shared" si="21"/>
        <v>7.0800908443338667E-2</v>
      </c>
      <c r="X36">
        <f t="shared" ref="X36:Y36" si="23">X28/(1+$B$13)^X$21</f>
        <v>6.5556396706795056E-2</v>
      </c>
      <c r="Y36">
        <f t="shared" si="23"/>
        <v>6.0700367321106521E-2</v>
      </c>
    </row>
    <row r="38" spans="1:25" x14ac:dyDescent="0.25">
      <c r="B38" s="4"/>
    </row>
    <row r="41" spans="1:25" x14ac:dyDescent="0.25">
      <c r="A41" t="s">
        <v>1798</v>
      </c>
    </row>
    <row r="42" spans="1:25" x14ac:dyDescent="0.25">
      <c r="A42" t="s">
        <v>1802</v>
      </c>
      <c r="B42">
        <f>79.207*'Shale gas'!X30</f>
        <v>1.3458853439999998</v>
      </c>
    </row>
    <row r="43" spans="1:25" x14ac:dyDescent="0.25">
      <c r="A43" t="s">
        <v>1803</v>
      </c>
      <c r="B43">
        <f>12.683*'Shale gas'!X30</f>
        <v>0.215509536</v>
      </c>
    </row>
    <row r="44" spans="1:25" x14ac:dyDescent="0.25">
      <c r="A44" t="s">
        <v>1799</v>
      </c>
      <c r="B44">
        <v>3</v>
      </c>
    </row>
    <row r="45" spans="1:25" x14ac:dyDescent="0.25">
      <c r="A45" t="s">
        <v>1801</v>
      </c>
      <c r="B45">
        <v>50</v>
      </c>
    </row>
    <row r="46" spans="1:25" x14ac:dyDescent="0.25">
      <c r="A46" t="s">
        <v>1739</v>
      </c>
      <c r="B46" s="3">
        <f>-PMT(drate,B45,1)</f>
        <v>8.1742858161615556E-2</v>
      </c>
    </row>
    <row r="47" spans="1:25" x14ac:dyDescent="0.25">
      <c r="A47" t="s">
        <v>1800</v>
      </c>
      <c r="B47">
        <f>B46*B42 +B43</f>
        <v>0.32552605077638913</v>
      </c>
    </row>
    <row r="74" spans="5:5" x14ac:dyDescent="0.25">
      <c r="E74" t="s">
        <v>170</v>
      </c>
    </row>
  </sheetData>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75"/>
  <sheetViews>
    <sheetView topLeftCell="A31" workbookViewId="0">
      <selection activeCell="M80" sqref="M80"/>
    </sheetView>
  </sheetViews>
  <sheetFormatPr defaultRowHeight="15" x14ac:dyDescent="0.25"/>
  <cols>
    <col min="1" max="1" width="22.28515625" customWidth="1"/>
  </cols>
  <sheetData>
    <row r="1" spans="1:1" x14ac:dyDescent="0.25">
      <c r="A1" s="5"/>
    </row>
    <row r="70" spans="1:2" x14ac:dyDescent="0.25">
      <c r="A70" t="s">
        <v>238</v>
      </c>
      <c r="B70" t="s">
        <v>94</v>
      </c>
    </row>
    <row r="71" spans="1:2" x14ac:dyDescent="0.25">
      <c r="A71" t="s">
        <v>115</v>
      </c>
      <c r="B71">
        <f>SUM(B72:B73)</f>
        <v>673.4</v>
      </c>
    </row>
    <row r="72" spans="1:2" x14ac:dyDescent="0.25">
      <c r="A72" t="s">
        <v>239</v>
      </c>
      <c r="B72">
        <v>336.7</v>
      </c>
    </row>
    <row r="73" spans="1:2" x14ac:dyDescent="0.25">
      <c r="A73" t="s">
        <v>240</v>
      </c>
      <c r="B73">
        <f>B72</f>
        <v>336.7</v>
      </c>
    </row>
    <row r="75" spans="1:2" x14ac:dyDescent="0.25">
      <c r="A75" t="s">
        <v>241</v>
      </c>
      <c r="B75">
        <f>0.18*B71</f>
        <v>121.21199999999999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N60"/>
  <sheetViews>
    <sheetView topLeftCell="A106" workbookViewId="0">
      <selection activeCell="A25" sqref="A25"/>
    </sheetView>
  </sheetViews>
  <sheetFormatPr defaultRowHeight="15" x14ac:dyDescent="0.25"/>
  <cols>
    <col min="1" max="1" width="13.85546875" customWidth="1"/>
    <col min="3" max="3" width="13.85546875" customWidth="1"/>
    <col min="4" max="4" width="15.7109375" customWidth="1"/>
    <col min="6" max="6" width="10.140625" customWidth="1"/>
    <col min="7" max="7" width="9.85546875" customWidth="1"/>
  </cols>
  <sheetData>
    <row r="1" spans="1:9" x14ac:dyDescent="0.25">
      <c r="A1" t="s">
        <v>194</v>
      </c>
    </row>
    <row r="2" spans="1:9" x14ac:dyDescent="0.25">
      <c r="A2" t="s">
        <v>175</v>
      </c>
      <c r="B2">
        <v>0.12478300000000001</v>
      </c>
      <c r="C2" t="s">
        <v>176</v>
      </c>
      <c r="D2">
        <v>31</v>
      </c>
      <c r="E2" t="s">
        <v>177</v>
      </c>
    </row>
    <row r="3" spans="1:9" x14ac:dyDescent="0.25">
      <c r="A3" t="s">
        <v>178</v>
      </c>
      <c r="B3">
        <v>0.13080700000000001</v>
      </c>
      <c r="C3" t="s">
        <v>176</v>
      </c>
      <c r="D3">
        <v>29</v>
      </c>
      <c r="E3" t="s">
        <v>177</v>
      </c>
      <c r="I3" t="s">
        <v>195</v>
      </c>
    </row>
    <row r="4" spans="1:9" x14ac:dyDescent="0.25">
      <c r="A4" t="s">
        <v>179</v>
      </c>
      <c r="B4">
        <v>0.13153000000000001</v>
      </c>
      <c r="C4" t="s">
        <v>176</v>
      </c>
      <c r="D4">
        <v>31</v>
      </c>
      <c r="E4" t="s">
        <v>177</v>
      </c>
    </row>
    <row r="5" spans="1:9" x14ac:dyDescent="0.25">
      <c r="A5" t="s">
        <v>180</v>
      </c>
      <c r="B5">
        <v>0.12768299999999999</v>
      </c>
      <c r="C5" t="s">
        <v>176</v>
      </c>
      <c r="D5">
        <v>30</v>
      </c>
      <c r="E5" t="s">
        <v>177</v>
      </c>
    </row>
    <row r="6" spans="1:9" x14ac:dyDescent="0.25">
      <c r="A6" t="s">
        <v>181</v>
      </c>
      <c r="B6">
        <v>0.122503</v>
      </c>
      <c r="C6" t="s">
        <v>176</v>
      </c>
      <c r="D6">
        <v>31</v>
      </c>
      <c r="E6" t="s">
        <v>177</v>
      </c>
    </row>
    <row r="7" spans="1:9" x14ac:dyDescent="0.25">
      <c r="A7" t="s">
        <v>182</v>
      </c>
      <c r="B7">
        <v>0.119183</v>
      </c>
      <c r="C7" t="s">
        <v>176</v>
      </c>
      <c r="D7">
        <v>30</v>
      </c>
      <c r="E7" t="s">
        <v>177</v>
      </c>
    </row>
    <row r="8" spans="1:9" x14ac:dyDescent="0.25">
      <c r="A8" t="s">
        <v>183</v>
      </c>
      <c r="B8">
        <v>0.121272</v>
      </c>
      <c r="C8" t="s">
        <v>176</v>
      </c>
      <c r="D8">
        <v>31</v>
      </c>
      <c r="E8" t="s">
        <v>177</v>
      </c>
    </row>
    <row r="9" spans="1:9" x14ac:dyDescent="0.25">
      <c r="A9" t="s">
        <v>184</v>
      </c>
      <c r="B9">
        <v>0.12110799999999999</v>
      </c>
      <c r="C9" t="s">
        <v>176</v>
      </c>
      <c r="D9">
        <v>31</v>
      </c>
      <c r="E9" t="s">
        <v>177</v>
      </c>
    </row>
    <row r="10" spans="1:9" x14ac:dyDescent="0.25">
      <c r="A10" t="s">
        <v>185</v>
      </c>
      <c r="B10">
        <v>0.120963</v>
      </c>
      <c r="C10" t="s">
        <v>176</v>
      </c>
      <c r="D10">
        <v>30</v>
      </c>
      <c r="E10" t="s">
        <v>177</v>
      </c>
    </row>
    <row r="11" spans="1:9" x14ac:dyDescent="0.25">
      <c r="A11" t="s">
        <v>186</v>
      </c>
      <c r="B11">
        <v>0.11538</v>
      </c>
      <c r="C11" t="s">
        <v>176</v>
      </c>
      <c r="D11">
        <v>31</v>
      </c>
      <c r="E11" t="s">
        <v>177</v>
      </c>
    </row>
    <row r="12" spans="1:9" x14ac:dyDescent="0.25">
      <c r="A12" t="s">
        <v>187</v>
      </c>
      <c r="B12">
        <v>0.113561</v>
      </c>
      <c r="C12" t="s">
        <v>176</v>
      </c>
      <c r="D12">
        <v>30</v>
      </c>
      <c r="E12" t="s">
        <v>177</v>
      </c>
    </row>
    <row r="13" spans="1:9" x14ac:dyDescent="0.25">
      <c r="A13" t="s">
        <v>188</v>
      </c>
      <c r="B13">
        <v>0.115977</v>
      </c>
      <c r="C13" t="s">
        <v>176</v>
      </c>
      <c r="D13">
        <v>31</v>
      </c>
      <c r="E13" t="s">
        <v>177</v>
      </c>
    </row>
    <row r="14" spans="1:9" x14ac:dyDescent="0.25">
      <c r="B14">
        <f>AVERAGE(B2:B13)</f>
        <v>0.12206250000000002</v>
      </c>
    </row>
    <row r="20" spans="1:7" x14ac:dyDescent="0.25">
      <c r="F20" s="8" t="s">
        <v>1635</v>
      </c>
      <c r="G20">
        <v>1.1000000000000001</v>
      </c>
    </row>
    <row r="21" spans="1:7" x14ac:dyDescent="0.25">
      <c r="A21" t="s">
        <v>1682</v>
      </c>
      <c r="B21" t="s">
        <v>1683</v>
      </c>
      <c r="D21" t="s">
        <v>790</v>
      </c>
      <c r="F21" t="s">
        <v>791</v>
      </c>
      <c r="G21" t="s">
        <v>198</v>
      </c>
    </row>
    <row r="22" spans="1:7" x14ac:dyDescent="0.25">
      <c r="A22">
        <v>21572</v>
      </c>
      <c r="B22">
        <v>17519</v>
      </c>
      <c r="C22" t="s">
        <v>189</v>
      </c>
      <c r="D22">
        <f>A22-B22</f>
        <v>4053</v>
      </c>
      <c r="E22" t="s">
        <v>197</v>
      </c>
      <c r="F22" s="53">
        <f>D22*'CPI_1960-2013'!$AM$2 *G20</f>
        <v>3976.8036000000002</v>
      </c>
      <c r="G22" s="53">
        <f>D22*$B$14*$G$20</f>
        <v>544.19124375000013</v>
      </c>
    </row>
    <row r="23" spans="1:7" x14ac:dyDescent="0.25">
      <c r="A23">
        <v>552</v>
      </c>
      <c r="B23">
        <v>367</v>
      </c>
      <c r="C23" t="s">
        <v>190</v>
      </c>
      <c r="D23">
        <f>A23-B23</f>
        <v>185</v>
      </c>
      <c r="E23" t="s">
        <v>197</v>
      </c>
      <c r="F23" s="53">
        <f>D23*'CPI_1960-2013'!$AM$2</f>
        <v>165.02</v>
      </c>
      <c r="G23" s="53">
        <f>D23*$B$14</f>
        <v>22.581562500000004</v>
      </c>
    </row>
    <row r="24" spans="1:7" x14ac:dyDescent="0.25">
      <c r="A24">
        <v>51.2</v>
      </c>
      <c r="B24">
        <v>38.200000000000003</v>
      </c>
      <c r="C24" t="s">
        <v>191</v>
      </c>
      <c r="D24">
        <f>A24-B24</f>
        <v>13</v>
      </c>
      <c r="E24" t="s">
        <v>196</v>
      </c>
      <c r="F24" s="53">
        <f>D24*'CPI_1960-2013'!$AM$2</f>
        <v>11.596</v>
      </c>
      <c r="G24" s="53">
        <f>D24*$B$14</f>
        <v>1.5868125000000002</v>
      </c>
    </row>
    <row r="25" spans="1:7" x14ac:dyDescent="0.25">
      <c r="A25" t="s">
        <v>192</v>
      </c>
      <c r="B25">
        <v>4500</v>
      </c>
      <c r="C25" t="s">
        <v>193</v>
      </c>
    </row>
    <row r="26" spans="1:7" x14ac:dyDescent="0.25">
      <c r="A26" t="s">
        <v>1684</v>
      </c>
    </row>
    <row r="27" spans="1:7" x14ac:dyDescent="0.25">
      <c r="A27" t="s">
        <v>792</v>
      </c>
      <c r="B27">
        <f>157*1000</f>
        <v>157000</v>
      </c>
      <c r="C27" t="s">
        <v>1687</v>
      </c>
      <c r="D27" s="53">
        <f>B27/'Eskom coal pwr plants'!C21 *1000</f>
        <v>4634.5495335931046</v>
      </c>
      <c r="E27" t="s">
        <v>197</v>
      </c>
      <c r="F27" s="53">
        <f>D27*'CPI_1960-2013'!AN2</f>
        <v>3922.2183908586808</v>
      </c>
    </row>
    <row r="29" spans="1:7" x14ac:dyDescent="0.25">
      <c r="A29" t="s">
        <v>1718</v>
      </c>
      <c r="B29">
        <f>73/46</f>
        <v>1.5869565217391304</v>
      </c>
    </row>
    <row r="30" spans="1:7" x14ac:dyDescent="0.25">
      <c r="A30" t="s">
        <v>796</v>
      </c>
      <c r="B30" t="s">
        <v>795</v>
      </c>
      <c r="C30" t="s">
        <v>794</v>
      </c>
    </row>
    <row r="31" spans="1:7" x14ac:dyDescent="0.25">
      <c r="B31" t="s">
        <v>395</v>
      </c>
      <c r="C31" t="s">
        <v>1680</v>
      </c>
      <c r="D31" t="s">
        <v>1681</v>
      </c>
    </row>
    <row r="32" spans="1:7" x14ac:dyDescent="0.25">
      <c r="A32" t="s">
        <v>792</v>
      </c>
      <c r="B32" s="3">
        <v>0.2</v>
      </c>
      <c r="C32" s="402">
        <v>-5.0000000000000001E-3</v>
      </c>
      <c r="D32" s="100">
        <v>-0.01</v>
      </c>
    </row>
    <row r="33" spans="1:14" x14ac:dyDescent="0.25">
      <c r="A33" t="s">
        <v>793</v>
      </c>
      <c r="B33" s="3">
        <f>B32/B29</f>
        <v>0.12602739726027398</v>
      </c>
    </row>
    <row r="47" spans="1:14" ht="16.5" thickBot="1" x14ac:dyDescent="0.3">
      <c r="K47" s="676" t="s">
        <v>1713</v>
      </c>
    </row>
    <row r="48" spans="1:14" ht="51.75" thickBot="1" x14ac:dyDescent="0.3">
      <c r="K48" s="670" t="s">
        <v>1691</v>
      </c>
      <c r="L48" s="671" t="s">
        <v>1692</v>
      </c>
      <c r="M48" s="671" t="s">
        <v>1693</v>
      </c>
      <c r="N48" s="671" t="s">
        <v>1694</v>
      </c>
    </row>
    <row r="49" spans="11:14" ht="15.75" thickBot="1" x14ac:dyDescent="0.3">
      <c r="K49" s="672" t="s">
        <v>1695</v>
      </c>
      <c r="L49" s="673" t="s">
        <v>1696</v>
      </c>
      <c r="M49" s="673" t="s">
        <v>1697</v>
      </c>
      <c r="N49" s="673" t="s">
        <v>1698</v>
      </c>
    </row>
    <row r="50" spans="11:14" ht="15.75" thickBot="1" x14ac:dyDescent="0.3">
      <c r="K50" s="672" t="s">
        <v>1699</v>
      </c>
      <c r="L50" s="673" t="s">
        <v>1700</v>
      </c>
      <c r="M50" s="673">
        <v>775</v>
      </c>
      <c r="N50" s="673">
        <v>8</v>
      </c>
    </row>
    <row r="51" spans="11:14" ht="26.25" thickBot="1" x14ac:dyDescent="0.3">
      <c r="K51" s="672" t="s">
        <v>1699</v>
      </c>
      <c r="L51" s="673" t="s">
        <v>1701</v>
      </c>
      <c r="M51" s="673" t="s">
        <v>1702</v>
      </c>
      <c r="N51" s="673">
        <v>13</v>
      </c>
    </row>
    <row r="52" spans="11:14" ht="15.75" thickBot="1" x14ac:dyDescent="0.3">
      <c r="K52" s="672" t="s">
        <v>1699</v>
      </c>
      <c r="L52" s="673" t="s">
        <v>1703</v>
      </c>
      <c r="M52" s="673" t="s">
        <v>1704</v>
      </c>
      <c r="N52" s="673">
        <v>26</v>
      </c>
    </row>
    <row r="53" spans="11:14" x14ac:dyDescent="0.25">
      <c r="K53" s="753" t="s">
        <v>1699</v>
      </c>
      <c r="L53" s="753" t="s">
        <v>1705</v>
      </c>
      <c r="M53" s="753">
        <v>446</v>
      </c>
      <c r="N53" s="674"/>
    </row>
    <row r="54" spans="11:14" ht="15.75" thickBot="1" x14ac:dyDescent="0.3">
      <c r="K54" s="754"/>
      <c r="L54" s="754"/>
      <c r="M54" s="754"/>
      <c r="N54" s="673">
        <v>24</v>
      </c>
    </row>
    <row r="55" spans="11:14" x14ac:dyDescent="0.25">
      <c r="K55" s="675"/>
      <c r="L55" s="674"/>
      <c r="M55" s="674"/>
      <c r="N55" s="674"/>
    </row>
    <row r="56" spans="11:14" ht="26.25" thickBot="1" x14ac:dyDescent="0.3">
      <c r="K56" s="672" t="s">
        <v>1706</v>
      </c>
      <c r="L56" s="673" t="s">
        <v>1707</v>
      </c>
      <c r="M56" s="673" t="s">
        <v>1708</v>
      </c>
      <c r="N56" s="673">
        <v>133</v>
      </c>
    </row>
    <row r="57" spans="11:14" x14ac:dyDescent="0.25">
      <c r="K57" s="675"/>
      <c r="L57" s="674"/>
      <c r="M57" s="674"/>
      <c r="N57" s="753">
        <v>141</v>
      </c>
    </row>
    <row r="58" spans="11:14" ht="26.25" thickBot="1" x14ac:dyDescent="0.3">
      <c r="K58" s="672" t="s">
        <v>1706</v>
      </c>
      <c r="L58" s="673" t="s">
        <v>1709</v>
      </c>
      <c r="M58" s="673" t="s">
        <v>1710</v>
      </c>
      <c r="N58" s="754"/>
    </row>
    <row r="59" spans="11:14" ht="26.25" thickBot="1" x14ac:dyDescent="0.3">
      <c r="K59" s="672" t="s">
        <v>1706</v>
      </c>
      <c r="L59" s="673" t="s">
        <v>1711</v>
      </c>
      <c r="M59" s="673" t="s">
        <v>1712</v>
      </c>
      <c r="N59" s="673">
        <v>150</v>
      </c>
    </row>
    <row r="60" spans="11:14" x14ac:dyDescent="0.25">
      <c r="K60" t="s">
        <v>1714</v>
      </c>
    </row>
  </sheetData>
  <mergeCells count="4">
    <mergeCell ref="K53:K54"/>
    <mergeCell ref="L53:L54"/>
    <mergeCell ref="M53:M54"/>
    <mergeCell ref="N57:N58"/>
  </mergeCell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59"/>
  <sheetViews>
    <sheetView workbookViewId="0">
      <selection activeCell="H64" sqref="H64"/>
    </sheetView>
  </sheetViews>
  <sheetFormatPr defaultRowHeight="15" x14ac:dyDescent="0.25"/>
  <cols>
    <col min="1" max="1" width="31.28515625" customWidth="1"/>
    <col min="2" max="2" width="33" customWidth="1"/>
  </cols>
  <sheetData>
    <row r="1" spans="1:8" ht="15.75" thickBot="1" x14ac:dyDescent="0.3">
      <c r="A1" t="s">
        <v>205</v>
      </c>
    </row>
    <row r="2" spans="1:8" ht="15.75" thickBot="1" x14ac:dyDescent="0.3">
      <c r="A2" s="65" t="s">
        <v>199</v>
      </c>
      <c r="B2" s="66" t="s">
        <v>200</v>
      </c>
      <c r="D2" t="s">
        <v>344</v>
      </c>
      <c r="F2" t="s">
        <v>440</v>
      </c>
      <c r="G2" t="s">
        <v>440</v>
      </c>
      <c r="H2" t="s">
        <v>344</v>
      </c>
    </row>
    <row r="3" spans="1:8" ht="56.25" customHeight="1" thickBot="1" x14ac:dyDescent="0.3">
      <c r="A3" s="67" t="s">
        <v>201</v>
      </c>
      <c r="B3" s="68" t="s">
        <v>202</v>
      </c>
    </row>
    <row r="4" spans="1:8" ht="15.75" thickBot="1" x14ac:dyDescent="0.3">
      <c r="A4" s="69" t="s">
        <v>203</v>
      </c>
      <c r="B4" s="70">
        <v>126</v>
      </c>
    </row>
    <row r="5" spans="1:8" ht="30.75" customHeight="1" thickBot="1" x14ac:dyDescent="0.3">
      <c r="A5" s="67" t="s">
        <v>204</v>
      </c>
      <c r="B5" s="68">
        <v>132</v>
      </c>
    </row>
    <row r="8" spans="1:8" x14ac:dyDescent="0.25">
      <c r="B8">
        <f>126/258 * 308</f>
        <v>150.41860465116278</v>
      </c>
    </row>
    <row r="9" spans="1:8" x14ac:dyDescent="0.25">
      <c r="B9">
        <f>132/258 * 308</f>
        <v>157.58139534883722</v>
      </c>
    </row>
    <row r="17" spans="3:12" x14ac:dyDescent="0.25">
      <c r="C17" t="s">
        <v>441</v>
      </c>
    </row>
    <row r="18" spans="3:12" x14ac:dyDescent="0.25">
      <c r="D18" t="s">
        <v>442</v>
      </c>
      <c r="E18" t="s">
        <v>443</v>
      </c>
      <c r="F18" t="s">
        <v>444</v>
      </c>
      <c r="G18" t="s">
        <v>445</v>
      </c>
      <c r="H18" t="s">
        <v>446</v>
      </c>
      <c r="I18" t="s">
        <v>447</v>
      </c>
      <c r="J18" t="s">
        <v>448</v>
      </c>
      <c r="K18" t="s">
        <v>444</v>
      </c>
    </row>
    <row r="19" spans="3:12" x14ac:dyDescent="0.25">
      <c r="D19" t="s">
        <v>449</v>
      </c>
      <c r="E19" t="s">
        <v>446</v>
      </c>
      <c r="F19" t="s">
        <v>450</v>
      </c>
      <c r="J19" t="s">
        <v>451</v>
      </c>
      <c r="K19" t="s">
        <v>449</v>
      </c>
    </row>
    <row r="20" spans="3:12" x14ac:dyDescent="0.25">
      <c r="C20" t="s">
        <v>452</v>
      </c>
      <c r="D20">
        <v>1</v>
      </c>
      <c r="E20">
        <v>5</v>
      </c>
      <c r="F20">
        <f>D20/E20</f>
        <v>0.2</v>
      </c>
      <c r="G20">
        <v>77</v>
      </c>
      <c r="H20">
        <v>5</v>
      </c>
      <c r="I20">
        <f>G20*H20/1000</f>
        <v>0.38500000000000001</v>
      </c>
      <c r="J20">
        <f>I20*F20</f>
        <v>7.7000000000000013E-2</v>
      </c>
      <c r="K20">
        <f>J20/G20*1000</f>
        <v>1.0000000000000002</v>
      </c>
    </row>
    <row r="21" spans="3:12" x14ac:dyDescent="0.25">
      <c r="C21" t="s">
        <v>453</v>
      </c>
      <c r="D21">
        <v>34</v>
      </c>
      <c r="E21">
        <v>100</v>
      </c>
      <c r="F21">
        <f t="shared" ref="F21:F22" si="0">D21/E21</f>
        <v>0.34</v>
      </c>
      <c r="G21">
        <v>10</v>
      </c>
      <c r="H21">
        <v>100</v>
      </c>
      <c r="I21">
        <f t="shared" ref="I21:I22" si="1">G21*H21/1000</f>
        <v>1</v>
      </c>
      <c r="J21">
        <f t="shared" ref="J21:J22" si="2">I21*F21</f>
        <v>0.34</v>
      </c>
      <c r="K21">
        <f t="shared" ref="K21:K22" si="3">J21/G21*1000</f>
        <v>34</v>
      </c>
    </row>
    <row r="22" spans="3:12" x14ac:dyDescent="0.25">
      <c r="C22" t="s">
        <v>454</v>
      </c>
      <c r="D22">
        <v>117</v>
      </c>
      <c r="E22">
        <v>100</v>
      </c>
      <c r="F22">
        <f t="shared" si="0"/>
        <v>1.17</v>
      </c>
      <c r="G22">
        <v>40</v>
      </c>
      <c r="H22">
        <v>130</v>
      </c>
      <c r="I22">
        <f t="shared" si="1"/>
        <v>5.2</v>
      </c>
      <c r="J22">
        <f t="shared" si="2"/>
        <v>6.0839999999999996</v>
      </c>
      <c r="K22">
        <f t="shared" si="3"/>
        <v>152.1</v>
      </c>
    </row>
    <row r="24" spans="3:12" x14ac:dyDescent="0.25">
      <c r="I24" t="s">
        <v>295</v>
      </c>
      <c r="K24" s="53">
        <f>SUMPRODUCT(K21:K22,G21:G22)/SUM(G21:G22)</f>
        <v>128.47999999999999</v>
      </c>
      <c r="L24" t="s">
        <v>449</v>
      </c>
    </row>
    <row r="25" spans="3:12" x14ac:dyDescent="0.25">
      <c r="I25" s="8" t="s">
        <v>472</v>
      </c>
      <c r="K25">
        <v>20</v>
      </c>
      <c r="L25" t="s">
        <v>215</v>
      </c>
    </row>
    <row r="26" spans="3:12" x14ac:dyDescent="0.25">
      <c r="K26">
        <f>K24/K25</f>
        <v>6.4239999999999995</v>
      </c>
      <c r="L26" t="s">
        <v>473</v>
      </c>
    </row>
    <row r="31" spans="3:12" x14ac:dyDescent="0.25">
      <c r="C31" t="s">
        <v>455</v>
      </c>
    </row>
    <row r="37" spans="3:10" x14ac:dyDescent="0.25">
      <c r="I37" t="s">
        <v>449</v>
      </c>
      <c r="J37">
        <v>159</v>
      </c>
    </row>
    <row r="38" spans="3:10" x14ac:dyDescent="0.25">
      <c r="I38" t="s">
        <v>456</v>
      </c>
      <c r="J38">
        <v>21.5</v>
      </c>
    </row>
    <row r="39" spans="3:10" x14ac:dyDescent="0.25">
      <c r="I39" t="s">
        <v>457</v>
      </c>
      <c r="J39">
        <v>7.4</v>
      </c>
    </row>
    <row r="40" spans="3:10" x14ac:dyDescent="0.25">
      <c r="I40" t="s">
        <v>449</v>
      </c>
      <c r="J40">
        <v>252</v>
      </c>
    </row>
    <row r="41" spans="3:10" x14ac:dyDescent="0.25">
      <c r="I41" t="s">
        <v>458</v>
      </c>
    </row>
    <row r="47" spans="3:10" x14ac:dyDescent="0.25">
      <c r="C47" t="s">
        <v>459</v>
      </c>
      <c r="E47" s="100">
        <v>0.08</v>
      </c>
    </row>
    <row r="48" spans="3:10" x14ac:dyDescent="0.25">
      <c r="C48" t="s">
        <v>460</v>
      </c>
      <c r="D48" t="s">
        <v>461</v>
      </c>
      <c r="E48">
        <v>5000</v>
      </c>
    </row>
    <row r="49" spans="3:5" x14ac:dyDescent="0.25">
      <c r="C49" t="s">
        <v>462</v>
      </c>
      <c r="E49">
        <v>4</v>
      </c>
    </row>
    <row r="50" spans="3:5" x14ac:dyDescent="0.25">
      <c r="C50" t="s">
        <v>463</v>
      </c>
      <c r="E50" s="81">
        <f>-FV(E47,E49,1/E49)*(1+E47)-1</f>
        <v>0.21665024000000099</v>
      </c>
    </row>
    <row r="51" spans="3:5" x14ac:dyDescent="0.25">
      <c r="C51" t="s">
        <v>464</v>
      </c>
      <c r="D51" t="s">
        <v>465</v>
      </c>
      <c r="E51">
        <v>20</v>
      </c>
    </row>
    <row r="52" spans="3:5" x14ac:dyDescent="0.25">
      <c r="C52" t="s">
        <v>466</v>
      </c>
      <c r="D52" t="s">
        <v>211</v>
      </c>
      <c r="E52">
        <v>30</v>
      </c>
    </row>
    <row r="53" spans="3:5" x14ac:dyDescent="0.25">
      <c r="C53" t="s">
        <v>467</v>
      </c>
      <c r="D53" t="s">
        <v>461</v>
      </c>
      <c r="E53" s="53">
        <f>-PMT(E47,E52,E48*(1+E50),0,1)</f>
        <v>500.3329543944858</v>
      </c>
    </row>
    <row r="54" spans="3:5" x14ac:dyDescent="0.25">
      <c r="C54" t="s">
        <v>468</v>
      </c>
      <c r="D54" t="s">
        <v>469</v>
      </c>
      <c r="E54" s="82">
        <f>E$86/E51</f>
        <v>0</v>
      </c>
    </row>
    <row r="55" spans="3:5" x14ac:dyDescent="0.25">
      <c r="C55" t="s">
        <v>470</v>
      </c>
      <c r="D55" t="s">
        <v>446</v>
      </c>
      <c r="E55">
        <v>629</v>
      </c>
    </row>
    <row r="56" spans="3:5" x14ac:dyDescent="0.25">
      <c r="C56" t="s">
        <v>468</v>
      </c>
      <c r="D56" t="s">
        <v>450</v>
      </c>
      <c r="E56" s="81">
        <f>E53/(E51*E55)</f>
        <v>3.9772094943917792E-2</v>
      </c>
    </row>
    <row r="57" spans="3:5" x14ac:dyDescent="0.25">
      <c r="C57" t="s">
        <v>471</v>
      </c>
      <c r="E57">
        <v>0.34</v>
      </c>
    </row>
    <row r="58" spans="3:5" x14ac:dyDescent="0.25">
      <c r="C58" t="s">
        <v>458</v>
      </c>
      <c r="D58" t="s">
        <v>450</v>
      </c>
      <c r="E58" s="81">
        <f>E56+E57</f>
        <v>0.37977209494391784</v>
      </c>
    </row>
    <row r="59" spans="3:5" x14ac:dyDescent="0.25">
      <c r="D59" t="s">
        <v>449</v>
      </c>
      <c r="E59" s="53">
        <f>E58*E55</f>
        <v>238.87664771972433</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92"/>
  <sheetViews>
    <sheetView topLeftCell="A13" workbookViewId="0">
      <selection activeCell="U33" sqref="U33"/>
    </sheetView>
  </sheetViews>
  <sheetFormatPr defaultRowHeight="15" x14ac:dyDescent="0.25"/>
  <cols>
    <col min="7" max="7" width="12.85546875" customWidth="1"/>
    <col min="8" max="8" width="13.28515625" customWidth="1"/>
    <col min="9" max="9" width="13.85546875" customWidth="1"/>
    <col min="15" max="15" width="13" customWidth="1"/>
    <col min="16" max="16" width="10.85546875" bestFit="1" customWidth="1"/>
    <col min="21" max="21" width="10.5703125" bestFit="1" customWidth="1"/>
  </cols>
  <sheetData>
    <row r="1" spans="1:2" x14ac:dyDescent="0.25">
      <c r="A1" t="s">
        <v>242</v>
      </c>
    </row>
    <row r="3" spans="1:2" x14ac:dyDescent="0.25">
      <c r="A3" t="s">
        <v>262</v>
      </c>
      <c r="B3" t="s">
        <v>263</v>
      </c>
    </row>
    <row r="4" spans="1:2" x14ac:dyDescent="0.25">
      <c r="A4" t="s">
        <v>264</v>
      </c>
      <c r="B4" t="s">
        <v>265</v>
      </c>
    </row>
    <row r="5" spans="1:2" x14ac:dyDescent="0.25">
      <c r="A5" t="s">
        <v>266</v>
      </c>
      <c r="B5" t="s">
        <v>267</v>
      </c>
    </row>
    <row r="6" spans="1:2" x14ac:dyDescent="0.25">
      <c r="A6" t="s">
        <v>268</v>
      </c>
      <c r="B6" t="s">
        <v>269</v>
      </c>
    </row>
    <row r="7" spans="1:2" x14ac:dyDescent="0.25">
      <c r="A7" t="s">
        <v>248</v>
      </c>
      <c r="B7" t="s">
        <v>271</v>
      </c>
    </row>
    <row r="8" spans="1:2" x14ac:dyDescent="0.25">
      <c r="A8" t="s">
        <v>270</v>
      </c>
    </row>
    <row r="9" spans="1:2" x14ac:dyDescent="0.25">
      <c r="A9" t="s">
        <v>272</v>
      </c>
      <c r="B9" t="s">
        <v>273</v>
      </c>
    </row>
    <row r="10" spans="1:2" x14ac:dyDescent="0.25">
      <c r="A10" t="s">
        <v>274</v>
      </c>
      <c r="B10" t="s">
        <v>275</v>
      </c>
    </row>
    <row r="11" spans="1:2" x14ac:dyDescent="0.25">
      <c r="A11" t="s">
        <v>276</v>
      </c>
      <c r="B11" t="s">
        <v>277</v>
      </c>
    </row>
    <row r="12" spans="1:2" x14ac:dyDescent="0.25">
      <c r="A12" t="s">
        <v>278</v>
      </c>
      <c r="B12" t="s">
        <v>279</v>
      </c>
    </row>
    <row r="13" spans="1:2" x14ac:dyDescent="0.25">
      <c r="A13" t="s">
        <v>280</v>
      </c>
      <c r="B13" t="s">
        <v>281</v>
      </c>
    </row>
    <row r="18" spans="1:22" x14ac:dyDescent="0.25">
      <c r="O18" t="s">
        <v>399</v>
      </c>
      <c r="P18" t="s">
        <v>284</v>
      </c>
    </row>
    <row r="19" spans="1:22" x14ac:dyDescent="0.25">
      <c r="A19" t="s">
        <v>243</v>
      </c>
      <c r="B19" t="s">
        <v>245</v>
      </c>
      <c r="C19" t="s">
        <v>246</v>
      </c>
      <c r="D19" t="s">
        <v>247</v>
      </c>
      <c r="E19" t="s">
        <v>248</v>
      </c>
      <c r="G19" t="s">
        <v>250</v>
      </c>
      <c r="I19" t="s">
        <v>252</v>
      </c>
      <c r="K19" t="s">
        <v>253</v>
      </c>
      <c r="L19" t="s">
        <v>254</v>
      </c>
      <c r="O19" t="s">
        <v>400</v>
      </c>
      <c r="P19" t="s">
        <v>282</v>
      </c>
    </row>
    <row r="20" spans="1:22" ht="14.25" customHeight="1" x14ac:dyDescent="0.25">
      <c r="A20" t="s">
        <v>244</v>
      </c>
      <c r="E20" t="s">
        <v>249</v>
      </c>
      <c r="G20" t="s">
        <v>251</v>
      </c>
      <c r="P20" s="79"/>
    </row>
    <row r="21" spans="1:22" x14ac:dyDescent="0.25">
      <c r="A21" t="s">
        <v>255</v>
      </c>
      <c r="B21" t="s">
        <v>256</v>
      </c>
      <c r="C21" t="s">
        <v>257</v>
      </c>
      <c r="D21" t="s">
        <v>258</v>
      </c>
      <c r="E21" t="s">
        <v>259</v>
      </c>
      <c r="F21" t="s">
        <v>260</v>
      </c>
      <c r="G21" t="s">
        <v>259</v>
      </c>
      <c r="H21" t="s">
        <v>260</v>
      </c>
      <c r="I21" t="s">
        <v>259</v>
      </c>
      <c r="J21" t="s">
        <v>260</v>
      </c>
      <c r="K21" t="s">
        <v>259</v>
      </c>
      <c r="L21" t="s">
        <v>261</v>
      </c>
    </row>
    <row r="22" spans="1:22" x14ac:dyDescent="0.25">
      <c r="A22">
        <v>30</v>
      </c>
      <c r="B22">
        <v>233.84</v>
      </c>
      <c r="C22">
        <v>6.7000000000000004E-2</v>
      </c>
      <c r="D22">
        <v>15.009</v>
      </c>
      <c r="E22">
        <v>1008.33</v>
      </c>
      <c r="F22">
        <v>240.84</v>
      </c>
      <c r="G22">
        <v>2802.27</v>
      </c>
      <c r="H22">
        <v>669.31</v>
      </c>
      <c r="I22">
        <v>1793.94</v>
      </c>
      <c r="J22">
        <v>428.48</v>
      </c>
      <c r="K22">
        <v>3.4068999999999998</v>
      </c>
      <c r="L22">
        <v>1.7E-5</v>
      </c>
      <c r="P22">
        <f>(2627*1000)</f>
        <v>2627000</v>
      </c>
      <c r="Q22" t="s">
        <v>283</v>
      </c>
      <c r="R22" t="s">
        <v>286</v>
      </c>
      <c r="S22">
        <f>P22/I32</f>
        <v>1533.6205588053288</v>
      </c>
      <c r="T22" t="s">
        <v>219</v>
      </c>
      <c r="U22" t="s">
        <v>285</v>
      </c>
    </row>
    <row r="23" spans="1:22" x14ac:dyDescent="0.25">
      <c r="A23">
        <v>31</v>
      </c>
      <c r="B23">
        <v>235.66</v>
      </c>
      <c r="C23">
        <v>6.4000000000000001E-2</v>
      </c>
      <c r="D23">
        <v>15.512</v>
      </c>
      <c r="E23">
        <v>1016.97</v>
      </c>
      <c r="F23">
        <v>242.9</v>
      </c>
      <c r="G23">
        <v>2802.33</v>
      </c>
      <c r="H23">
        <v>669.32</v>
      </c>
      <c r="I23">
        <v>1785.36</v>
      </c>
      <c r="J23">
        <v>426.43</v>
      </c>
      <c r="K23">
        <v>3.4441999999999999</v>
      </c>
      <c r="L23">
        <v>1.7E-5</v>
      </c>
    </row>
    <row r="24" spans="1:22" x14ac:dyDescent="0.25">
      <c r="A24">
        <v>32</v>
      </c>
      <c r="B24">
        <v>237.44</v>
      </c>
      <c r="C24">
        <v>6.2E-2</v>
      </c>
      <c r="D24">
        <v>16.015999999999998</v>
      </c>
      <c r="E24">
        <v>1025.4100000000001</v>
      </c>
      <c r="F24">
        <v>244.92</v>
      </c>
      <c r="G24">
        <v>2802.32</v>
      </c>
      <c r="H24">
        <v>669.32</v>
      </c>
      <c r="I24">
        <v>1776.9</v>
      </c>
      <c r="J24">
        <v>424.41</v>
      </c>
      <c r="K24">
        <v>3.4815</v>
      </c>
      <c r="L24">
        <v>1.7E-5</v>
      </c>
    </row>
    <row r="25" spans="1:22" x14ac:dyDescent="0.25">
      <c r="A25">
        <v>33</v>
      </c>
      <c r="B25">
        <v>239.18</v>
      </c>
      <c r="C25">
        <v>6.0999999999999999E-2</v>
      </c>
      <c r="D25">
        <v>16.521000000000001</v>
      </c>
      <c r="E25">
        <v>1033.69</v>
      </c>
      <c r="F25">
        <v>246.89</v>
      </c>
      <c r="G25">
        <v>2802.25</v>
      </c>
      <c r="H25">
        <v>669.31</v>
      </c>
      <c r="I25">
        <v>1768.56</v>
      </c>
      <c r="J25">
        <v>422.41</v>
      </c>
      <c r="K25">
        <v>3.5186999999999999</v>
      </c>
      <c r="L25">
        <v>1.7E-5</v>
      </c>
    </row>
    <row r="26" spans="1:22" x14ac:dyDescent="0.25">
      <c r="A26">
        <v>34</v>
      </c>
      <c r="B26">
        <v>240.88</v>
      </c>
      <c r="C26">
        <v>5.8999999999999997E-2</v>
      </c>
      <c r="D26">
        <v>17.027999999999999</v>
      </c>
      <c r="E26">
        <v>1041.79</v>
      </c>
      <c r="F26">
        <v>248.83</v>
      </c>
      <c r="G26">
        <v>2802.12</v>
      </c>
      <c r="H26">
        <v>669.28</v>
      </c>
      <c r="I26">
        <v>1760.33</v>
      </c>
      <c r="J26">
        <v>420.45</v>
      </c>
      <c r="K26">
        <v>3.5558999999999998</v>
      </c>
      <c r="L26">
        <v>1.7E-5</v>
      </c>
      <c r="O26" t="s">
        <v>289</v>
      </c>
      <c r="V26" s="89"/>
    </row>
    <row r="27" spans="1:22" x14ac:dyDescent="0.25">
      <c r="A27">
        <v>35</v>
      </c>
      <c r="B27">
        <v>242.54</v>
      </c>
      <c r="C27">
        <v>5.7000000000000002E-2</v>
      </c>
      <c r="D27">
        <v>17.536000000000001</v>
      </c>
      <c r="E27">
        <v>1049.74</v>
      </c>
      <c r="F27">
        <v>250.73</v>
      </c>
      <c r="G27">
        <v>2801.95</v>
      </c>
      <c r="H27">
        <v>669.23</v>
      </c>
      <c r="I27">
        <v>1752.2</v>
      </c>
      <c r="J27">
        <v>418.51</v>
      </c>
      <c r="K27">
        <v>3.5931999999999999</v>
      </c>
      <c r="L27">
        <v>1.7E-5</v>
      </c>
      <c r="P27">
        <v>2013</v>
      </c>
      <c r="Q27">
        <v>2012</v>
      </c>
    </row>
    <row r="28" spans="1:22" x14ac:dyDescent="0.25">
      <c r="A28">
        <v>36</v>
      </c>
      <c r="B28">
        <v>244.16</v>
      </c>
      <c r="C28">
        <v>5.5E-2</v>
      </c>
      <c r="D28">
        <v>18.045999999999999</v>
      </c>
      <c r="E28">
        <v>1057.54</v>
      </c>
      <c r="F28">
        <v>252.59</v>
      </c>
      <c r="G28">
        <v>2801.72</v>
      </c>
      <c r="H28">
        <v>669.18</v>
      </c>
      <c r="I28">
        <v>1744.17</v>
      </c>
      <c r="J28">
        <v>416.59</v>
      </c>
      <c r="K28">
        <v>3.6305000000000001</v>
      </c>
      <c r="L28">
        <v>1.7E-5</v>
      </c>
      <c r="O28" t="s">
        <v>290</v>
      </c>
      <c r="P28" s="80">
        <v>23696</v>
      </c>
      <c r="Q28" s="80">
        <v>25302</v>
      </c>
    </row>
    <row r="29" spans="1:22" x14ac:dyDescent="0.25">
      <c r="A29">
        <v>37</v>
      </c>
      <c r="B29">
        <v>245.75</v>
      </c>
      <c r="C29">
        <v>5.3999999999999999E-2</v>
      </c>
      <c r="D29">
        <v>18.556999999999999</v>
      </c>
      <c r="E29">
        <v>1065.21</v>
      </c>
      <c r="F29">
        <v>254.42</v>
      </c>
      <c r="G29">
        <v>2801.44</v>
      </c>
      <c r="H29">
        <v>669.11</v>
      </c>
      <c r="I29">
        <v>1736.24</v>
      </c>
      <c r="J29">
        <v>414.69</v>
      </c>
      <c r="K29">
        <v>3.6678999999999999</v>
      </c>
      <c r="L29">
        <v>1.7E-5</v>
      </c>
      <c r="O29" t="s">
        <v>287</v>
      </c>
      <c r="P29">
        <f>$O$30*P30</f>
        <v>147209000</v>
      </c>
      <c r="Q29">
        <f>$O$30*Q30</f>
        <v>148372000</v>
      </c>
    </row>
    <row r="30" spans="1:22" x14ac:dyDescent="0.25">
      <c r="A30">
        <v>38</v>
      </c>
      <c r="B30">
        <v>247.31</v>
      </c>
      <c r="C30">
        <v>5.1999999999999998E-2</v>
      </c>
      <c r="D30">
        <v>19.07</v>
      </c>
      <c r="E30">
        <v>1072.73</v>
      </c>
      <c r="F30">
        <v>256.22000000000003</v>
      </c>
      <c r="G30">
        <v>2801.12</v>
      </c>
      <c r="H30">
        <v>669.04</v>
      </c>
      <c r="I30">
        <v>1728.39</v>
      </c>
      <c r="J30">
        <v>412.82</v>
      </c>
      <c r="K30">
        <v>3.7054</v>
      </c>
      <c r="L30">
        <v>1.7E-5</v>
      </c>
      <c r="N30" s="8" t="s">
        <v>172</v>
      </c>
      <c r="O30" s="4">
        <v>1000</v>
      </c>
      <c r="P30" s="80">
        <v>147209</v>
      </c>
      <c r="Q30" s="80">
        <v>148372</v>
      </c>
    </row>
    <row r="31" spans="1:22" x14ac:dyDescent="0.25">
      <c r="A31">
        <v>39</v>
      </c>
      <c r="B31">
        <v>248.84</v>
      </c>
      <c r="C31">
        <v>5.0999999999999997E-2</v>
      </c>
      <c r="D31">
        <v>19.585000000000001</v>
      </c>
      <c r="E31">
        <v>1080.1300000000001</v>
      </c>
      <c r="F31">
        <v>257.98</v>
      </c>
      <c r="G31">
        <v>2800.75</v>
      </c>
      <c r="H31">
        <v>668.95</v>
      </c>
      <c r="I31">
        <v>1720.62</v>
      </c>
      <c r="J31">
        <v>410.96</v>
      </c>
      <c r="K31">
        <v>3.7429000000000001</v>
      </c>
      <c r="L31">
        <v>1.8E-5</v>
      </c>
    </row>
    <row r="32" spans="1:22" x14ac:dyDescent="0.25">
      <c r="A32">
        <v>40</v>
      </c>
      <c r="B32">
        <v>250.33</v>
      </c>
      <c r="C32">
        <v>0.05</v>
      </c>
      <c r="D32">
        <v>20.100999999999999</v>
      </c>
      <c r="E32">
        <v>1087.4000000000001</v>
      </c>
      <c r="F32">
        <v>259.72000000000003</v>
      </c>
      <c r="G32">
        <v>2800.34</v>
      </c>
      <c r="H32">
        <v>668.85</v>
      </c>
      <c r="I32">
        <v>1712.94</v>
      </c>
      <c r="J32">
        <v>409.13</v>
      </c>
      <c r="K32">
        <v>3.7806000000000002</v>
      </c>
      <c r="L32">
        <v>1.8E-5</v>
      </c>
      <c r="O32" t="s">
        <v>288</v>
      </c>
      <c r="P32">
        <f>P29/P28</f>
        <v>6212.3987170830524</v>
      </c>
      <c r="Q32">
        <f>Q29/Q28</f>
        <v>5864.0423681922375</v>
      </c>
      <c r="U32" s="90">
        <f>I32*1000 +P22</f>
        <v>4339940</v>
      </c>
    </row>
    <row r="33" spans="1:22" x14ac:dyDescent="0.25">
      <c r="A33">
        <v>41</v>
      </c>
      <c r="B33">
        <v>251.8</v>
      </c>
      <c r="C33">
        <v>4.8000000000000001E-2</v>
      </c>
      <c r="D33">
        <v>20.619</v>
      </c>
      <c r="E33">
        <v>1094.56</v>
      </c>
      <c r="F33">
        <v>261.43</v>
      </c>
      <c r="G33">
        <v>2799.89</v>
      </c>
      <c r="H33">
        <v>668.74</v>
      </c>
      <c r="I33">
        <v>1705.33</v>
      </c>
      <c r="J33">
        <v>407.31</v>
      </c>
      <c r="K33">
        <v>3.8184999999999998</v>
      </c>
      <c r="L33">
        <v>1.8E-5</v>
      </c>
      <c r="O33" t="s">
        <v>214</v>
      </c>
      <c r="P33">
        <f>P32/1000</f>
        <v>6.2123987170830528</v>
      </c>
      <c r="Q33">
        <f>Q32/1000</f>
        <v>5.8640423681922371</v>
      </c>
      <c r="U33" s="53">
        <f>(1/0.72) * U32</f>
        <v>6027694.444444444</v>
      </c>
    </row>
    <row r="34" spans="1:22" x14ac:dyDescent="0.25">
      <c r="A34">
        <v>42</v>
      </c>
      <c r="B34">
        <v>253.24</v>
      </c>
      <c r="C34">
        <v>4.7E-2</v>
      </c>
      <c r="D34">
        <v>21.138000000000002</v>
      </c>
      <c r="E34">
        <v>1101.6099999999999</v>
      </c>
      <c r="F34">
        <v>263.12</v>
      </c>
      <c r="G34">
        <v>2799.4</v>
      </c>
      <c r="H34">
        <v>668.62</v>
      </c>
      <c r="I34">
        <v>1697.79</v>
      </c>
      <c r="J34">
        <v>405.51</v>
      </c>
      <c r="K34">
        <v>3.8565</v>
      </c>
      <c r="L34">
        <v>1.8E-5</v>
      </c>
      <c r="U34">
        <f>(U33/20000) *0.001</f>
        <v>0.30138472222222218</v>
      </c>
      <c r="V34" t="s">
        <v>401</v>
      </c>
    </row>
    <row r="35" spans="1:22" x14ac:dyDescent="0.25">
      <c r="A35">
        <v>43</v>
      </c>
      <c r="B35">
        <v>254.66</v>
      </c>
      <c r="C35">
        <v>4.5999999999999999E-2</v>
      </c>
      <c r="D35">
        <v>21.66</v>
      </c>
      <c r="E35">
        <v>1108.55</v>
      </c>
      <c r="F35">
        <v>264.77</v>
      </c>
      <c r="G35">
        <v>2798.87</v>
      </c>
      <c r="H35">
        <v>668.5</v>
      </c>
      <c r="I35">
        <v>1690.32</v>
      </c>
      <c r="J35">
        <v>403.73</v>
      </c>
      <c r="K35">
        <v>3.8946000000000001</v>
      </c>
      <c r="L35">
        <v>1.8E-5</v>
      </c>
      <c r="U35">
        <f>1/U34</f>
        <v>3.3180182214500666</v>
      </c>
    </row>
    <row r="36" spans="1:22" x14ac:dyDescent="0.25">
      <c r="A36">
        <v>44</v>
      </c>
      <c r="B36">
        <v>256.05</v>
      </c>
      <c r="C36">
        <v>4.4999999999999998E-2</v>
      </c>
      <c r="D36">
        <v>22.183</v>
      </c>
      <c r="E36">
        <v>1115.3900000000001</v>
      </c>
      <c r="F36">
        <v>266.41000000000003</v>
      </c>
      <c r="G36">
        <v>2798.3</v>
      </c>
      <c r="H36">
        <v>668.36</v>
      </c>
      <c r="I36">
        <v>1682.91</v>
      </c>
      <c r="J36">
        <v>401.96</v>
      </c>
      <c r="K36">
        <v>3.9329000000000001</v>
      </c>
      <c r="L36">
        <v>1.8E-5</v>
      </c>
    </row>
    <row r="37" spans="1:22" x14ac:dyDescent="0.25">
      <c r="A37">
        <v>45</v>
      </c>
      <c r="B37">
        <v>257.41000000000003</v>
      </c>
      <c r="C37">
        <v>4.3999999999999997E-2</v>
      </c>
      <c r="D37">
        <v>22.707999999999998</v>
      </c>
      <c r="E37">
        <v>1122.1300000000001</v>
      </c>
      <c r="F37">
        <v>268.02</v>
      </c>
      <c r="G37">
        <v>2797.7</v>
      </c>
      <c r="H37">
        <v>668.22</v>
      </c>
      <c r="I37">
        <v>1675.57</v>
      </c>
      <c r="J37">
        <v>400.2</v>
      </c>
      <c r="K37">
        <v>3.9714999999999998</v>
      </c>
      <c r="L37">
        <v>1.8E-5</v>
      </c>
      <c r="P37" s="80">
        <v>557117</v>
      </c>
      <c r="Q37">
        <f>P37*12</f>
        <v>6685404</v>
      </c>
    </row>
    <row r="38" spans="1:22" x14ac:dyDescent="0.25">
      <c r="A38">
        <v>46</v>
      </c>
      <c r="B38">
        <v>258.76</v>
      </c>
      <c r="C38">
        <v>4.2999999999999997E-2</v>
      </c>
      <c r="D38">
        <v>23.234999999999999</v>
      </c>
      <c r="E38">
        <v>1128.78</v>
      </c>
      <c r="F38">
        <v>269.60000000000002</v>
      </c>
      <c r="G38">
        <v>2797.07</v>
      </c>
      <c r="H38">
        <v>668.07</v>
      </c>
      <c r="I38">
        <v>1668.29</v>
      </c>
      <c r="J38">
        <v>398.46</v>
      </c>
      <c r="K38">
        <v>4.0102000000000002</v>
      </c>
      <c r="L38">
        <v>1.8E-5</v>
      </c>
    </row>
    <row r="39" spans="1:22" x14ac:dyDescent="0.25">
      <c r="A39">
        <v>47</v>
      </c>
      <c r="B39">
        <v>260.08</v>
      </c>
      <c r="C39">
        <v>4.2000000000000003E-2</v>
      </c>
      <c r="D39">
        <v>23.763000000000002</v>
      </c>
      <c r="E39">
        <v>1135.33</v>
      </c>
      <c r="F39">
        <v>271.17</v>
      </c>
      <c r="G39">
        <v>2796.4</v>
      </c>
      <c r="H39">
        <v>667.91</v>
      </c>
      <c r="I39">
        <v>1661.06</v>
      </c>
      <c r="J39">
        <v>396.74</v>
      </c>
      <c r="K39">
        <v>4.0491999999999999</v>
      </c>
      <c r="L39">
        <v>1.8E-5</v>
      </c>
    </row>
    <row r="40" spans="1:22" x14ac:dyDescent="0.25">
      <c r="A40">
        <v>48</v>
      </c>
      <c r="B40">
        <v>261.38</v>
      </c>
      <c r="C40">
        <v>4.1000000000000002E-2</v>
      </c>
      <c r="D40">
        <v>24.294</v>
      </c>
      <c r="E40">
        <v>1141.8</v>
      </c>
      <c r="F40">
        <v>272.70999999999998</v>
      </c>
      <c r="G40">
        <v>2795.69</v>
      </c>
      <c r="H40">
        <v>667.74</v>
      </c>
      <c r="I40">
        <v>1653.89</v>
      </c>
      <c r="J40">
        <v>395.03</v>
      </c>
      <c r="K40">
        <v>4.0884</v>
      </c>
      <c r="L40">
        <v>1.8E-5</v>
      </c>
    </row>
    <row r="41" spans="1:22" x14ac:dyDescent="0.25">
      <c r="A41">
        <v>49</v>
      </c>
      <c r="B41">
        <v>262.66000000000003</v>
      </c>
      <c r="C41">
        <v>0.04</v>
      </c>
      <c r="D41">
        <v>24.827000000000002</v>
      </c>
      <c r="E41">
        <v>1148.19</v>
      </c>
      <c r="F41">
        <v>274.24</v>
      </c>
      <c r="G41">
        <v>2794.96</v>
      </c>
      <c r="H41">
        <v>667.57</v>
      </c>
      <c r="I41">
        <v>1646.77</v>
      </c>
      <c r="J41">
        <v>393.32</v>
      </c>
      <c r="K41">
        <v>4.1279000000000003</v>
      </c>
      <c r="L41">
        <v>1.8E-5</v>
      </c>
    </row>
    <row r="42" spans="1:22" x14ac:dyDescent="0.25">
      <c r="A42">
        <v>50</v>
      </c>
      <c r="B42">
        <v>263.92</v>
      </c>
      <c r="C42">
        <v>3.9E-2</v>
      </c>
      <c r="D42">
        <v>25.361999999999998</v>
      </c>
      <c r="E42">
        <v>1154.5</v>
      </c>
      <c r="F42">
        <v>275.75</v>
      </c>
      <c r="G42">
        <v>2794.2</v>
      </c>
      <c r="H42">
        <v>667.38</v>
      </c>
      <c r="I42">
        <v>1639.7</v>
      </c>
      <c r="J42">
        <v>391.64</v>
      </c>
      <c r="K42">
        <v>4.1676000000000002</v>
      </c>
      <c r="L42">
        <v>1.8E-5</v>
      </c>
    </row>
    <row r="43" spans="1:22" x14ac:dyDescent="0.25">
      <c r="A43">
        <v>51</v>
      </c>
      <c r="B43">
        <v>265.16000000000003</v>
      </c>
      <c r="C43">
        <v>3.9E-2</v>
      </c>
      <c r="D43">
        <v>25.898</v>
      </c>
      <c r="E43">
        <v>1160.73</v>
      </c>
      <c r="F43">
        <v>277.23</v>
      </c>
      <c r="G43">
        <v>2793.41</v>
      </c>
      <c r="H43">
        <v>667.19</v>
      </c>
      <c r="I43">
        <v>1632.68</v>
      </c>
      <c r="J43">
        <v>389.96</v>
      </c>
      <c r="K43">
        <v>4.2076000000000002</v>
      </c>
      <c r="L43">
        <v>1.8E-5</v>
      </c>
    </row>
    <row r="44" spans="1:22" x14ac:dyDescent="0.25">
      <c r="A44">
        <v>52</v>
      </c>
      <c r="B44">
        <v>266.38</v>
      </c>
      <c r="C44">
        <v>3.7999999999999999E-2</v>
      </c>
      <c r="D44">
        <v>26.437000000000001</v>
      </c>
      <c r="E44">
        <v>1166.8800000000001</v>
      </c>
      <c r="F44">
        <v>278.7</v>
      </c>
      <c r="G44">
        <v>2792.58</v>
      </c>
      <c r="H44">
        <v>667</v>
      </c>
      <c r="I44">
        <v>1625.7</v>
      </c>
      <c r="J44">
        <v>388.29</v>
      </c>
      <c r="K44">
        <v>4.2478999999999996</v>
      </c>
      <c r="L44">
        <v>1.8E-5</v>
      </c>
    </row>
    <row r="45" spans="1:22" x14ac:dyDescent="0.25">
      <c r="A45">
        <v>53</v>
      </c>
      <c r="B45">
        <v>267.58</v>
      </c>
      <c r="C45">
        <v>3.6999999999999998E-2</v>
      </c>
      <c r="D45">
        <v>26.978000000000002</v>
      </c>
      <c r="E45">
        <v>1172.97</v>
      </c>
      <c r="F45">
        <v>280.16000000000003</v>
      </c>
      <c r="G45">
        <v>2791.74</v>
      </c>
      <c r="H45">
        <v>666.79</v>
      </c>
      <c r="I45">
        <v>1618.77</v>
      </c>
      <c r="J45">
        <v>386.64</v>
      </c>
      <c r="K45">
        <v>4.2885</v>
      </c>
      <c r="L45">
        <v>1.8E-5</v>
      </c>
    </row>
    <row r="46" spans="1:22" x14ac:dyDescent="0.25">
      <c r="A46">
        <v>54</v>
      </c>
      <c r="B46">
        <v>268.77</v>
      </c>
      <c r="C46">
        <v>3.5999999999999997E-2</v>
      </c>
      <c r="D46">
        <v>27.521000000000001</v>
      </c>
      <c r="E46">
        <v>1178.98</v>
      </c>
      <c r="F46">
        <v>281.58999999999997</v>
      </c>
      <c r="G46">
        <v>2790.86</v>
      </c>
      <c r="H46">
        <v>666.59</v>
      </c>
      <c r="I46">
        <v>1611.88</v>
      </c>
      <c r="J46">
        <v>384.99</v>
      </c>
      <c r="K46">
        <v>4.3293999999999997</v>
      </c>
      <c r="L46">
        <v>1.8E-5</v>
      </c>
    </row>
    <row r="47" spans="1:22" x14ac:dyDescent="0.25">
      <c r="A47">
        <v>55</v>
      </c>
      <c r="B47">
        <v>269.94</v>
      </c>
      <c r="C47">
        <v>3.5999999999999997E-2</v>
      </c>
      <c r="D47">
        <v>28.067</v>
      </c>
      <c r="E47">
        <v>1184.93</v>
      </c>
      <c r="F47">
        <v>283.02</v>
      </c>
      <c r="G47">
        <v>2789.95</v>
      </c>
      <c r="H47">
        <v>666.37</v>
      </c>
      <c r="I47">
        <v>1605.03</v>
      </c>
      <c r="J47">
        <v>383.35</v>
      </c>
      <c r="K47">
        <v>4.3705999999999996</v>
      </c>
      <c r="L47">
        <v>1.8E-5</v>
      </c>
    </row>
    <row r="48" spans="1:22" x14ac:dyDescent="0.25">
      <c r="A48">
        <v>56</v>
      </c>
      <c r="B48">
        <v>271.08999999999997</v>
      </c>
      <c r="C48">
        <v>3.5000000000000003E-2</v>
      </c>
      <c r="D48">
        <v>28.614000000000001</v>
      </c>
      <c r="E48">
        <v>1190.81</v>
      </c>
      <c r="F48">
        <v>284.42</v>
      </c>
      <c r="G48">
        <v>2789.02</v>
      </c>
      <c r="H48">
        <v>666.15</v>
      </c>
      <c r="I48">
        <v>1598.21</v>
      </c>
      <c r="J48">
        <v>381.73</v>
      </c>
      <c r="K48">
        <v>4.4122000000000003</v>
      </c>
      <c r="L48">
        <v>1.8E-5</v>
      </c>
    </row>
    <row r="49" spans="1:12" x14ac:dyDescent="0.25">
      <c r="A49">
        <v>57</v>
      </c>
      <c r="B49">
        <v>272.23</v>
      </c>
      <c r="C49">
        <v>3.4000000000000002E-2</v>
      </c>
      <c r="D49">
        <v>29.164000000000001</v>
      </c>
      <c r="E49">
        <v>1196.6400000000001</v>
      </c>
      <c r="F49">
        <v>285.81</v>
      </c>
      <c r="G49">
        <v>2788.07</v>
      </c>
      <c r="H49">
        <v>665.92</v>
      </c>
      <c r="I49">
        <v>1591.43</v>
      </c>
      <c r="J49">
        <v>380.11</v>
      </c>
      <c r="K49">
        <v>4.4541000000000004</v>
      </c>
      <c r="L49">
        <v>1.8E-5</v>
      </c>
    </row>
    <row r="50" spans="1:12" x14ac:dyDescent="0.25">
      <c r="A50">
        <v>58</v>
      </c>
      <c r="B50">
        <v>273.36</v>
      </c>
      <c r="C50">
        <v>3.4000000000000002E-2</v>
      </c>
      <c r="D50">
        <v>29.716000000000001</v>
      </c>
      <c r="E50">
        <v>1202.4000000000001</v>
      </c>
      <c r="F50">
        <v>287.19</v>
      </c>
      <c r="G50">
        <v>2787.09</v>
      </c>
      <c r="H50">
        <v>665.68</v>
      </c>
      <c r="I50">
        <v>1584.69</v>
      </c>
      <c r="J50">
        <v>378.5</v>
      </c>
      <c r="K50">
        <v>4.4962999999999997</v>
      </c>
      <c r="L50">
        <v>1.9000000000000001E-5</v>
      </c>
    </row>
    <row r="51" spans="1:12" x14ac:dyDescent="0.25">
      <c r="A51">
        <v>59</v>
      </c>
      <c r="B51">
        <v>274.47000000000003</v>
      </c>
      <c r="C51">
        <v>3.3000000000000002E-2</v>
      </c>
      <c r="D51">
        <v>30.27</v>
      </c>
      <c r="E51">
        <v>1208.0999999999999</v>
      </c>
      <c r="F51">
        <v>288.55</v>
      </c>
      <c r="G51">
        <v>2786.08</v>
      </c>
      <c r="H51">
        <v>665.44</v>
      </c>
      <c r="I51">
        <v>1577.98</v>
      </c>
      <c r="J51">
        <v>376.89</v>
      </c>
      <c r="K51">
        <v>4.5388999999999999</v>
      </c>
      <c r="L51">
        <v>1.9000000000000001E-5</v>
      </c>
    </row>
    <row r="52" spans="1:12" x14ac:dyDescent="0.25">
      <c r="A52">
        <v>60</v>
      </c>
      <c r="B52">
        <v>275.56</v>
      </c>
      <c r="C52">
        <v>3.2000000000000001E-2</v>
      </c>
      <c r="D52">
        <v>30.827000000000002</v>
      </c>
      <c r="E52">
        <v>1213.75</v>
      </c>
      <c r="F52">
        <v>289.89999999999998</v>
      </c>
      <c r="G52">
        <v>2785.05</v>
      </c>
      <c r="H52">
        <v>665.2</v>
      </c>
      <c r="I52">
        <v>1571.31</v>
      </c>
      <c r="J52">
        <v>375.3</v>
      </c>
      <c r="K52">
        <v>4.5819000000000001</v>
      </c>
      <c r="L52">
        <v>1.9000000000000001E-5</v>
      </c>
    </row>
    <row r="53" spans="1:12" x14ac:dyDescent="0.25">
      <c r="A53">
        <v>61</v>
      </c>
      <c r="B53">
        <v>276.64</v>
      </c>
      <c r="C53">
        <v>3.2000000000000001E-2</v>
      </c>
      <c r="D53">
        <v>31.385999999999999</v>
      </c>
      <c r="E53">
        <v>1219.3399999999999</v>
      </c>
      <c r="F53">
        <v>291.23</v>
      </c>
      <c r="G53">
        <v>2784</v>
      </c>
      <c r="H53">
        <v>664.95</v>
      </c>
      <c r="I53">
        <v>1564.66</v>
      </c>
      <c r="J53">
        <v>373.71</v>
      </c>
      <c r="K53">
        <v>4.6253000000000002</v>
      </c>
      <c r="L53">
        <v>1.9000000000000001E-5</v>
      </c>
    </row>
    <row r="54" spans="1:12" x14ac:dyDescent="0.25">
      <c r="A54">
        <v>62</v>
      </c>
      <c r="B54">
        <v>277.70999999999998</v>
      </c>
      <c r="C54">
        <v>3.1E-2</v>
      </c>
      <c r="D54">
        <v>31.946999999999999</v>
      </c>
      <c r="E54">
        <v>1224.8800000000001</v>
      </c>
      <c r="F54">
        <v>292.56</v>
      </c>
      <c r="G54">
        <v>2782.92</v>
      </c>
      <c r="H54">
        <v>664.69</v>
      </c>
      <c r="I54">
        <v>1558.04</v>
      </c>
      <c r="J54">
        <v>372.13</v>
      </c>
      <c r="K54">
        <v>4.6691000000000003</v>
      </c>
      <c r="L54">
        <v>1.9000000000000001E-5</v>
      </c>
    </row>
    <row r="55" spans="1:12" x14ac:dyDescent="0.25">
      <c r="A55">
        <v>63</v>
      </c>
      <c r="B55">
        <v>278.76</v>
      </c>
      <c r="C55">
        <v>3.1E-2</v>
      </c>
      <c r="D55">
        <v>32.511000000000003</v>
      </c>
      <c r="E55">
        <v>1230.3699999999999</v>
      </c>
      <c r="F55">
        <v>293.87</v>
      </c>
      <c r="G55">
        <v>2781.82</v>
      </c>
      <c r="H55">
        <v>664.43</v>
      </c>
      <c r="I55">
        <v>1551.45</v>
      </c>
      <c r="J55">
        <v>370.56</v>
      </c>
      <c r="K55">
        <v>4.7133000000000003</v>
      </c>
      <c r="L55">
        <v>1.9000000000000001E-5</v>
      </c>
    </row>
    <row r="56" spans="1:12" x14ac:dyDescent="0.25">
      <c r="A56">
        <v>64</v>
      </c>
      <c r="B56">
        <v>279.8</v>
      </c>
      <c r="C56">
        <v>0.03</v>
      </c>
      <c r="D56">
        <v>33.076999999999998</v>
      </c>
      <c r="E56">
        <v>1235.81</v>
      </c>
      <c r="F56">
        <v>295.17</v>
      </c>
      <c r="G56">
        <v>2780.7</v>
      </c>
      <c r="H56">
        <v>664.16</v>
      </c>
      <c r="I56">
        <v>1544.89</v>
      </c>
      <c r="J56">
        <v>368.99</v>
      </c>
      <c r="K56">
        <v>4.7577999999999996</v>
      </c>
      <c r="L56">
        <v>1.9000000000000001E-5</v>
      </c>
    </row>
    <row r="57" spans="1:12" x14ac:dyDescent="0.25">
      <c r="A57">
        <v>65</v>
      </c>
      <c r="B57">
        <v>280.83</v>
      </c>
      <c r="C57">
        <v>0.03</v>
      </c>
      <c r="D57">
        <v>33.646000000000001</v>
      </c>
      <c r="E57">
        <v>1241.2</v>
      </c>
      <c r="F57">
        <v>296.45</v>
      </c>
      <c r="G57">
        <v>2779.55</v>
      </c>
      <c r="H57">
        <v>663.89</v>
      </c>
      <c r="I57">
        <v>1538.36</v>
      </c>
      <c r="J57">
        <v>367.43</v>
      </c>
      <c r="K57">
        <v>4.8029000000000002</v>
      </c>
      <c r="L57">
        <v>1.9000000000000001E-5</v>
      </c>
    </row>
    <row r="58" spans="1:12" x14ac:dyDescent="0.25">
      <c r="A58">
        <v>66</v>
      </c>
      <c r="B58">
        <v>281.85000000000002</v>
      </c>
      <c r="C58">
        <v>2.9000000000000001E-2</v>
      </c>
      <c r="D58">
        <v>34.218000000000004</v>
      </c>
      <c r="E58">
        <v>1246.54</v>
      </c>
      <c r="F58">
        <v>297.73</v>
      </c>
      <c r="G58">
        <v>2778.39</v>
      </c>
      <c r="H58">
        <v>663.61</v>
      </c>
      <c r="I58">
        <v>1531.85</v>
      </c>
      <c r="J58">
        <v>365.88</v>
      </c>
      <c r="K58">
        <v>4.8483000000000001</v>
      </c>
      <c r="L58">
        <v>1.9000000000000001E-5</v>
      </c>
    </row>
    <row r="59" spans="1:12" x14ac:dyDescent="0.25">
      <c r="A59">
        <v>67</v>
      </c>
      <c r="B59">
        <v>282.85000000000002</v>
      </c>
      <c r="C59">
        <v>2.9000000000000001E-2</v>
      </c>
      <c r="D59">
        <v>34.792000000000002</v>
      </c>
      <c r="E59">
        <v>1251.8399999999999</v>
      </c>
      <c r="F59">
        <v>299</v>
      </c>
      <c r="G59">
        <v>2777.2</v>
      </c>
      <c r="H59">
        <v>663.32</v>
      </c>
      <c r="I59">
        <v>1525.36</v>
      </c>
      <c r="J59">
        <v>364.33</v>
      </c>
      <c r="K59">
        <v>4.8943000000000003</v>
      </c>
      <c r="L59">
        <v>1.9000000000000001E-5</v>
      </c>
    </row>
    <row r="60" spans="1:12" x14ac:dyDescent="0.25">
      <c r="A60">
        <v>68</v>
      </c>
      <c r="B60">
        <v>283.85000000000002</v>
      </c>
      <c r="C60">
        <v>2.8000000000000001E-2</v>
      </c>
      <c r="D60">
        <v>35.368000000000002</v>
      </c>
      <c r="E60">
        <v>1257.0899999999999</v>
      </c>
      <c r="F60">
        <v>300.25</v>
      </c>
      <c r="G60">
        <v>2775.99</v>
      </c>
      <c r="H60">
        <v>663.03</v>
      </c>
      <c r="I60">
        <v>1518.9</v>
      </c>
      <c r="J60">
        <v>362.78</v>
      </c>
      <c r="K60">
        <v>4.9406999999999996</v>
      </c>
      <c r="L60">
        <v>1.9000000000000001E-5</v>
      </c>
    </row>
    <row r="61" spans="1:12" x14ac:dyDescent="0.25">
      <c r="A61">
        <v>69</v>
      </c>
      <c r="B61">
        <v>284.83</v>
      </c>
      <c r="C61">
        <v>2.8000000000000001E-2</v>
      </c>
      <c r="D61">
        <v>35.948</v>
      </c>
      <c r="E61">
        <v>1262.31</v>
      </c>
      <c r="F61">
        <v>301.5</v>
      </c>
      <c r="G61">
        <v>2774.76</v>
      </c>
      <c r="H61">
        <v>662.74</v>
      </c>
      <c r="I61">
        <v>1512.45</v>
      </c>
      <c r="J61">
        <v>361.24</v>
      </c>
      <c r="K61">
        <v>4.9874999999999998</v>
      </c>
      <c r="L61">
        <v>1.9000000000000001E-5</v>
      </c>
    </row>
    <row r="62" spans="1:12" x14ac:dyDescent="0.25">
      <c r="A62">
        <v>70</v>
      </c>
      <c r="B62">
        <v>285.8</v>
      </c>
      <c r="C62">
        <v>2.7E-2</v>
      </c>
      <c r="D62">
        <v>36.529000000000003</v>
      </c>
      <c r="E62">
        <v>1267.48</v>
      </c>
      <c r="F62">
        <v>302.73</v>
      </c>
      <c r="G62">
        <v>2773.51</v>
      </c>
      <c r="H62">
        <v>662.44</v>
      </c>
      <c r="I62">
        <v>1506.03</v>
      </c>
      <c r="J62">
        <v>359.71</v>
      </c>
      <c r="K62">
        <v>5.0347999999999997</v>
      </c>
      <c r="L62">
        <v>1.9000000000000001E-5</v>
      </c>
    </row>
    <row r="63" spans="1:12" x14ac:dyDescent="0.25">
      <c r="A63">
        <v>71</v>
      </c>
      <c r="B63">
        <v>286.76</v>
      </c>
      <c r="C63">
        <v>2.7E-2</v>
      </c>
      <c r="D63">
        <v>37.113999999999997</v>
      </c>
      <c r="E63">
        <v>1272.6099999999999</v>
      </c>
      <c r="F63">
        <v>303.95999999999998</v>
      </c>
      <c r="G63">
        <v>2772.24</v>
      </c>
      <c r="H63">
        <v>662.14</v>
      </c>
      <c r="I63">
        <v>1499.63</v>
      </c>
      <c r="J63">
        <v>358.18</v>
      </c>
      <c r="K63">
        <v>5.0827</v>
      </c>
      <c r="L63">
        <v>1.9000000000000001E-5</v>
      </c>
    </row>
    <row r="64" spans="1:12" x14ac:dyDescent="0.25">
      <c r="A64">
        <v>72</v>
      </c>
      <c r="B64">
        <v>287.70999999999998</v>
      </c>
      <c r="C64">
        <v>2.7E-2</v>
      </c>
      <c r="D64">
        <v>37.701999999999998</v>
      </c>
      <c r="E64">
        <v>1277.7</v>
      </c>
      <c r="F64">
        <v>305.17</v>
      </c>
      <c r="G64">
        <v>2770.95</v>
      </c>
      <c r="H64">
        <v>661.83</v>
      </c>
      <c r="I64">
        <v>1493.25</v>
      </c>
      <c r="J64">
        <v>356.66</v>
      </c>
      <c r="K64">
        <v>5.1310000000000002</v>
      </c>
      <c r="L64">
        <v>1.9000000000000001E-5</v>
      </c>
    </row>
    <row r="65" spans="1:12" x14ac:dyDescent="0.25">
      <c r="A65">
        <v>73</v>
      </c>
      <c r="B65">
        <v>288.64999999999998</v>
      </c>
      <c r="C65">
        <v>2.5999999999999999E-2</v>
      </c>
      <c r="D65">
        <v>38.292000000000002</v>
      </c>
      <c r="E65">
        <v>1282.75</v>
      </c>
      <c r="F65">
        <v>306.38</v>
      </c>
      <c r="G65">
        <v>2769.64</v>
      </c>
      <c r="H65">
        <v>661.52</v>
      </c>
      <c r="I65">
        <v>1486.89</v>
      </c>
      <c r="J65">
        <v>355.14</v>
      </c>
      <c r="K65">
        <v>5.1798000000000002</v>
      </c>
      <c r="L65">
        <v>1.9000000000000001E-5</v>
      </c>
    </row>
    <row r="66" spans="1:12" x14ac:dyDescent="0.25">
      <c r="A66">
        <v>74</v>
      </c>
      <c r="B66">
        <v>289.58999999999997</v>
      </c>
      <c r="C66">
        <v>2.5999999999999999E-2</v>
      </c>
      <c r="D66">
        <v>38.884999999999998</v>
      </c>
      <c r="E66">
        <v>1287.77</v>
      </c>
      <c r="F66">
        <v>307.58</v>
      </c>
      <c r="G66">
        <v>2768.31</v>
      </c>
      <c r="H66">
        <v>661.2</v>
      </c>
      <c r="I66">
        <v>1480.54</v>
      </c>
      <c r="J66">
        <v>353.62</v>
      </c>
      <c r="K66">
        <v>5.2291999999999996</v>
      </c>
      <c r="L66">
        <v>1.9000000000000001E-5</v>
      </c>
    </row>
    <row r="67" spans="1:12" x14ac:dyDescent="0.25">
      <c r="A67">
        <v>75</v>
      </c>
      <c r="B67">
        <v>290.51</v>
      </c>
      <c r="C67">
        <v>2.5000000000000001E-2</v>
      </c>
      <c r="D67">
        <v>39.481000000000002</v>
      </c>
      <c r="E67">
        <v>1292.75</v>
      </c>
      <c r="F67">
        <v>308.77</v>
      </c>
      <c r="G67">
        <v>2766.97</v>
      </c>
      <c r="H67">
        <v>660.88</v>
      </c>
      <c r="I67">
        <v>1474.21</v>
      </c>
      <c r="J67">
        <v>352.11</v>
      </c>
      <c r="K67">
        <v>5.2790999999999997</v>
      </c>
      <c r="L67">
        <v>1.9000000000000001E-5</v>
      </c>
    </row>
    <row r="68" spans="1:12" x14ac:dyDescent="0.25">
      <c r="A68">
        <v>76</v>
      </c>
      <c r="B68">
        <v>291.42</v>
      </c>
      <c r="C68">
        <v>2.5000000000000001E-2</v>
      </c>
      <c r="D68">
        <v>40.08</v>
      </c>
      <c r="E68">
        <v>1297.7</v>
      </c>
      <c r="F68">
        <v>309.95</v>
      </c>
      <c r="G68">
        <v>2765.6</v>
      </c>
      <c r="H68">
        <v>660.55</v>
      </c>
      <c r="I68">
        <v>1467.9</v>
      </c>
      <c r="J68">
        <v>350.6</v>
      </c>
      <c r="K68">
        <v>5.3295000000000003</v>
      </c>
      <c r="L68">
        <v>1.9000000000000001E-5</v>
      </c>
    </row>
    <row r="69" spans="1:12" x14ac:dyDescent="0.25">
      <c r="A69">
        <v>77</v>
      </c>
      <c r="B69">
        <v>292.32</v>
      </c>
      <c r="C69">
        <v>2.5000000000000001E-2</v>
      </c>
      <c r="D69">
        <v>40.680999999999997</v>
      </c>
      <c r="E69">
        <v>1302.6099999999999</v>
      </c>
      <c r="F69">
        <v>311.12</v>
      </c>
      <c r="G69">
        <v>2764.22</v>
      </c>
      <c r="H69">
        <v>660.22</v>
      </c>
      <c r="I69">
        <v>1461.61</v>
      </c>
      <c r="J69">
        <v>349.1</v>
      </c>
      <c r="K69">
        <v>5.3804999999999996</v>
      </c>
      <c r="L69">
        <v>1.9000000000000001E-5</v>
      </c>
    </row>
    <row r="70" spans="1:12" x14ac:dyDescent="0.25">
      <c r="A70">
        <v>78</v>
      </c>
      <c r="B70">
        <v>293.22000000000003</v>
      </c>
      <c r="C70">
        <v>2.4E-2</v>
      </c>
      <c r="D70">
        <v>41.286000000000001</v>
      </c>
      <c r="E70">
        <v>1307.49</v>
      </c>
      <c r="F70">
        <v>312.29000000000002</v>
      </c>
      <c r="G70">
        <v>2762.81</v>
      </c>
      <c r="H70">
        <v>659.89</v>
      </c>
      <c r="I70">
        <v>1455.32</v>
      </c>
      <c r="J70">
        <v>347.6</v>
      </c>
      <c r="K70">
        <v>5.4321000000000002</v>
      </c>
      <c r="L70">
        <v>1.9000000000000001E-5</v>
      </c>
    </row>
    <row r="71" spans="1:12" x14ac:dyDescent="0.25">
      <c r="A71">
        <v>79</v>
      </c>
      <c r="B71">
        <v>294.10000000000002</v>
      </c>
      <c r="C71">
        <v>2.4E-2</v>
      </c>
      <c r="D71">
        <v>41.893999999999998</v>
      </c>
      <c r="E71">
        <v>1312.34</v>
      </c>
      <c r="F71">
        <v>313.45</v>
      </c>
      <c r="G71">
        <v>2761.39</v>
      </c>
      <c r="H71">
        <v>659.55</v>
      </c>
      <c r="I71">
        <v>1449.06</v>
      </c>
      <c r="J71">
        <v>346.1</v>
      </c>
      <c r="K71">
        <v>5.4843000000000002</v>
      </c>
      <c r="L71">
        <v>1.9000000000000001E-5</v>
      </c>
    </row>
    <row r="72" spans="1:12" x14ac:dyDescent="0.25">
      <c r="A72">
        <v>80</v>
      </c>
      <c r="B72">
        <v>294.98</v>
      </c>
      <c r="C72">
        <v>2.4E-2</v>
      </c>
      <c r="D72">
        <v>42.505000000000003</v>
      </c>
      <c r="E72">
        <v>1317.15</v>
      </c>
      <c r="F72">
        <v>314.60000000000002</v>
      </c>
      <c r="G72">
        <v>2759.95</v>
      </c>
      <c r="H72">
        <v>659.2</v>
      </c>
      <c r="I72">
        <v>1442.8</v>
      </c>
      <c r="J72">
        <v>344.61</v>
      </c>
      <c r="K72">
        <v>5.5369999999999999</v>
      </c>
      <c r="L72">
        <v>1.9000000000000001E-5</v>
      </c>
    </row>
    <row r="73" spans="1:12" x14ac:dyDescent="0.25">
      <c r="A73">
        <v>81</v>
      </c>
      <c r="B73">
        <v>295.85000000000002</v>
      </c>
      <c r="C73">
        <v>2.3E-2</v>
      </c>
      <c r="D73">
        <v>43.118000000000002</v>
      </c>
      <c r="E73">
        <v>1321.94</v>
      </c>
      <c r="F73">
        <v>315.74</v>
      </c>
      <c r="G73">
        <v>2758.5</v>
      </c>
      <c r="H73">
        <v>658.86</v>
      </c>
      <c r="I73">
        <v>1436.56</v>
      </c>
      <c r="J73">
        <v>343.12</v>
      </c>
      <c r="K73">
        <v>5.5903999999999998</v>
      </c>
      <c r="L73">
        <v>2.0000000000000002E-5</v>
      </c>
    </row>
    <row r="74" spans="1:12" x14ac:dyDescent="0.25">
      <c r="A74">
        <v>82</v>
      </c>
      <c r="B74">
        <v>296.70999999999998</v>
      </c>
      <c r="C74">
        <v>2.3E-2</v>
      </c>
      <c r="D74">
        <v>43.734999999999999</v>
      </c>
      <c r="E74">
        <v>1326.7</v>
      </c>
      <c r="F74">
        <v>316.88</v>
      </c>
      <c r="G74">
        <v>2757.03</v>
      </c>
      <c r="H74">
        <v>658.5</v>
      </c>
      <c r="I74">
        <v>1430.33</v>
      </c>
      <c r="J74">
        <v>341.63</v>
      </c>
      <c r="K74">
        <v>5.6443000000000003</v>
      </c>
      <c r="L74">
        <v>2.0000000000000002E-5</v>
      </c>
    </row>
    <row r="75" spans="1:12" x14ac:dyDescent="0.25">
      <c r="A75">
        <v>83</v>
      </c>
      <c r="B75">
        <v>297.56</v>
      </c>
      <c r="C75">
        <v>2.3E-2</v>
      </c>
      <c r="D75">
        <v>44.356000000000002</v>
      </c>
      <c r="E75">
        <v>1331.42</v>
      </c>
      <c r="F75">
        <v>318.01</v>
      </c>
      <c r="G75">
        <v>2755.54</v>
      </c>
      <c r="H75">
        <v>658.15</v>
      </c>
      <c r="I75">
        <v>1424.11</v>
      </c>
      <c r="J75">
        <v>340.14</v>
      </c>
      <c r="K75">
        <v>5.6989000000000001</v>
      </c>
      <c r="L75">
        <v>2.0000000000000002E-5</v>
      </c>
    </row>
    <row r="76" spans="1:12" x14ac:dyDescent="0.25">
      <c r="A76">
        <v>84</v>
      </c>
      <c r="B76">
        <v>298.39999999999998</v>
      </c>
      <c r="C76">
        <v>2.1999999999999999E-2</v>
      </c>
      <c r="D76">
        <v>44.978999999999999</v>
      </c>
      <c r="E76">
        <v>1336.12</v>
      </c>
      <c r="F76">
        <v>319.13</v>
      </c>
      <c r="G76">
        <v>2754.03</v>
      </c>
      <c r="H76">
        <v>657.79</v>
      </c>
      <c r="I76">
        <v>1417.91</v>
      </c>
      <c r="J76">
        <v>338.66</v>
      </c>
      <c r="K76">
        <v>5.7542</v>
      </c>
      <c r="L76">
        <v>2.0000000000000002E-5</v>
      </c>
    </row>
    <row r="77" spans="1:12" x14ac:dyDescent="0.25">
      <c r="A77">
        <v>85</v>
      </c>
      <c r="B77">
        <v>299.24</v>
      </c>
      <c r="C77">
        <v>2.1999999999999999E-2</v>
      </c>
      <c r="D77">
        <v>45.606000000000002</v>
      </c>
      <c r="E77">
        <v>1340.79</v>
      </c>
      <c r="F77">
        <v>320.24</v>
      </c>
      <c r="G77">
        <v>2752.5</v>
      </c>
      <c r="H77">
        <v>657.42</v>
      </c>
      <c r="I77">
        <v>1411.71</v>
      </c>
      <c r="J77">
        <v>337.18</v>
      </c>
      <c r="K77">
        <v>5.8101000000000003</v>
      </c>
      <c r="L77">
        <v>2.0000000000000002E-5</v>
      </c>
    </row>
    <row r="78" spans="1:12" x14ac:dyDescent="0.25">
      <c r="A78">
        <v>86</v>
      </c>
      <c r="B78">
        <v>300.07</v>
      </c>
      <c r="C78">
        <v>2.1999999999999999E-2</v>
      </c>
      <c r="D78">
        <v>46.234999999999999</v>
      </c>
      <c r="E78">
        <v>1345.44</v>
      </c>
      <c r="F78">
        <v>321.35000000000002</v>
      </c>
      <c r="G78">
        <v>2750.97</v>
      </c>
      <c r="H78">
        <v>657.06</v>
      </c>
      <c r="I78">
        <v>1405.52</v>
      </c>
      <c r="J78">
        <v>335.7</v>
      </c>
      <c r="K78">
        <v>5.8666</v>
      </c>
      <c r="L78">
        <v>2.0000000000000002E-5</v>
      </c>
    </row>
    <row r="79" spans="1:12" x14ac:dyDescent="0.25">
      <c r="A79">
        <v>87</v>
      </c>
      <c r="B79">
        <v>300.89</v>
      </c>
      <c r="C79">
        <v>2.1000000000000001E-2</v>
      </c>
      <c r="D79">
        <v>46.869</v>
      </c>
      <c r="E79">
        <v>1350.06</v>
      </c>
      <c r="F79">
        <v>322.45999999999998</v>
      </c>
      <c r="G79">
        <v>2749.41</v>
      </c>
      <c r="H79">
        <v>656.68</v>
      </c>
      <c r="I79">
        <v>1399.35</v>
      </c>
      <c r="J79">
        <v>334.23</v>
      </c>
      <c r="K79">
        <v>5.9238999999999997</v>
      </c>
      <c r="L79">
        <v>2.0000000000000002E-5</v>
      </c>
    </row>
    <row r="80" spans="1:12" x14ac:dyDescent="0.25">
      <c r="A80">
        <v>88</v>
      </c>
      <c r="B80">
        <v>301.70999999999998</v>
      </c>
      <c r="C80">
        <v>2.1000000000000001E-2</v>
      </c>
      <c r="D80">
        <v>47.505000000000003</v>
      </c>
      <c r="E80">
        <v>1354.66</v>
      </c>
      <c r="F80">
        <v>323.55</v>
      </c>
      <c r="G80">
        <v>2747.84</v>
      </c>
      <c r="H80">
        <v>656.31</v>
      </c>
      <c r="I80">
        <v>1393.18</v>
      </c>
      <c r="J80">
        <v>332.76</v>
      </c>
      <c r="K80">
        <v>5.9817999999999998</v>
      </c>
      <c r="L80">
        <v>2.0000000000000002E-5</v>
      </c>
    </row>
    <row r="81" spans="1:12" x14ac:dyDescent="0.25">
      <c r="A81">
        <v>89</v>
      </c>
      <c r="B81">
        <v>302.51</v>
      </c>
      <c r="C81">
        <v>2.1000000000000001E-2</v>
      </c>
      <c r="D81">
        <v>48.146000000000001</v>
      </c>
      <c r="E81">
        <v>1359.22</v>
      </c>
      <c r="F81">
        <v>324.64999999999998</v>
      </c>
      <c r="G81">
        <v>2746.25</v>
      </c>
      <c r="H81">
        <v>655.93</v>
      </c>
      <c r="I81">
        <v>1387.02</v>
      </c>
      <c r="J81">
        <v>331.28</v>
      </c>
      <c r="K81">
        <v>6.0404</v>
      </c>
      <c r="L81">
        <v>2.0000000000000002E-5</v>
      </c>
    </row>
    <row r="82" spans="1:12" x14ac:dyDescent="0.25">
      <c r="A82">
        <v>90</v>
      </c>
      <c r="B82">
        <v>303.31</v>
      </c>
      <c r="C82">
        <v>0.02</v>
      </c>
      <c r="D82">
        <v>48.789000000000001</v>
      </c>
      <c r="E82">
        <v>1363.77</v>
      </c>
      <c r="F82">
        <v>325.73</v>
      </c>
      <c r="G82">
        <v>2744.64</v>
      </c>
      <c r="H82">
        <v>655.55</v>
      </c>
      <c r="I82">
        <v>1380.87</v>
      </c>
      <c r="J82">
        <v>329.82</v>
      </c>
      <c r="K82">
        <v>6.0998000000000001</v>
      </c>
      <c r="L82">
        <v>2.0000000000000002E-5</v>
      </c>
    </row>
    <row r="83" spans="1:12" x14ac:dyDescent="0.25">
      <c r="A83">
        <v>91</v>
      </c>
      <c r="B83">
        <v>304.11</v>
      </c>
      <c r="C83">
        <v>0.02</v>
      </c>
      <c r="D83">
        <v>49.436</v>
      </c>
      <c r="E83">
        <v>1368.29</v>
      </c>
      <c r="F83">
        <v>326.81</v>
      </c>
      <c r="G83">
        <v>2743.02</v>
      </c>
      <c r="H83">
        <v>655.16</v>
      </c>
      <c r="I83">
        <v>1374.73</v>
      </c>
      <c r="J83">
        <v>328.35</v>
      </c>
      <c r="K83">
        <v>6.1599000000000004</v>
      </c>
      <c r="L83">
        <v>2.0000000000000002E-5</v>
      </c>
    </row>
    <row r="84" spans="1:12" x14ac:dyDescent="0.25">
      <c r="A84">
        <v>92</v>
      </c>
      <c r="B84">
        <v>304.89</v>
      </c>
      <c r="C84">
        <v>0.02</v>
      </c>
      <c r="D84">
        <v>50.087000000000003</v>
      </c>
      <c r="E84">
        <v>1372.8</v>
      </c>
      <c r="F84">
        <v>327.89</v>
      </c>
      <c r="G84">
        <v>2741.39</v>
      </c>
      <c r="H84">
        <v>654.77</v>
      </c>
      <c r="I84">
        <v>1368.59</v>
      </c>
      <c r="J84">
        <v>326.88</v>
      </c>
      <c r="K84">
        <v>6.2207999999999997</v>
      </c>
      <c r="L84">
        <v>2.0000000000000002E-5</v>
      </c>
    </row>
    <row r="85" spans="1:12" x14ac:dyDescent="0.25">
      <c r="A85">
        <v>93</v>
      </c>
      <c r="B85">
        <v>305.67</v>
      </c>
      <c r="C85">
        <v>0.02</v>
      </c>
      <c r="D85">
        <v>50.741</v>
      </c>
      <c r="E85">
        <v>1377.27</v>
      </c>
      <c r="F85">
        <v>328.96</v>
      </c>
      <c r="G85">
        <v>2739.73</v>
      </c>
      <c r="H85">
        <v>654.37</v>
      </c>
      <c r="I85">
        <v>1362.46</v>
      </c>
      <c r="J85">
        <v>325.42</v>
      </c>
      <c r="K85">
        <v>6.2824999999999998</v>
      </c>
      <c r="L85">
        <v>2.0000000000000002E-5</v>
      </c>
    </row>
    <row r="86" spans="1:12" x14ac:dyDescent="0.25">
      <c r="A86">
        <v>94</v>
      </c>
      <c r="B86">
        <v>306.45</v>
      </c>
      <c r="C86">
        <v>1.9E-2</v>
      </c>
      <c r="D86">
        <v>51.399000000000001</v>
      </c>
      <c r="E86">
        <v>1381.73</v>
      </c>
      <c r="F86">
        <v>330.02</v>
      </c>
      <c r="G86">
        <v>2738.07</v>
      </c>
      <c r="H86">
        <v>653.98</v>
      </c>
      <c r="I86">
        <v>1356.34</v>
      </c>
      <c r="J86">
        <v>323.95999999999998</v>
      </c>
      <c r="K86">
        <v>6.3449999999999998</v>
      </c>
      <c r="L86">
        <v>2.0000000000000002E-5</v>
      </c>
    </row>
    <row r="87" spans="1:12" x14ac:dyDescent="0.25">
      <c r="A87">
        <v>95</v>
      </c>
      <c r="B87">
        <v>307.22000000000003</v>
      </c>
      <c r="C87">
        <v>1.9E-2</v>
      </c>
      <c r="D87">
        <v>52.061</v>
      </c>
      <c r="E87">
        <v>1386.17</v>
      </c>
      <c r="F87">
        <v>331.08</v>
      </c>
      <c r="G87">
        <v>2736.38</v>
      </c>
      <c r="H87">
        <v>653.57000000000005</v>
      </c>
      <c r="I87">
        <v>1350.22</v>
      </c>
      <c r="J87">
        <v>322.49</v>
      </c>
      <c r="K87">
        <v>6.4082999999999997</v>
      </c>
      <c r="L87">
        <v>2.0000000000000002E-5</v>
      </c>
    </row>
    <row r="88" spans="1:12" x14ac:dyDescent="0.25">
      <c r="A88">
        <v>96</v>
      </c>
      <c r="B88">
        <v>307.98</v>
      </c>
      <c r="C88">
        <v>1.9E-2</v>
      </c>
      <c r="D88">
        <v>52.725999999999999</v>
      </c>
      <c r="E88">
        <v>1390.58</v>
      </c>
      <c r="F88">
        <v>332.13</v>
      </c>
      <c r="G88">
        <v>2734.69</v>
      </c>
      <c r="H88">
        <v>653.16999999999996</v>
      </c>
      <c r="I88">
        <v>1344.11</v>
      </c>
      <c r="J88">
        <v>321.02999999999997</v>
      </c>
      <c r="K88">
        <v>6.4725000000000001</v>
      </c>
      <c r="L88">
        <v>2.0000000000000002E-5</v>
      </c>
    </row>
    <row r="89" spans="1:12" x14ac:dyDescent="0.25">
      <c r="A89">
        <v>97</v>
      </c>
      <c r="B89">
        <v>308.73</v>
      </c>
      <c r="C89">
        <v>1.9E-2</v>
      </c>
      <c r="D89">
        <v>53.396000000000001</v>
      </c>
      <c r="E89">
        <v>1394.98</v>
      </c>
      <c r="F89">
        <v>333.18</v>
      </c>
      <c r="G89">
        <v>2732.98</v>
      </c>
      <c r="H89">
        <v>652.76</v>
      </c>
      <c r="I89">
        <v>1338</v>
      </c>
      <c r="J89">
        <v>319.57</v>
      </c>
      <c r="K89">
        <v>6.5376000000000003</v>
      </c>
      <c r="L89">
        <v>2.0000000000000002E-5</v>
      </c>
    </row>
    <row r="90" spans="1:12" x14ac:dyDescent="0.25">
      <c r="A90">
        <v>98</v>
      </c>
      <c r="B90">
        <v>309.48</v>
      </c>
      <c r="C90">
        <v>1.7999999999999999E-2</v>
      </c>
      <c r="D90">
        <v>54.069000000000003</v>
      </c>
      <c r="E90">
        <v>1399.35</v>
      </c>
      <c r="F90">
        <v>334.23</v>
      </c>
      <c r="G90">
        <v>2731.24</v>
      </c>
      <c r="H90">
        <v>652.35</v>
      </c>
      <c r="I90">
        <v>1331.89</v>
      </c>
      <c r="J90">
        <v>318.12</v>
      </c>
      <c r="K90">
        <v>6.6036000000000001</v>
      </c>
      <c r="L90">
        <v>2.0000000000000002E-5</v>
      </c>
    </row>
    <row r="91" spans="1:12" x14ac:dyDescent="0.25">
      <c r="A91">
        <v>99</v>
      </c>
      <c r="B91">
        <v>310.22000000000003</v>
      </c>
      <c r="C91">
        <v>1.7999999999999999E-2</v>
      </c>
      <c r="D91">
        <v>54.746000000000002</v>
      </c>
      <c r="E91">
        <v>1403.71</v>
      </c>
      <c r="F91">
        <v>335.27</v>
      </c>
      <c r="G91">
        <v>2729.5</v>
      </c>
      <c r="H91">
        <v>651.92999999999995</v>
      </c>
      <c r="I91">
        <v>1325.79</v>
      </c>
      <c r="J91">
        <v>316.66000000000003</v>
      </c>
      <c r="K91">
        <v>6.6704999999999997</v>
      </c>
      <c r="L91">
        <v>2.0000000000000002E-5</v>
      </c>
    </row>
    <row r="92" spans="1:12" x14ac:dyDescent="0.25">
      <c r="A92">
        <v>100</v>
      </c>
      <c r="B92">
        <v>310.95999999999998</v>
      </c>
      <c r="C92">
        <v>1.7999999999999999E-2</v>
      </c>
      <c r="D92">
        <v>55.427</v>
      </c>
      <c r="E92">
        <v>1408.05</v>
      </c>
      <c r="F92">
        <v>336.31</v>
      </c>
      <c r="G92">
        <v>2727.74</v>
      </c>
      <c r="H92">
        <v>651.51</v>
      </c>
      <c r="I92">
        <v>1319.69</v>
      </c>
      <c r="J92">
        <v>315.2</v>
      </c>
      <c r="K92">
        <v>6.7385000000000002</v>
      </c>
      <c r="L92">
        <v>2.0000000000000002E-5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B117"/>
  <sheetViews>
    <sheetView tabSelected="1" topLeftCell="E4" workbookViewId="0">
      <selection activeCell="AE7" sqref="AE7"/>
    </sheetView>
  </sheetViews>
  <sheetFormatPr defaultRowHeight="15" x14ac:dyDescent="0.25"/>
  <cols>
    <col min="1" max="1" width="48.85546875" customWidth="1"/>
    <col min="2" max="2" width="20.140625" customWidth="1"/>
    <col min="3" max="3" width="15" customWidth="1"/>
    <col min="4" max="4" width="15.5703125" customWidth="1"/>
    <col min="5" max="5" width="13.85546875" customWidth="1"/>
    <col min="6" max="6" width="10.85546875" customWidth="1"/>
    <col min="8" max="8" width="9.5703125" bestFit="1" customWidth="1"/>
    <col min="28" max="28" width="12" bestFit="1" customWidth="1"/>
  </cols>
  <sheetData>
    <row r="1" spans="1:16" x14ac:dyDescent="0.25">
      <c r="A1" s="5" t="s">
        <v>83</v>
      </c>
    </row>
    <row r="2" spans="1:16" x14ac:dyDescent="0.25">
      <c r="A2" s="473" t="s">
        <v>1407</v>
      </c>
      <c r="K2" t="s">
        <v>1421</v>
      </c>
      <c r="P2" s="5" t="s">
        <v>1429</v>
      </c>
    </row>
    <row r="3" spans="1:16" x14ac:dyDescent="0.25">
      <c r="B3" t="s">
        <v>1409</v>
      </c>
      <c r="C3" t="s">
        <v>295</v>
      </c>
      <c r="D3" t="s">
        <v>295</v>
      </c>
    </row>
    <row r="4" spans="1:16" x14ac:dyDescent="0.25">
      <c r="B4" t="s">
        <v>295</v>
      </c>
      <c r="C4" t="s">
        <v>300</v>
      </c>
      <c r="D4" t="s">
        <v>296</v>
      </c>
    </row>
    <row r="5" spans="1:16" x14ac:dyDescent="0.25">
      <c r="C5" t="s">
        <v>298</v>
      </c>
      <c r="D5" t="s">
        <v>297</v>
      </c>
    </row>
    <row r="6" spans="1:16" x14ac:dyDescent="0.25">
      <c r="C6" t="s">
        <v>301</v>
      </c>
      <c r="D6" t="s">
        <v>298</v>
      </c>
    </row>
    <row r="7" spans="1:16" x14ac:dyDescent="0.25">
      <c r="D7" t="s">
        <v>299</v>
      </c>
    </row>
    <row r="8" spans="1:16" x14ac:dyDescent="0.25">
      <c r="A8" t="s">
        <v>291</v>
      </c>
      <c r="B8">
        <v>2.9</v>
      </c>
      <c r="C8" s="80">
        <v>557117</v>
      </c>
      <c r="D8" s="80">
        <v>192033</v>
      </c>
      <c r="H8" s="82"/>
    </row>
    <row r="9" spans="1:16" x14ac:dyDescent="0.25">
      <c r="A9" t="s">
        <v>292</v>
      </c>
      <c r="B9">
        <v>0.6</v>
      </c>
      <c r="C9" s="80">
        <v>175943</v>
      </c>
      <c r="D9" s="80">
        <v>294463</v>
      </c>
    </row>
    <row r="10" spans="1:16" x14ac:dyDescent="0.25">
      <c r="A10" t="s">
        <v>293</v>
      </c>
      <c r="B10">
        <v>0.51</v>
      </c>
      <c r="C10" s="80">
        <v>313483</v>
      </c>
      <c r="D10" s="80">
        <v>615000</v>
      </c>
    </row>
    <row r="11" spans="1:16" x14ac:dyDescent="0.25">
      <c r="A11" s="59" t="s">
        <v>294</v>
      </c>
      <c r="B11" s="59">
        <v>0.67</v>
      </c>
      <c r="C11" s="407">
        <v>220003</v>
      </c>
      <c r="D11" s="407">
        <v>329626</v>
      </c>
    </row>
    <row r="12" spans="1:16" x14ac:dyDescent="0.25">
      <c r="A12" s="59"/>
      <c r="B12" s="59"/>
      <c r="C12" s="407"/>
      <c r="D12" s="407"/>
    </row>
    <row r="13" spans="1:16" x14ac:dyDescent="0.25">
      <c r="A13" s="411" t="s">
        <v>1401</v>
      </c>
      <c r="B13" s="193"/>
      <c r="C13" s="408"/>
      <c r="D13" s="408"/>
    </row>
    <row r="14" spans="1:16" x14ac:dyDescent="0.25">
      <c r="A14" s="59" t="s">
        <v>1400</v>
      </c>
      <c r="B14" s="501">
        <f>SUMPRODUCT(B9:B11,D9:D11)/SUM(D9:D11)</f>
        <v>0.57395168547214925</v>
      </c>
      <c r="C14" s="407">
        <f>SUMPRODUCT(C9:C11,D9:D11)/SUM(D9:D11)</f>
        <v>255929.52361533351</v>
      </c>
      <c r="D14" s="407">
        <f>AVERAGE(D9:D11)</f>
        <v>413029.66666666669</v>
      </c>
    </row>
    <row r="15" spans="1:16" x14ac:dyDescent="0.25">
      <c r="A15" s="193" t="s">
        <v>1399</v>
      </c>
      <c r="B15" s="193"/>
      <c r="C15" s="408">
        <f>12*C14</f>
        <v>3071154.2833840023</v>
      </c>
      <c r="D15" s="408">
        <f>12*D14</f>
        <v>4956356</v>
      </c>
    </row>
    <row r="16" spans="1:16" x14ac:dyDescent="0.25">
      <c r="C16" s="80"/>
      <c r="D16" s="80"/>
    </row>
    <row r="18" spans="1:11" x14ac:dyDescent="0.25">
      <c r="A18" t="s">
        <v>1410</v>
      </c>
      <c r="B18" s="5" t="s">
        <v>1396</v>
      </c>
      <c r="D18" s="5" t="s">
        <v>1397</v>
      </c>
    </row>
    <row r="19" spans="1:11" x14ac:dyDescent="0.25">
      <c r="B19" t="s">
        <v>801</v>
      </c>
      <c r="D19" t="s">
        <v>164</v>
      </c>
      <c r="E19" t="s">
        <v>305</v>
      </c>
      <c r="F19" t="s">
        <v>306</v>
      </c>
      <c r="G19" t="s">
        <v>307</v>
      </c>
    </row>
    <row r="20" spans="1:11" x14ac:dyDescent="0.25">
      <c r="A20" t="s">
        <v>1391</v>
      </c>
      <c r="B20" s="409">
        <f>41.4%-B21</f>
        <v>0.31877999999999995</v>
      </c>
      <c r="D20" s="409">
        <v>0</v>
      </c>
      <c r="E20" s="409">
        <v>0</v>
      </c>
      <c r="F20" s="409">
        <v>0</v>
      </c>
      <c r="G20" s="409">
        <v>0</v>
      </c>
      <c r="K20" s="82"/>
    </row>
    <row r="21" spans="1:11" x14ac:dyDescent="0.25">
      <c r="A21" t="s">
        <v>1392</v>
      </c>
      <c r="B21" s="409">
        <f>0.23*41.4%</f>
        <v>9.5219999999999999E-2</v>
      </c>
      <c r="D21" s="409">
        <v>0.52629287161777727</v>
      </c>
      <c r="E21" s="409">
        <v>0.50800000000000001</v>
      </c>
      <c r="F21" s="409">
        <v>0.54700000000000004</v>
      </c>
      <c r="G21" s="409">
        <v>0.504</v>
      </c>
      <c r="K21" s="82"/>
    </row>
    <row r="22" spans="1:11" x14ac:dyDescent="0.25">
      <c r="A22" t="s">
        <v>302</v>
      </c>
      <c r="B22" s="409">
        <v>0.47200000000000003</v>
      </c>
      <c r="D22" s="409">
        <v>0.32258030698359841</v>
      </c>
      <c r="E22" s="409">
        <v>0.29399999999999998</v>
      </c>
      <c r="F22" s="409">
        <v>0.32799999999999996</v>
      </c>
      <c r="G22" s="409">
        <v>0.33799999999999997</v>
      </c>
    </row>
    <row r="23" spans="1:11" x14ac:dyDescent="0.25">
      <c r="A23" t="s">
        <v>303</v>
      </c>
      <c r="B23" s="409">
        <v>0.10199999999999999</v>
      </c>
      <c r="D23" s="409">
        <v>0.11974113723872942</v>
      </c>
      <c r="E23" s="409">
        <v>0.19600000000000001</v>
      </c>
      <c r="F23" s="409">
        <v>0.11900000000000001</v>
      </c>
      <c r="G23" s="409">
        <v>5.2999999999999999E-2</v>
      </c>
    </row>
    <row r="24" spans="1:11" x14ac:dyDescent="0.25">
      <c r="A24" t="s">
        <v>304</v>
      </c>
      <c r="B24" s="409">
        <v>1.2E-2</v>
      </c>
      <c r="D24" s="409">
        <v>3.1385684159894886E-2</v>
      </c>
      <c r="E24" s="409">
        <v>2E-3</v>
      </c>
      <c r="F24" s="409">
        <v>6.0000000000000001E-3</v>
      </c>
      <c r="G24" s="409">
        <v>0.105</v>
      </c>
    </row>
    <row r="25" spans="1:11" x14ac:dyDescent="0.25">
      <c r="B25" s="410"/>
      <c r="D25" s="112"/>
      <c r="E25" s="410"/>
      <c r="F25" s="410"/>
      <c r="G25" s="410"/>
    </row>
    <row r="28" spans="1:11" x14ac:dyDescent="0.25">
      <c r="A28" s="411" t="s">
        <v>804</v>
      </c>
      <c r="B28" s="193"/>
      <c r="C28" s="193"/>
    </row>
    <row r="29" spans="1:11" x14ac:dyDescent="0.25">
      <c r="A29" s="406" t="s">
        <v>802</v>
      </c>
      <c r="B29" s="406" t="s">
        <v>803</v>
      </c>
      <c r="C29" s="3">
        <v>20.033918194009832</v>
      </c>
    </row>
    <row r="30" spans="1:11" x14ac:dyDescent="0.25">
      <c r="A30" t="s">
        <v>805</v>
      </c>
      <c r="B30" t="s">
        <v>806</v>
      </c>
      <c r="C30" s="3">
        <f>C8/(C29*D8)</f>
        <v>0.1448120321747304</v>
      </c>
    </row>
    <row r="31" spans="1:11" x14ac:dyDescent="0.25">
      <c r="A31" t="s">
        <v>808</v>
      </c>
      <c r="B31" t="s">
        <v>165</v>
      </c>
      <c r="C31" s="3">
        <v>236427.29360657933</v>
      </c>
    </row>
    <row r="32" spans="1:11" x14ac:dyDescent="0.25">
      <c r="A32" t="s">
        <v>807</v>
      </c>
      <c r="B32" t="s">
        <v>165</v>
      </c>
      <c r="C32" s="3">
        <v>555617.60505140806</v>
      </c>
    </row>
    <row r="33" spans="1:28" x14ac:dyDescent="0.25">
      <c r="A33" t="s">
        <v>809</v>
      </c>
      <c r="C33" s="3">
        <f>C32/C31</f>
        <v>2.3500569522906649</v>
      </c>
    </row>
    <row r="34" spans="1:28" x14ac:dyDescent="0.25">
      <c r="A34" s="193" t="s">
        <v>816</v>
      </c>
      <c r="B34" s="193" t="s">
        <v>806</v>
      </c>
      <c r="C34" s="412">
        <f>C33*C30</f>
        <v>0.34031652298756465</v>
      </c>
    </row>
    <row r="36" spans="1:28" x14ac:dyDescent="0.25">
      <c r="A36" s="5" t="s">
        <v>1393</v>
      </c>
      <c r="B36" t="s">
        <v>1402</v>
      </c>
      <c r="C36" t="s">
        <v>1403</v>
      </c>
      <c r="D36" t="s">
        <v>806</v>
      </c>
    </row>
    <row r="37" spans="1:28" x14ac:dyDescent="0.25">
      <c r="A37" t="s">
        <v>1394</v>
      </c>
      <c r="B37" s="243">
        <f>D21*$B$14</f>
        <v>0.30206668071700071</v>
      </c>
      <c r="C37" s="244">
        <f>1/$B$39 *B37</f>
        <v>0.32504842029800257</v>
      </c>
      <c r="D37" s="498">
        <f>$D21 * $C$15/$B$40/1000</f>
        <v>1.7949133007553585E-3</v>
      </c>
    </row>
    <row r="38" spans="1:28" x14ac:dyDescent="0.25">
      <c r="A38" t="s">
        <v>1395</v>
      </c>
      <c r="B38" s="243">
        <f>$B$14-B37</f>
        <v>0.27188500475514854</v>
      </c>
      <c r="C38" s="244">
        <f>1/$B$39 *B38</f>
        <v>0.29257047181967477</v>
      </c>
      <c r="D38" s="498">
        <f>SUM($D22:$D24) * $C$15/$B$40/1000</f>
        <v>1.6155704765338063E-3</v>
      </c>
    </row>
    <row r="39" spans="1:28" x14ac:dyDescent="0.25">
      <c r="A39" t="s">
        <v>1398</v>
      </c>
      <c r="B39" s="243">
        <v>0.9292974887866482</v>
      </c>
    </row>
    <row r="40" spans="1:28" x14ac:dyDescent="0.25">
      <c r="A40" t="s">
        <v>1404</v>
      </c>
      <c r="B40" s="496">
        <v>900504</v>
      </c>
    </row>
    <row r="42" spans="1:28" x14ac:dyDescent="0.25">
      <c r="V42" t="s">
        <v>1430</v>
      </c>
      <c r="AA42" s="53">
        <f>0.8 * 371</f>
        <v>296.8</v>
      </c>
      <c r="AB42" t="s">
        <v>446</v>
      </c>
    </row>
    <row r="43" spans="1:28" x14ac:dyDescent="0.25">
      <c r="V43" t="s">
        <v>1433</v>
      </c>
      <c r="AA43">
        <f>'CPI_1960-2013'!$AO$2 * 5022/8800/555</f>
        <v>8.2562851845137809E-4</v>
      </c>
      <c r="AB43" t="s">
        <v>1431</v>
      </c>
    </row>
    <row r="44" spans="1:28" x14ac:dyDescent="0.25">
      <c r="AA44">
        <f>AA43*AA42/(W49*1000000)</f>
        <v>6.9712569382912518E-9</v>
      </c>
      <c r="AB44" t="s">
        <v>1439</v>
      </c>
    </row>
    <row r="46" spans="1:28" x14ac:dyDescent="0.25">
      <c r="A46" s="5" t="s">
        <v>1411</v>
      </c>
      <c r="B46" s="8" t="s">
        <v>395</v>
      </c>
      <c r="C46" s="4">
        <f>4/1000</f>
        <v>4.0000000000000001E-3</v>
      </c>
      <c r="D46" s="8" t="s">
        <v>217</v>
      </c>
      <c r="E46" s="503">
        <f>C46*units!$D$6</f>
        <v>1.1111111111111111E-3</v>
      </c>
      <c r="W46" t="s">
        <v>1434</v>
      </c>
      <c r="X46" t="s">
        <v>1437</v>
      </c>
    </row>
    <row r="47" spans="1:28" x14ac:dyDescent="0.25">
      <c r="A47" s="473" t="s">
        <v>1408</v>
      </c>
      <c r="V47" t="s">
        <v>1436</v>
      </c>
      <c r="W47">
        <v>35.94</v>
      </c>
      <c r="X47">
        <f>0.73/0.965</f>
        <v>0.75647668393782386</v>
      </c>
    </row>
    <row r="48" spans="1:28" x14ac:dyDescent="0.25">
      <c r="V48" t="s">
        <v>1435</v>
      </c>
      <c r="W48">
        <v>32.700000000000003</v>
      </c>
      <c r="X48">
        <f>0.235/0.965</f>
        <v>0.24352331606217617</v>
      </c>
    </row>
    <row r="49" spans="22:28" x14ac:dyDescent="0.25">
      <c r="V49" t="s">
        <v>606</v>
      </c>
      <c r="W49">
        <f>X47*W47 +X48*W48</f>
        <v>35.15098445595855</v>
      </c>
    </row>
    <row r="52" spans="22:28" x14ac:dyDescent="0.25">
      <c r="V52" t="s">
        <v>1440</v>
      </c>
      <c r="AA52" s="5">
        <f>AA44*1000000000</f>
        <v>6.9712569382912521</v>
      </c>
      <c r="AB52" t="s">
        <v>1438</v>
      </c>
    </row>
    <row r="53" spans="22:28" x14ac:dyDescent="0.25">
      <c r="V53" t="s">
        <v>1441</v>
      </c>
      <c r="AA53">
        <f>3%*AA52</f>
        <v>0.20913770814873756</v>
      </c>
      <c r="AB53" t="s">
        <v>1442</v>
      </c>
    </row>
    <row r="66" spans="1:2" x14ac:dyDescent="0.25">
      <c r="A66" t="s">
        <v>1677</v>
      </c>
      <c r="B66" s="677" t="s">
        <v>1679</v>
      </c>
    </row>
    <row r="98" spans="1:7" x14ac:dyDescent="0.25">
      <c r="A98" s="401" t="s">
        <v>1732</v>
      </c>
      <c r="B98" s="54"/>
      <c r="D98" s="684" t="s">
        <v>1742</v>
      </c>
      <c r="E98" s="684">
        <v>2020</v>
      </c>
    </row>
    <row r="99" spans="1:7" x14ac:dyDescent="0.25">
      <c r="A99" s="529" t="s">
        <v>1678</v>
      </c>
      <c r="B99" t="s">
        <v>1734</v>
      </c>
      <c r="C99" s="3">
        <f>PMT(drate,E99,-1)</f>
        <v>0.10185220882315063</v>
      </c>
      <c r="D99" t="s">
        <v>1735</v>
      </c>
      <c r="E99">
        <f>2040-E98</f>
        <v>20</v>
      </c>
      <c r="F99" t="s">
        <v>1741</v>
      </c>
      <c r="G99" s="3">
        <v>0.96</v>
      </c>
    </row>
    <row r="100" spans="1:7" x14ac:dyDescent="0.25">
      <c r="B100" s="9" t="s">
        <v>1731</v>
      </c>
      <c r="C100" s="9" t="s">
        <v>1723</v>
      </c>
      <c r="D100" s="5" t="s">
        <v>1733</v>
      </c>
      <c r="E100" s="9" t="s">
        <v>160</v>
      </c>
      <c r="F100" s="529" t="s">
        <v>806</v>
      </c>
      <c r="G100" s="9" t="s">
        <v>1690</v>
      </c>
    </row>
    <row r="101" spans="1:7" x14ac:dyDescent="0.25">
      <c r="A101" s="9" t="s">
        <v>1720</v>
      </c>
      <c r="B101" s="108">
        <f>(1/$B$113)/$C$33 *C116 *'CPI_1960-2013'!$AM$2</f>
        <v>91.552136729480765</v>
      </c>
      <c r="C101" s="108">
        <f>(1/$B$113)/$C$33 *E116 *'CPI_1960-2013'!$AM$2</f>
        <v>14.860789614639822</v>
      </c>
      <c r="D101" s="683">
        <f>B101*$C$99 +C101</f>
        <v>24.185576963016537</v>
      </c>
      <c r="E101" s="9">
        <v>4</v>
      </c>
      <c r="F101" s="679">
        <f>E101/(C31/1000)</f>
        <v>1.6918520442297563E-2</v>
      </c>
      <c r="G101" s="680">
        <f>E101/(C32/1000)</f>
        <v>7.1991959283397855E-3</v>
      </c>
    </row>
    <row r="102" spans="1:7" x14ac:dyDescent="0.25">
      <c r="A102" s="9" t="s">
        <v>1717</v>
      </c>
      <c r="B102" s="108">
        <f>(1/$B$113)/$C$33 *C117 *'CPI_1960-2013'!$AM$2</f>
        <v>120.86042772687399</v>
      </c>
      <c r="C102" s="108">
        <f>(1/$B$113)/$C$33 *E117 *'CPI_1960-2013'!$AM$2</f>
        <v>9.4089023003932599</v>
      </c>
      <c r="D102" s="685">
        <f>B102*$C$99 +C102</f>
        <v>21.718803823686134</v>
      </c>
      <c r="E102" s="681">
        <f>'fgd costs'!$B$29*refineries!E101</f>
        <v>6.3478260869565215</v>
      </c>
      <c r="F102" s="682">
        <f>E102/E101 *F101</f>
        <v>2.6848956354080914E-2</v>
      </c>
      <c r="G102" s="9"/>
    </row>
    <row r="103" spans="1:7" x14ac:dyDescent="0.25">
      <c r="A103" s="9"/>
      <c r="B103" s="108"/>
      <c r="C103" s="108"/>
      <c r="D103" s="3"/>
      <c r="E103" s="681"/>
      <c r="F103" s="679"/>
      <c r="G103" s="9"/>
    </row>
    <row r="104" spans="1:7" x14ac:dyDescent="0.25">
      <c r="A104" s="529" t="s">
        <v>1738</v>
      </c>
      <c r="B104" s="108" t="s">
        <v>1739</v>
      </c>
      <c r="C104" s="3">
        <f>PMT(drate,E104,-1)</f>
        <v>8.1742858161615556E-2</v>
      </c>
      <c r="D104" s="3" t="s">
        <v>1740</v>
      </c>
      <c r="E104">
        <v>50</v>
      </c>
      <c r="F104" t="s">
        <v>1741</v>
      </c>
      <c r="G104" s="3">
        <v>0.96</v>
      </c>
    </row>
    <row r="105" spans="1:7" x14ac:dyDescent="0.25">
      <c r="B105" s="9" t="s">
        <v>1731</v>
      </c>
      <c r="C105" s="9" t="s">
        <v>1723</v>
      </c>
      <c r="D105" s="5" t="s">
        <v>1733</v>
      </c>
      <c r="E105" s="9" t="s">
        <v>160</v>
      </c>
      <c r="F105" s="529" t="s">
        <v>806</v>
      </c>
      <c r="G105" s="9"/>
    </row>
    <row r="106" spans="1:7" x14ac:dyDescent="0.25">
      <c r="A106" s="9" t="s">
        <v>1720</v>
      </c>
      <c r="B106" s="108">
        <f>B101 *0.85</f>
        <v>77.819316220058653</v>
      </c>
      <c r="C106" s="108">
        <f>C101</f>
        <v>14.860789614639822</v>
      </c>
      <c r="D106" s="27">
        <f>B106*$C$104 +C106</f>
        <v>21.221962942649984</v>
      </c>
      <c r="E106" s="9">
        <v>4</v>
      </c>
      <c r="F106" s="679">
        <f>F101</f>
        <v>1.6918520442297563E-2</v>
      </c>
      <c r="G106" s="680"/>
    </row>
    <row r="107" spans="1:7" x14ac:dyDescent="0.25">
      <c r="A107" s="9" t="s">
        <v>1717</v>
      </c>
      <c r="B107" s="108">
        <f>B102*0.85</f>
        <v>102.73136356784289</v>
      </c>
      <c r="C107" s="108">
        <f>C102</f>
        <v>9.4089023003932599</v>
      </c>
      <c r="D107" s="3">
        <f>B107*$C$104 +C107</f>
        <v>17.806457581268802</v>
      </c>
      <c r="E107" s="681">
        <f>'fgd costs'!$B$29*refineries!E106</f>
        <v>6.3478260869565215</v>
      </c>
      <c r="F107" s="682">
        <f>E107/E106 *F106</f>
        <v>2.6848956354080914E-2</v>
      </c>
      <c r="G107" s="9"/>
    </row>
    <row r="108" spans="1:7" x14ac:dyDescent="0.25">
      <c r="A108" s="9"/>
      <c r="B108" s="108"/>
      <c r="C108" s="108"/>
      <c r="D108" s="3"/>
      <c r="E108" s="681"/>
      <c r="F108" s="679"/>
      <c r="G108" s="9"/>
    </row>
    <row r="110" spans="1:7" ht="15.75" customHeight="1" x14ac:dyDescent="0.25">
      <c r="D110" s="3"/>
      <c r="F110" s="3"/>
    </row>
    <row r="111" spans="1:7" x14ac:dyDescent="0.25">
      <c r="A111" s="5" t="s">
        <v>1721</v>
      </c>
    </row>
    <row r="112" spans="1:7" x14ac:dyDescent="0.25">
      <c r="A112" t="s">
        <v>1715</v>
      </c>
      <c r="B112" s="3">
        <v>0.8</v>
      </c>
    </row>
    <row r="113" spans="1:5" x14ac:dyDescent="0.25">
      <c r="A113" t="s">
        <v>1716</v>
      </c>
      <c r="B113">
        <v>0.33</v>
      </c>
    </row>
    <row r="114" spans="1:5" x14ac:dyDescent="0.25">
      <c r="A114" t="s">
        <v>1724</v>
      </c>
      <c r="B114">
        <v>31.536000000000001</v>
      </c>
    </row>
    <row r="115" spans="1:5" x14ac:dyDescent="0.25">
      <c r="A115" t="s">
        <v>1737</v>
      </c>
      <c r="B115" t="s">
        <v>1725</v>
      </c>
      <c r="C115" t="s">
        <v>1730</v>
      </c>
      <c r="D115" t="s">
        <v>1726</v>
      </c>
      <c r="E115" t="s">
        <v>1736</v>
      </c>
    </row>
    <row r="116" spans="1:5" x14ac:dyDescent="0.25">
      <c r="A116" t="s">
        <v>1719</v>
      </c>
      <c r="B116" s="677">
        <f>3155*1000</f>
        <v>3155000</v>
      </c>
      <c r="C116" s="53">
        <f>B116*$B$112*$B$114 * 0.000001</f>
        <v>79.596863999999997</v>
      </c>
      <c r="D116">
        <f>169*1000</f>
        <v>169000</v>
      </c>
      <c r="E116" s="53">
        <f>D116/$B$113*$B$112*$B$114 * 0.000001</f>
        <v>12.920203636363638</v>
      </c>
    </row>
    <row r="117" spans="1:5" x14ac:dyDescent="0.25">
      <c r="A117" t="s">
        <v>1717</v>
      </c>
      <c r="B117" s="677">
        <f>4165*1000</f>
        <v>4165000</v>
      </c>
      <c r="C117" s="53">
        <f>B117*$B$112*$B$114 * 0.000001</f>
        <v>105.077952</v>
      </c>
      <c r="D117">
        <f>107*1000</f>
        <v>107000</v>
      </c>
      <c r="E117" s="53">
        <f>D117/$B$113*$B$112*$B$114 * 0.000001</f>
        <v>8.1802472727272733</v>
      </c>
    </row>
  </sheetData>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76:Z106"/>
  <sheetViews>
    <sheetView topLeftCell="A61" zoomScale="85" zoomScaleNormal="85" workbookViewId="0">
      <selection activeCell="M86" sqref="M86"/>
    </sheetView>
  </sheetViews>
  <sheetFormatPr defaultRowHeight="15" x14ac:dyDescent="0.25"/>
  <sheetData>
    <row r="76" spans="17:26" x14ac:dyDescent="0.25">
      <c r="Q76" t="s">
        <v>92</v>
      </c>
      <c r="T76" t="s">
        <v>96</v>
      </c>
    </row>
    <row r="77" spans="17:26" x14ac:dyDescent="0.25">
      <c r="Q77" t="s">
        <v>172</v>
      </c>
      <c r="R77" t="s">
        <v>82</v>
      </c>
      <c r="T77" t="s">
        <v>172</v>
      </c>
      <c r="U77" t="s">
        <v>82</v>
      </c>
      <c r="W77" s="5" t="s">
        <v>1583</v>
      </c>
      <c r="X77" s="5" t="s">
        <v>1582</v>
      </c>
      <c r="Y77" s="85" t="s">
        <v>311</v>
      </c>
      <c r="Z77" s="83" t="s">
        <v>164</v>
      </c>
    </row>
    <row r="78" spans="17:26" x14ac:dyDescent="0.25">
      <c r="Q78" s="559" t="s">
        <v>316</v>
      </c>
      <c r="R78" s="559"/>
      <c r="S78" s="559"/>
      <c r="T78" s="559"/>
      <c r="U78" s="559"/>
      <c r="V78" s="559"/>
      <c r="W78" s="560">
        <v>3.1199999999999999E-2</v>
      </c>
      <c r="X78" s="560">
        <v>1.6854</v>
      </c>
      <c r="Y78" s="84"/>
      <c r="Z78" s="86">
        <f>AVERAGE(Y79:Y80)</f>
        <v>8.6932293117860215E-2</v>
      </c>
    </row>
    <row r="79" spans="17:26" x14ac:dyDescent="0.25">
      <c r="Q79">
        <v>370</v>
      </c>
      <c r="R79">
        <v>138</v>
      </c>
      <c r="T79">
        <f t="shared" ref="T79" si="0">Q79*$B$89+$C$89</f>
        <v>15.052699999999998</v>
      </c>
      <c r="U79">
        <f t="shared" ref="U79" si="1">-0.0097*R79 +3.4944</f>
        <v>2.1558000000000002</v>
      </c>
      <c r="W79">
        <v>15</v>
      </c>
      <c r="X79">
        <f>W79*$W$78+$X$78</f>
        <v>2.1534</v>
      </c>
      <c r="Y79" s="86">
        <f>$X$80/X79 -1</f>
        <v>8.6932293117860215E-2</v>
      </c>
      <c r="Z79" s="84"/>
    </row>
    <row r="80" spans="17:26" x14ac:dyDescent="0.25">
      <c r="Q80">
        <v>700</v>
      </c>
      <c r="R80">
        <v>106</v>
      </c>
      <c r="T80">
        <f>Q80*$B$89+$C$89</f>
        <v>24.985700000000001</v>
      </c>
      <c r="U80">
        <f>-0.0097*R80 +3.4944</f>
        <v>2.4662000000000002</v>
      </c>
      <c r="W80">
        <v>21</v>
      </c>
      <c r="X80">
        <f>W80*$W$78+$X$78</f>
        <v>2.3406000000000002</v>
      </c>
      <c r="Y80" s="86"/>
      <c r="Z80" s="84"/>
    </row>
    <row r="81" spans="1:26" x14ac:dyDescent="0.25">
      <c r="Y81" s="86"/>
      <c r="Z81" s="86"/>
    </row>
    <row r="82" spans="1:26" x14ac:dyDescent="0.25">
      <c r="Q82" s="561" t="s">
        <v>317</v>
      </c>
      <c r="R82" s="562"/>
      <c r="S82" s="485"/>
      <c r="T82" s="562"/>
      <c r="U82" s="561"/>
      <c r="V82" s="561"/>
      <c r="W82" s="563">
        <v>2.81E-2</v>
      </c>
      <c r="X82" s="563">
        <v>1.5225</v>
      </c>
      <c r="Y82" s="86"/>
      <c r="Z82" s="86">
        <f>AVERAGE(Y83:Y84)</f>
        <v>8.6728395061728358E-2</v>
      </c>
    </row>
    <row r="83" spans="1:26" x14ac:dyDescent="0.25">
      <c r="A83" s="401" t="s">
        <v>310</v>
      </c>
      <c r="B83" s="401"/>
      <c r="C83" s="401"/>
      <c r="D83" s="401"/>
      <c r="Q83">
        <v>367</v>
      </c>
      <c r="R83">
        <v>160</v>
      </c>
      <c r="T83">
        <f>Q83*$B$89+$C$89</f>
        <v>14.962399999999999</v>
      </c>
      <c r="U83">
        <f>-0.0097*R83 +3.4944</f>
        <v>1.9424000000000001</v>
      </c>
      <c r="W83">
        <v>15</v>
      </c>
      <c r="X83">
        <f>W83*$W$82+$X$82</f>
        <v>1.944</v>
      </c>
      <c r="Y83" s="86">
        <f>$X$84/X83 -1</f>
        <v>8.6728395061728358E-2</v>
      </c>
      <c r="Z83" s="86"/>
    </row>
    <row r="84" spans="1:26" x14ac:dyDescent="0.25">
      <c r="A84" t="s">
        <v>172</v>
      </c>
      <c r="Q84">
        <v>700</v>
      </c>
      <c r="R84">
        <v>131</v>
      </c>
      <c r="T84">
        <f>Q84*$B$89+$C$89</f>
        <v>24.985700000000001</v>
      </c>
      <c r="U84">
        <f>-0.0097*R84 +3.4944</f>
        <v>2.2237</v>
      </c>
      <c r="W84">
        <v>21</v>
      </c>
      <c r="X84">
        <f>W84*$W$82+$X$82</f>
        <v>2.1126</v>
      </c>
      <c r="Y84" s="86"/>
      <c r="Z84" s="86"/>
    </row>
    <row r="85" spans="1:26" x14ac:dyDescent="0.25">
      <c r="A85" t="s">
        <v>173</v>
      </c>
      <c r="B85" t="s">
        <v>174</v>
      </c>
      <c r="W85">
        <v>17</v>
      </c>
      <c r="X85">
        <f>W85*$W$82+$X$82</f>
        <v>2.0002</v>
      </c>
    </row>
    <row r="86" spans="1:26" x14ac:dyDescent="0.25">
      <c r="A86">
        <v>368</v>
      </c>
      <c r="B86">
        <v>15</v>
      </c>
    </row>
    <row r="87" spans="1:26" x14ac:dyDescent="0.25">
      <c r="A87">
        <v>534</v>
      </c>
      <c r="B87">
        <v>20</v>
      </c>
      <c r="Q87" s="564" t="s">
        <v>312</v>
      </c>
      <c r="R87" s="564"/>
      <c r="S87" s="564"/>
      <c r="T87" s="564"/>
      <c r="U87" s="564"/>
      <c r="V87" s="564"/>
      <c r="W87" s="565">
        <v>2.3300000000000001E-2</v>
      </c>
      <c r="X87" s="565">
        <v>1.2342</v>
      </c>
      <c r="Y87" s="86"/>
      <c r="Z87" s="86">
        <f>AVERAGE(Y88:Y89)</f>
        <v>8.8274294373934525E-2</v>
      </c>
    </row>
    <row r="88" spans="1:26" x14ac:dyDescent="0.25">
      <c r="A88">
        <v>700</v>
      </c>
      <c r="B88">
        <v>25</v>
      </c>
      <c r="Q88">
        <v>368</v>
      </c>
      <c r="R88">
        <v>197</v>
      </c>
      <c r="T88">
        <f t="shared" ref="T88" si="2">Q88*$B$89+$C$89</f>
        <v>14.9925</v>
      </c>
      <c r="U88">
        <f t="shared" ref="U88" si="3">-0.0097*R88 +3.4944</f>
        <v>1.5835000000000001</v>
      </c>
      <c r="W88">
        <v>15</v>
      </c>
      <c r="X88">
        <f>W88*$W$87+$X$87</f>
        <v>1.5836999999999999</v>
      </c>
      <c r="Y88" s="86">
        <f>$X$89/X88-1</f>
        <v>8.8274294373934525E-2</v>
      </c>
      <c r="Z88" s="86"/>
    </row>
    <row r="89" spans="1:26" x14ac:dyDescent="0.25">
      <c r="A89" t="s">
        <v>309</v>
      </c>
      <c r="B89">
        <v>3.0099999999999998E-2</v>
      </c>
      <c r="C89">
        <v>3.9157000000000002</v>
      </c>
      <c r="Q89">
        <v>700</v>
      </c>
      <c r="R89">
        <v>173</v>
      </c>
      <c r="T89">
        <f>Q89*$B$89+$C$89</f>
        <v>24.985700000000001</v>
      </c>
      <c r="U89">
        <f>-0.0097*R89 +3.4944</f>
        <v>1.8163</v>
      </c>
      <c r="W89">
        <v>21</v>
      </c>
      <c r="X89">
        <f>W89*$W$87+$X$87</f>
        <v>1.7235</v>
      </c>
      <c r="Y89" s="86"/>
      <c r="Z89" s="86"/>
    </row>
    <row r="90" spans="1:26" x14ac:dyDescent="0.25">
      <c r="A90" t="s">
        <v>314</v>
      </c>
      <c r="B90">
        <v>454</v>
      </c>
      <c r="Y90" s="84"/>
      <c r="Z90" s="84"/>
    </row>
    <row r="91" spans="1:26" x14ac:dyDescent="0.25">
      <c r="A91" t="s">
        <v>313</v>
      </c>
      <c r="B91">
        <f>B90*B89+C89</f>
        <v>17.581099999999999</v>
      </c>
    </row>
    <row r="93" spans="1:26" x14ac:dyDescent="0.25">
      <c r="T93" t="s">
        <v>316</v>
      </c>
      <c r="V93" s="85" t="s">
        <v>311</v>
      </c>
      <c r="W93" s="5" t="s">
        <v>318</v>
      </c>
      <c r="Z93" s="75"/>
    </row>
    <row r="94" spans="1:26" x14ac:dyDescent="0.25">
      <c r="V94" s="83">
        <v>2</v>
      </c>
      <c r="W94">
        <f>$V$94+W79</f>
        <v>17</v>
      </c>
      <c r="X94">
        <f>W94*$W$78+$X$78</f>
        <v>2.2157999999999998</v>
      </c>
      <c r="Y94" s="75">
        <f>X94/X79-1</f>
        <v>2.8977431039286516E-2</v>
      </c>
      <c r="Z94" s="75"/>
    </row>
    <row r="95" spans="1:26" x14ac:dyDescent="0.25">
      <c r="W95">
        <f>$V$94+W80</f>
        <v>23</v>
      </c>
      <c r="X95">
        <f>W95*$W$78+$X$78</f>
        <v>2.403</v>
      </c>
      <c r="Y95" s="75">
        <f>X95/X80-1</f>
        <v>2.6659830812612029E-2</v>
      </c>
    </row>
    <row r="99" spans="1:3" x14ac:dyDescent="0.25">
      <c r="A99" t="s">
        <v>82</v>
      </c>
    </row>
    <row r="100" spans="1:3" x14ac:dyDescent="0.25">
      <c r="A100" t="s">
        <v>173</v>
      </c>
      <c r="B100" t="s">
        <v>174</v>
      </c>
    </row>
    <row r="101" spans="1:3" x14ac:dyDescent="0.25">
      <c r="A101">
        <v>258</v>
      </c>
      <c r="B101">
        <v>1</v>
      </c>
    </row>
    <row r="102" spans="1:3" x14ac:dyDescent="0.25">
      <c r="A102">
        <v>155</v>
      </c>
      <c r="B102">
        <v>2</v>
      </c>
    </row>
    <row r="103" spans="1:3" x14ac:dyDescent="0.25">
      <c r="A103">
        <v>51</v>
      </c>
      <c r="B103">
        <v>3</v>
      </c>
    </row>
    <row r="104" spans="1:3" x14ac:dyDescent="0.25">
      <c r="A104" t="s">
        <v>98</v>
      </c>
      <c r="B104">
        <v>-9.7000000000000003E-3</v>
      </c>
      <c r="C104">
        <v>3.4944000000000002</v>
      </c>
    </row>
    <row r="105" spans="1:3" x14ac:dyDescent="0.25">
      <c r="A105" t="s">
        <v>314</v>
      </c>
      <c r="B105">
        <v>155</v>
      </c>
    </row>
    <row r="106" spans="1:3" x14ac:dyDescent="0.25">
      <c r="A106" t="s">
        <v>313</v>
      </c>
      <c r="B106">
        <f>B105*B104+C104</f>
        <v>1.9909000000000001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F38"/>
  <sheetViews>
    <sheetView topLeftCell="A13" workbookViewId="0">
      <selection activeCell="E8" sqref="E8"/>
    </sheetView>
  </sheetViews>
  <sheetFormatPr defaultRowHeight="15" x14ac:dyDescent="0.25"/>
  <cols>
    <col min="1" max="1" width="17.7109375" customWidth="1"/>
    <col min="2" max="2" width="14" customWidth="1"/>
    <col min="3" max="5" width="10.5703125" customWidth="1"/>
  </cols>
  <sheetData>
    <row r="1" spans="1:6" x14ac:dyDescent="0.25">
      <c r="A1" t="s">
        <v>330</v>
      </c>
      <c r="B1" t="s">
        <v>332</v>
      </c>
    </row>
    <row r="2" spans="1:6" x14ac:dyDescent="0.25">
      <c r="A2" t="s">
        <v>397</v>
      </c>
      <c r="B2" s="455" t="s">
        <v>331</v>
      </c>
      <c r="C2" s="455" t="s">
        <v>393</v>
      </c>
      <c r="D2" s="455" t="s">
        <v>526</v>
      </c>
      <c r="E2" s="455" t="s">
        <v>527</v>
      </c>
      <c r="F2" s="455" t="s">
        <v>823</v>
      </c>
    </row>
    <row r="3" spans="1:6" x14ac:dyDescent="0.25">
      <c r="A3" t="s">
        <v>398</v>
      </c>
    </row>
    <row r="4" spans="1:6" x14ac:dyDescent="0.25">
      <c r="A4" s="5" t="s">
        <v>333</v>
      </c>
      <c r="B4" s="5">
        <v>21</v>
      </c>
      <c r="C4" s="274">
        <v>17</v>
      </c>
      <c r="D4" s="454"/>
      <c r="E4" s="454"/>
      <c r="F4" s="5">
        <v>21</v>
      </c>
    </row>
    <row r="5" spans="1:6" x14ac:dyDescent="0.25">
      <c r="A5" s="5" t="s">
        <v>389</v>
      </c>
      <c r="B5" s="5">
        <f>MAX(B8:B19)</f>
        <v>26</v>
      </c>
      <c r="C5" s="274">
        <f>MAX(C8:C19)</f>
        <v>21</v>
      </c>
      <c r="D5" s="454"/>
      <c r="E5" s="454"/>
    </row>
    <row r="6" spans="1:6" x14ac:dyDescent="0.25">
      <c r="A6" s="5" t="s">
        <v>390</v>
      </c>
      <c r="B6" s="5">
        <f>MIN(B8:B19)</f>
        <v>14</v>
      </c>
      <c r="C6" s="274">
        <f>MIN(C8:C19)</f>
        <v>9</v>
      </c>
      <c r="D6" s="454"/>
      <c r="E6" s="454"/>
    </row>
    <row r="7" spans="1:6" x14ac:dyDescent="0.25">
      <c r="A7" s="5" t="s">
        <v>391</v>
      </c>
      <c r="B7" s="5">
        <f>B5-B6</f>
        <v>12</v>
      </c>
      <c r="C7" s="274">
        <f>C5-C6</f>
        <v>12</v>
      </c>
      <c r="D7" s="454"/>
      <c r="E7" s="454"/>
    </row>
    <row r="8" spans="1:6" x14ac:dyDescent="0.25">
      <c r="A8" t="s">
        <v>319</v>
      </c>
      <c r="B8">
        <v>26</v>
      </c>
      <c r="C8" s="275">
        <v>21</v>
      </c>
      <c r="D8" s="455"/>
      <c r="E8" s="455"/>
    </row>
    <row r="9" spans="1:6" x14ac:dyDescent="0.25">
      <c r="A9" t="s">
        <v>320</v>
      </c>
      <c r="B9">
        <v>26</v>
      </c>
      <c r="C9" s="275">
        <v>21</v>
      </c>
      <c r="D9" s="455"/>
      <c r="E9" s="455"/>
    </row>
    <row r="10" spans="1:6" x14ac:dyDescent="0.25">
      <c r="A10" t="s">
        <v>321</v>
      </c>
      <c r="B10">
        <v>24</v>
      </c>
      <c r="C10" s="275">
        <v>19</v>
      </c>
      <c r="D10" s="455"/>
      <c r="E10" s="455"/>
    </row>
    <row r="11" spans="1:6" x14ac:dyDescent="0.25">
      <c r="A11" t="s">
        <v>322</v>
      </c>
      <c r="B11">
        <v>21</v>
      </c>
      <c r="C11" s="275">
        <v>16</v>
      </c>
      <c r="D11" s="455"/>
      <c r="E11" s="455"/>
    </row>
    <row r="12" spans="1:6" x14ac:dyDescent="0.25">
      <c r="A12" t="s">
        <v>181</v>
      </c>
      <c r="B12">
        <v>16</v>
      </c>
      <c r="C12" s="275">
        <v>11</v>
      </c>
      <c r="D12" s="455"/>
      <c r="E12" s="455"/>
    </row>
    <row r="13" spans="1:6" x14ac:dyDescent="0.25">
      <c r="A13" t="s">
        <v>323</v>
      </c>
      <c r="B13">
        <v>14</v>
      </c>
      <c r="C13" s="275">
        <v>9</v>
      </c>
      <c r="D13" s="455"/>
      <c r="E13" s="455"/>
    </row>
    <row r="14" spans="1:6" x14ac:dyDescent="0.25">
      <c r="A14" t="s">
        <v>324</v>
      </c>
      <c r="B14">
        <v>14</v>
      </c>
      <c r="C14" s="275">
        <v>9</v>
      </c>
      <c r="D14" s="455"/>
      <c r="E14" s="455"/>
    </row>
    <row r="15" spans="1:6" x14ac:dyDescent="0.25">
      <c r="A15" t="s">
        <v>325</v>
      </c>
      <c r="B15">
        <v>16</v>
      </c>
      <c r="C15" s="275">
        <v>11</v>
      </c>
      <c r="D15" s="455"/>
      <c r="E15" s="455"/>
    </row>
    <row r="16" spans="1:6" x14ac:dyDescent="0.25">
      <c r="A16" t="s">
        <v>326</v>
      </c>
      <c r="B16">
        <v>21</v>
      </c>
      <c r="C16" s="275">
        <v>16</v>
      </c>
      <c r="D16" s="455"/>
      <c r="E16" s="455"/>
    </row>
    <row r="17" spans="1:5" x14ac:dyDescent="0.25">
      <c r="A17" t="s">
        <v>327</v>
      </c>
      <c r="B17">
        <v>24</v>
      </c>
      <c r="C17" s="275">
        <v>19</v>
      </c>
      <c r="D17" s="455"/>
      <c r="E17" s="455"/>
    </row>
    <row r="18" spans="1:5" x14ac:dyDescent="0.25">
      <c r="A18" t="s">
        <v>328</v>
      </c>
      <c r="B18">
        <v>24</v>
      </c>
      <c r="C18" s="275">
        <v>19</v>
      </c>
      <c r="D18" s="455"/>
      <c r="E18" s="455"/>
    </row>
    <row r="19" spans="1:5" x14ac:dyDescent="0.25">
      <c r="A19" t="s">
        <v>329</v>
      </c>
      <c r="B19">
        <f>B8</f>
        <v>26</v>
      </c>
      <c r="C19" s="275">
        <v>21</v>
      </c>
      <c r="D19" s="455"/>
      <c r="E19" s="455"/>
    </row>
    <row r="20" spans="1:5" x14ac:dyDescent="0.25">
      <c r="B20" t="s">
        <v>394</v>
      </c>
      <c r="C20" t="s">
        <v>395</v>
      </c>
    </row>
    <row r="21" spans="1:5" x14ac:dyDescent="0.25">
      <c r="B21" s="87" t="s">
        <v>396</v>
      </c>
      <c r="C21" t="s">
        <v>392</v>
      </c>
    </row>
    <row r="22" spans="1:5" x14ac:dyDescent="0.25">
      <c r="B22">
        <f>1.09*C22</f>
        <v>2.0274000000000001</v>
      </c>
      <c r="C22" s="5">
        <v>1.86</v>
      </c>
      <c r="D22" s="5"/>
      <c r="E22" s="5"/>
    </row>
    <row r="23" spans="1:5" x14ac:dyDescent="0.25">
      <c r="A23" s="5" t="s">
        <v>333</v>
      </c>
      <c r="B23" s="5">
        <f>AVERAGE(B27:B38)</f>
        <v>2.0273999999999996</v>
      </c>
      <c r="C23" s="5">
        <f>AVERAGE(C27:C38)</f>
        <v>1.8288000000000002</v>
      </c>
      <c r="D23" s="5"/>
      <c r="E23" s="5"/>
    </row>
    <row r="24" spans="1:5" x14ac:dyDescent="0.25">
      <c r="A24" s="5" t="s">
        <v>389</v>
      </c>
      <c r="B24" s="5">
        <f>MAX(B27:B38)</f>
        <v>2.1834000000000002</v>
      </c>
      <c r="C24" s="5">
        <f>MAX(C27:C38)</f>
        <v>1.9848000000000001</v>
      </c>
      <c r="D24" s="5"/>
      <c r="E24" s="5"/>
    </row>
    <row r="25" spans="1:5" x14ac:dyDescent="0.25">
      <c r="A25" s="5" t="s">
        <v>390</v>
      </c>
      <c r="B25" s="5">
        <f>MIN(B27:B38)</f>
        <v>1.8090000000000002</v>
      </c>
      <c r="C25" s="5">
        <f>MIN(C27:C38)</f>
        <v>1.6104000000000001</v>
      </c>
      <c r="D25" s="5"/>
      <c r="E25" s="5"/>
    </row>
    <row r="26" spans="1:5" x14ac:dyDescent="0.25">
      <c r="A26" s="5" t="s">
        <v>391</v>
      </c>
      <c r="B26" s="88">
        <f>(B24-B25)/B23</f>
        <v>0.18467002071618829</v>
      </c>
      <c r="C26" s="88">
        <f>(C24-C25)/C23</f>
        <v>0.20472440944881892</v>
      </c>
      <c r="D26" s="88"/>
      <c r="E26" s="88"/>
    </row>
    <row r="27" spans="1:5" x14ac:dyDescent="0.25">
      <c r="A27" t="s">
        <v>319</v>
      </c>
      <c r="B27">
        <f>(B8-B$4)*'cooling water'!$W$78 +B$22</f>
        <v>2.1834000000000002</v>
      </c>
      <c r="C27">
        <f>(C8-C$4)*'cooling water'!$W$78 +C$22</f>
        <v>1.9848000000000001</v>
      </c>
    </row>
    <row r="28" spans="1:5" x14ac:dyDescent="0.25">
      <c r="A28" t="s">
        <v>320</v>
      </c>
      <c r="B28">
        <f>(B9-B$4)*'cooling water'!$W$78 +B$22</f>
        <v>2.1834000000000002</v>
      </c>
      <c r="C28">
        <f>(C9-C$4)*'cooling water'!$W$78 +C$22</f>
        <v>1.9848000000000001</v>
      </c>
    </row>
    <row r="29" spans="1:5" x14ac:dyDescent="0.25">
      <c r="A29" t="s">
        <v>321</v>
      </c>
      <c r="B29">
        <f>(B10-B$4)*'cooling water'!$W$78 +B$22</f>
        <v>2.121</v>
      </c>
      <c r="C29">
        <f>(C10-C$4)*'cooling water'!$W$78 +C$22</f>
        <v>1.9224000000000001</v>
      </c>
    </row>
    <row r="30" spans="1:5" x14ac:dyDescent="0.25">
      <c r="A30" t="s">
        <v>322</v>
      </c>
      <c r="B30">
        <f>(B11-B$4)*'cooling water'!$W$78 +B$22</f>
        <v>2.0274000000000001</v>
      </c>
      <c r="C30">
        <f>(C11-C$4)*'cooling water'!$W$78 +C$22</f>
        <v>1.8288000000000002</v>
      </c>
    </row>
    <row r="31" spans="1:5" x14ac:dyDescent="0.25">
      <c r="A31" t="s">
        <v>181</v>
      </c>
      <c r="B31">
        <f>(B12-B$4)*'cooling water'!$W$78 +B$22</f>
        <v>1.8714000000000002</v>
      </c>
      <c r="C31">
        <f>(C12-C$4)*'cooling water'!$W$78 +C$22</f>
        <v>1.6728000000000001</v>
      </c>
    </row>
    <row r="32" spans="1:5" x14ac:dyDescent="0.25">
      <c r="A32" t="s">
        <v>323</v>
      </c>
      <c r="B32">
        <f>(B13-B$4)*'cooling water'!$W$78 +B$22</f>
        <v>1.8090000000000002</v>
      </c>
      <c r="C32">
        <f>(C13-C$4)*'cooling water'!$W$78 +C$22</f>
        <v>1.6104000000000001</v>
      </c>
    </row>
    <row r="33" spans="1:3" x14ac:dyDescent="0.25">
      <c r="A33" t="s">
        <v>324</v>
      </c>
      <c r="B33">
        <f>(B14-B$4)*'cooling water'!$W$78 +B$22</f>
        <v>1.8090000000000002</v>
      </c>
      <c r="C33">
        <f>(C14-C$4)*'cooling water'!$W$78 +C$22</f>
        <v>1.6104000000000001</v>
      </c>
    </row>
    <row r="34" spans="1:3" x14ac:dyDescent="0.25">
      <c r="A34" t="s">
        <v>325</v>
      </c>
      <c r="B34">
        <f>(B15-B$4)*'cooling water'!$W$78 +B$22</f>
        <v>1.8714000000000002</v>
      </c>
      <c r="C34">
        <f>(C15-C$4)*'cooling water'!$W$78 +C$22</f>
        <v>1.6728000000000001</v>
      </c>
    </row>
    <row r="35" spans="1:3" x14ac:dyDescent="0.25">
      <c r="A35" t="s">
        <v>326</v>
      </c>
      <c r="B35">
        <f>(B16-B$4)*'cooling water'!$W$78 +B$22</f>
        <v>2.0274000000000001</v>
      </c>
      <c r="C35">
        <f>(C16-C$4)*'cooling water'!$W$78 +C$22</f>
        <v>1.8288000000000002</v>
      </c>
    </row>
    <row r="36" spans="1:3" x14ac:dyDescent="0.25">
      <c r="A36" t="s">
        <v>327</v>
      </c>
      <c r="B36">
        <f>(B17-B$4)*'cooling water'!$W$78 +B$22</f>
        <v>2.121</v>
      </c>
      <c r="C36">
        <f>(C17-C$4)*'cooling water'!$W$78 +C$22</f>
        <v>1.9224000000000001</v>
      </c>
    </row>
    <row r="37" spans="1:3" x14ac:dyDescent="0.25">
      <c r="A37" t="s">
        <v>328</v>
      </c>
      <c r="B37">
        <f>(B18-B$4)*'cooling water'!$W$78 +B$22</f>
        <v>2.121</v>
      </c>
      <c r="C37">
        <f>(C18-C$4)*'cooling water'!$W$78 +C$22</f>
        <v>1.9224000000000001</v>
      </c>
    </row>
    <row r="38" spans="1:3" x14ac:dyDescent="0.25">
      <c r="A38" t="s">
        <v>329</v>
      </c>
      <c r="B38">
        <f>(B19-B$4)*'cooling water'!$W$78 +B$22</f>
        <v>2.1834000000000002</v>
      </c>
      <c r="C38">
        <f>(C19-C$4)*'cooling water'!$W$78 +C$22</f>
        <v>1.9848000000000001</v>
      </c>
    </row>
  </sheetData>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35"/>
  <sheetViews>
    <sheetView workbookViewId="0">
      <selection activeCell="C23" sqref="C23"/>
    </sheetView>
  </sheetViews>
  <sheetFormatPr defaultRowHeight="15" x14ac:dyDescent="0.25"/>
  <cols>
    <col min="2" max="2" width="13.42578125" customWidth="1"/>
    <col min="3" max="3" width="14.7109375" customWidth="1"/>
    <col min="4" max="4" width="20" customWidth="1"/>
    <col min="5" max="5" width="17.85546875" customWidth="1"/>
    <col min="6" max="6" width="23.140625" customWidth="1"/>
    <col min="9" max="9" width="19" customWidth="1"/>
  </cols>
  <sheetData>
    <row r="1" spans="1:10" x14ac:dyDescent="0.25">
      <c r="A1" t="s">
        <v>334</v>
      </c>
      <c r="B1" t="s">
        <v>172</v>
      </c>
      <c r="C1" t="s">
        <v>82</v>
      </c>
      <c r="D1" t="s">
        <v>335</v>
      </c>
      <c r="E1" t="s">
        <v>336</v>
      </c>
      <c r="F1" t="s">
        <v>337</v>
      </c>
      <c r="G1" t="s">
        <v>338</v>
      </c>
      <c r="H1" t="s">
        <v>339</v>
      </c>
      <c r="I1" t="s">
        <v>340</v>
      </c>
      <c r="J1" t="s">
        <v>341</v>
      </c>
    </row>
    <row r="2" spans="1:10" x14ac:dyDescent="0.25">
      <c r="A2">
        <v>29</v>
      </c>
      <c r="B2">
        <v>18.532860495000001</v>
      </c>
      <c r="C2">
        <v>-33.883956882</v>
      </c>
      <c r="D2" t="s">
        <v>342</v>
      </c>
      <c r="E2" t="s">
        <v>342</v>
      </c>
      <c r="F2" t="s">
        <v>343</v>
      </c>
      <c r="G2" t="s">
        <v>344</v>
      </c>
      <c r="H2">
        <v>323</v>
      </c>
      <c r="I2" t="s">
        <v>345</v>
      </c>
      <c r="J2" t="s">
        <v>346</v>
      </c>
    </row>
    <row r="3" spans="1:10" x14ac:dyDescent="0.25">
      <c r="A3">
        <v>30</v>
      </c>
      <c r="B3">
        <v>18.4602</v>
      </c>
      <c r="C3">
        <v>-33.592100000000002</v>
      </c>
      <c r="D3" t="s">
        <v>347</v>
      </c>
      <c r="E3" t="s">
        <v>347</v>
      </c>
      <c r="F3" t="s">
        <v>343</v>
      </c>
      <c r="G3">
        <v>600</v>
      </c>
      <c r="H3">
        <v>0</v>
      </c>
      <c r="I3" t="s">
        <v>345</v>
      </c>
      <c r="J3" t="s">
        <v>344</v>
      </c>
    </row>
    <row r="4" spans="1:10" x14ac:dyDescent="0.25">
      <c r="A4">
        <v>17</v>
      </c>
      <c r="B4">
        <v>29.791422451999999</v>
      </c>
      <c r="C4">
        <v>-25.945013672999998</v>
      </c>
      <c r="D4" t="s">
        <v>348</v>
      </c>
      <c r="E4" t="s">
        <v>348</v>
      </c>
      <c r="F4" t="s">
        <v>343</v>
      </c>
      <c r="G4" t="s">
        <v>344</v>
      </c>
      <c r="H4">
        <v>324</v>
      </c>
      <c r="I4" t="s">
        <v>349</v>
      </c>
      <c r="J4" t="s">
        <v>350</v>
      </c>
    </row>
    <row r="5" spans="1:10" x14ac:dyDescent="0.25">
      <c r="A5">
        <v>18</v>
      </c>
      <c r="B5">
        <v>30.090886604000001</v>
      </c>
      <c r="C5">
        <v>-26.620611153999999</v>
      </c>
      <c r="D5" t="s">
        <v>351</v>
      </c>
      <c r="E5" t="s">
        <v>351</v>
      </c>
      <c r="F5" t="s">
        <v>343</v>
      </c>
      <c r="G5" t="s">
        <v>344</v>
      </c>
      <c r="H5">
        <v>325</v>
      </c>
      <c r="I5" t="s">
        <v>349</v>
      </c>
      <c r="J5" t="s">
        <v>352</v>
      </c>
    </row>
    <row r="6" spans="1:10" x14ac:dyDescent="0.25">
      <c r="A6">
        <v>33</v>
      </c>
      <c r="B6">
        <v>18.243780000000001</v>
      </c>
      <c r="C6">
        <v>-33.331949999999999</v>
      </c>
      <c r="D6" t="s">
        <v>353</v>
      </c>
      <c r="E6" t="s">
        <v>353</v>
      </c>
      <c r="F6" t="s">
        <v>354</v>
      </c>
      <c r="G6">
        <v>5</v>
      </c>
      <c r="H6">
        <v>0</v>
      </c>
      <c r="I6" t="s">
        <v>355</v>
      </c>
      <c r="J6" t="s">
        <v>346</v>
      </c>
    </row>
    <row r="7" spans="1:10" x14ac:dyDescent="0.25">
      <c r="A7">
        <v>19</v>
      </c>
      <c r="B7">
        <v>29.082460598000001</v>
      </c>
      <c r="C7">
        <v>-28.563245177999999</v>
      </c>
      <c r="D7" t="s">
        <v>356</v>
      </c>
      <c r="E7" t="s">
        <v>356</v>
      </c>
      <c r="F7" t="s">
        <v>343</v>
      </c>
      <c r="G7" t="s">
        <v>344</v>
      </c>
      <c r="H7">
        <v>326</v>
      </c>
      <c r="I7" t="s">
        <v>357</v>
      </c>
      <c r="J7" t="s">
        <v>346</v>
      </c>
    </row>
    <row r="8" spans="1:10" x14ac:dyDescent="0.25">
      <c r="A8">
        <v>20</v>
      </c>
      <c r="B8">
        <v>29.340684992</v>
      </c>
      <c r="C8">
        <v>-25.960105453000001</v>
      </c>
      <c r="D8" t="s">
        <v>358</v>
      </c>
      <c r="E8" t="s">
        <v>358</v>
      </c>
      <c r="F8" t="s">
        <v>343</v>
      </c>
      <c r="G8" t="s">
        <v>344</v>
      </c>
      <c r="H8">
        <v>327</v>
      </c>
      <c r="I8" t="s">
        <v>349</v>
      </c>
      <c r="J8" t="s">
        <v>350</v>
      </c>
    </row>
    <row r="9" spans="1:10" x14ac:dyDescent="0.25">
      <c r="A9">
        <v>21</v>
      </c>
      <c r="B9">
        <v>25.503588909000001</v>
      </c>
      <c r="C9">
        <v>-30.624227424000001</v>
      </c>
      <c r="D9" t="s">
        <v>359</v>
      </c>
      <c r="E9" t="s">
        <v>359</v>
      </c>
      <c r="F9" t="s">
        <v>343</v>
      </c>
      <c r="G9" t="s">
        <v>344</v>
      </c>
      <c r="H9">
        <v>328</v>
      </c>
      <c r="I9" t="s">
        <v>360</v>
      </c>
      <c r="J9" t="s">
        <v>346</v>
      </c>
    </row>
    <row r="10" spans="1:10" x14ac:dyDescent="0.25">
      <c r="A10">
        <v>31</v>
      </c>
      <c r="B10">
        <v>21.960771902000001</v>
      </c>
      <c r="C10">
        <v>-34.165261168000001</v>
      </c>
      <c r="D10" t="s">
        <v>361</v>
      </c>
      <c r="E10" t="s">
        <v>361</v>
      </c>
      <c r="F10" t="s">
        <v>343</v>
      </c>
      <c r="G10">
        <v>450</v>
      </c>
      <c r="H10">
        <v>0</v>
      </c>
      <c r="I10" t="s">
        <v>345</v>
      </c>
      <c r="J10" t="s">
        <v>344</v>
      </c>
    </row>
    <row r="11" spans="1:10" x14ac:dyDescent="0.25">
      <c r="A11">
        <v>22</v>
      </c>
      <c r="B11">
        <v>28.499213686000001</v>
      </c>
      <c r="C11">
        <v>-26.770056261000001</v>
      </c>
      <c r="D11" t="s">
        <v>362</v>
      </c>
      <c r="E11" t="s">
        <v>362</v>
      </c>
      <c r="F11" t="s">
        <v>343</v>
      </c>
      <c r="G11" t="s">
        <v>344</v>
      </c>
      <c r="H11">
        <v>329</v>
      </c>
      <c r="I11" t="s">
        <v>349</v>
      </c>
      <c r="J11" t="s">
        <v>352</v>
      </c>
    </row>
    <row r="12" spans="1:10" x14ac:dyDescent="0.25">
      <c r="A12">
        <v>23</v>
      </c>
      <c r="B12">
        <v>29.601136513</v>
      </c>
      <c r="C12">
        <v>-26.031951868</v>
      </c>
      <c r="D12" t="s">
        <v>363</v>
      </c>
      <c r="E12" t="s">
        <v>363</v>
      </c>
      <c r="F12" t="s">
        <v>343</v>
      </c>
      <c r="G12" t="s">
        <v>344</v>
      </c>
      <c r="H12">
        <v>330</v>
      </c>
      <c r="I12" t="s">
        <v>349</v>
      </c>
      <c r="J12" t="s">
        <v>350</v>
      </c>
    </row>
    <row r="13" spans="1:10" x14ac:dyDescent="0.25">
      <c r="A13">
        <v>24</v>
      </c>
      <c r="B13">
        <v>19.474326611999999</v>
      </c>
      <c r="C13">
        <v>-33.63907202</v>
      </c>
      <c r="D13" t="s">
        <v>364</v>
      </c>
      <c r="E13" t="s">
        <v>364</v>
      </c>
      <c r="F13" t="s">
        <v>343</v>
      </c>
      <c r="G13" t="s">
        <v>344</v>
      </c>
      <c r="H13">
        <v>331</v>
      </c>
      <c r="I13" t="s">
        <v>344</v>
      </c>
      <c r="J13" t="s">
        <v>344</v>
      </c>
    </row>
    <row r="14" spans="1:10" x14ac:dyDescent="0.25">
      <c r="A14">
        <v>0</v>
      </c>
      <c r="B14">
        <v>27.894932513000001</v>
      </c>
      <c r="C14">
        <v>-26.91816408</v>
      </c>
      <c r="D14" t="s">
        <v>365</v>
      </c>
      <c r="E14" t="s">
        <v>365</v>
      </c>
      <c r="F14" t="s">
        <v>343</v>
      </c>
      <c r="G14" t="s">
        <v>344</v>
      </c>
      <c r="H14">
        <v>332</v>
      </c>
      <c r="I14" t="s">
        <v>344</v>
      </c>
      <c r="J14" t="s">
        <v>344</v>
      </c>
    </row>
    <row r="15" spans="1:10" x14ac:dyDescent="0.25">
      <c r="A15">
        <v>1</v>
      </c>
      <c r="B15">
        <v>29.980519978</v>
      </c>
      <c r="C15">
        <v>-27.844961010999999</v>
      </c>
      <c r="D15" t="s">
        <v>366</v>
      </c>
      <c r="E15" t="s">
        <v>366</v>
      </c>
      <c r="F15" t="s">
        <v>343</v>
      </c>
      <c r="G15" t="s">
        <v>344</v>
      </c>
      <c r="H15">
        <v>333</v>
      </c>
      <c r="I15" t="s">
        <v>344</v>
      </c>
      <c r="J15" t="s">
        <v>344</v>
      </c>
    </row>
    <row r="16" spans="1:10" x14ac:dyDescent="0.25">
      <c r="A16">
        <v>25</v>
      </c>
      <c r="B16">
        <v>29.587212493999999</v>
      </c>
      <c r="C16">
        <v>-28.279162655</v>
      </c>
      <c r="D16" t="s">
        <v>367</v>
      </c>
      <c r="E16" t="s">
        <v>367</v>
      </c>
      <c r="F16" t="s">
        <v>354</v>
      </c>
      <c r="G16">
        <v>0</v>
      </c>
      <c r="H16">
        <v>349</v>
      </c>
      <c r="I16" t="s">
        <v>357</v>
      </c>
      <c r="J16" t="s">
        <v>368</v>
      </c>
    </row>
    <row r="17" spans="1:10" x14ac:dyDescent="0.25">
      <c r="A17">
        <v>2</v>
      </c>
      <c r="B17">
        <v>28.968613672</v>
      </c>
      <c r="C17">
        <v>-26.088607822</v>
      </c>
      <c r="D17" t="s">
        <v>369</v>
      </c>
      <c r="E17" t="s">
        <v>369</v>
      </c>
      <c r="F17" t="s">
        <v>343</v>
      </c>
      <c r="G17" t="s">
        <v>344</v>
      </c>
      <c r="H17">
        <v>334</v>
      </c>
      <c r="I17" t="s">
        <v>349</v>
      </c>
      <c r="J17" t="s">
        <v>350</v>
      </c>
    </row>
    <row r="18" spans="1:10" x14ac:dyDescent="0.25">
      <c r="A18">
        <v>32</v>
      </c>
      <c r="B18">
        <v>18.725000000000001</v>
      </c>
      <c r="C18">
        <v>-33.695390000000003</v>
      </c>
      <c r="D18" t="s">
        <v>370</v>
      </c>
      <c r="E18" t="s">
        <v>370</v>
      </c>
      <c r="F18" t="s">
        <v>343</v>
      </c>
      <c r="G18">
        <v>3</v>
      </c>
      <c r="H18">
        <v>0</v>
      </c>
      <c r="I18" t="s">
        <v>355</v>
      </c>
      <c r="J18" t="s">
        <v>346</v>
      </c>
    </row>
    <row r="19" spans="1:10" x14ac:dyDescent="0.25">
      <c r="A19">
        <v>3</v>
      </c>
      <c r="B19">
        <v>18.427407597999999</v>
      </c>
      <c r="C19">
        <v>-33.673859239999999</v>
      </c>
      <c r="D19" t="s">
        <v>371</v>
      </c>
      <c r="E19" t="s">
        <v>371</v>
      </c>
      <c r="F19" t="s">
        <v>343</v>
      </c>
      <c r="G19" t="s">
        <v>344</v>
      </c>
      <c r="H19">
        <v>335</v>
      </c>
      <c r="I19" t="s">
        <v>372</v>
      </c>
      <c r="J19" t="s">
        <v>350</v>
      </c>
    </row>
    <row r="20" spans="1:10" x14ac:dyDescent="0.25">
      <c r="A20">
        <v>4</v>
      </c>
      <c r="B20">
        <v>29.474206934000001</v>
      </c>
      <c r="C20">
        <v>-26.091337161999999</v>
      </c>
      <c r="D20" t="s">
        <v>373</v>
      </c>
      <c r="E20" t="s">
        <v>373</v>
      </c>
      <c r="F20" t="s">
        <v>343</v>
      </c>
      <c r="G20" t="s">
        <v>344</v>
      </c>
      <c r="H20">
        <v>336</v>
      </c>
      <c r="I20" t="s">
        <v>349</v>
      </c>
      <c r="J20" t="s">
        <v>352</v>
      </c>
    </row>
    <row r="21" spans="1:10" x14ac:dyDescent="0.25">
      <c r="A21">
        <v>5</v>
      </c>
      <c r="B21">
        <v>29.179813191000001</v>
      </c>
      <c r="C21">
        <v>-26.254584907999998</v>
      </c>
      <c r="D21" t="s">
        <v>374</v>
      </c>
      <c r="E21" t="s">
        <v>374</v>
      </c>
      <c r="F21" t="s">
        <v>343</v>
      </c>
      <c r="G21" t="s">
        <v>344</v>
      </c>
      <c r="H21">
        <v>337</v>
      </c>
      <c r="I21" t="s">
        <v>349</v>
      </c>
      <c r="J21" t="s">
        <v>350</v>
      </c>
    </row>
    <row r="22" spans="1:10" x14ac:dyDescent="0.25">
      <c r="A22">
        <v>26</v>
      </c>
      <c r="B22">
        <v>28.914173253000001</v>
      </c>
      <c r="C22">
        <v>-25.925657411</v>
      </c>
      <c r="D22" t="s">
        <v>375</v>
      </c>
      <c r="E22" t="s">
        <v>375</v>
      </c>
      <c r="F22" t="s">
        <v>354</v>
      </c>
      <c r="G22">
        <v>0</v>
      </c>
      <c r="H22">
        <v>322</v>
      </c>
      <c r="I22" t="s">
        <v>349</v>
      </c>
      <c r="J22" t="s">
        <v>368</v>
      </c>
    </row>
    <row r="23" spans="1:10" x14ac:dyDescent="0.25">
      <c r="A23">
        <v>6</v>
      </c>
      <c r="B23">
        <v>27.974687227</v>
      </c>
      <c r="C23">
        <v>-26.740779624999998</v>
      </c>
      <c r="D23" t="s">
        <v>376</v>
      </c>
      <c r="E23" t="s">
        <v>376</v>
      </c>
      <c r="F23" t="s">
        <v>343</v>
      </c>
      <c r="G23" t="s">
        <v>344</v>
      </c>
      <c r="H23">
        <v>338</v>
      </c>
      <c r="I23" t="s">
        <v>349</v>
      </c>
      <c r="J23" t="s">
        <v>350</v>
      </c>
    </row>
    <row r="24" spans="1:10" x14ac:dyDescent="0.25">
      <c r="A24">
        <v>7</v>
      </c>
      <c r="B24">
        <v>29.770294177</v>
      </c>
      <c r="C24">
        <v>-27.096055382999999</v>
      </c>
      <c r="D24" t="s">
        <v>377</v>
      </c>
      <c r="E24" t="s">
        <v>377</v>
      </c>
      <c r="F24" t="s">
        <v>343</v>
      </c>
      <c r="G24" t="s">
        <v>344</v>
      </c>
      <c r="H24">
        <v>339</v>
      </c>
      <c r="I24" t="s">
        <v>349</v>
      </c>
      <c r="J24" t="s">
        <v>350</v>
      </c>
    </row>
    <row r="25" spans="1:10" x14ac:dyDescent="0.25">
      <c r="A25">
        <v>8</v>
      </c>
      <c r="B25">
        <v>27.612490895000001</v>
      </c>
      <c r="C25">
        <v>-23.668478028999999</v>
      </c>
      <c r="D25" t="s">
        <v>378</v>
      </c>
      <c r="E25" t="s">
        <v>378</v>
      </c>
      <c r="F25" t="s">
        <v>343</v>
      </c>
      <c r="G25" t="s">
        <v>344</v>
      </c>
      <c r="H25">
        <v>340</v>
      </c>
      <c r="I25" t="s">
        <v>349</v>
      </c>
      <c r="J25" t="s">
        <v>350</v>
      </c>
    </row>
    <row r="26" spans="1:10" x14ac:dyDescent="0.25">
      <c r="A26">
        <v>9</v>
      </c>
      <c r="B26">
        <v>29.142027884000001</v>
      </c>
      <c r="C26">
        <v>-26.280910105</v>
      </c>
      <c r="D26" t="s">
        <v>379</v>
      </c>
      <c r="E26" t="s">
        <v>379</v>
      </c>
      <c r="F26" t="s">
        <v>343</v>
      </c>
      <c r="G26" t="s">
        <v>344</v>
      </c>
      <c r="H26">
        <v>341</v>
      </c>
      <c r="I26" t="s">
        <v>349</v>
      </c>
      <c r="J26" t="s">
        <v>350</v>
      </c>
    </row>
    <row r="27" spans="1:10" x14ac:dyDescent="0.25">
      <c r="A27">
        <v>27</v>
      </c>
      <c r="B27">
        <v>27.563520447999998</v>
      </c>
      <c r="C27">
        <v>-23.704510397</v>
      </c>
      <c r="D27" t="s">
        <v>380</v>
      </c>
      <c r="E27" t="s">
        <v>380</v>
      </c>
      <c r="F27" t="s">
        <v>354</v>
      </c>
      <c r="G27">
        <v>765</v>
      </c>
      <c r="H27">
        <v>350</v>
      </c>
      <c r="I27" t="s">
        <v>349</v>
      </c>
      <c r="J27" t="s">
        <v>368</v>
      </c>
    </row>
    <row r="28" spans="1:10" x14ac:dyDescent="0.25">
      <c r="A28">
        <v>10</v>
      </c>
      <c r="B28">
        <v>18.972933164000001</v>
      </c>
      <c r="C28">
        <v>-34.197385973999999</v>
      </c>
      <c r="D28" t="s">
        <v>381</v>
      </c>
      <c r="E28" t="s">
        <v>381</v>
      </c>
      <c r="F28" t="s">
        <v>343</v>
      </c>
      <c r="G28" t="s">
        <v>344</v>
      </c>
      <c r="H28">
        <v>342</v>
      </c>
      <c r="I28" t="s">
        <v>357</v>
      </c>
      <c r="J28" t="s">
        <v>346</v>
      </c>
    </row>
    <row r="29" spans="1:10" x14ac:dyDescent="0.25">
      <c r="A29">
        <v>11</v>
      </c>
      <c r="B29">
        <v>27.883467464999999</v>
      </c>
      <c r="C29">
        <v>-33.027548318000001</v>
      </c>
      <c r="D29" t="s">
        <v>382</v>
      </c>
      <c r="E29" t="s">
        <v>382</v>
      </c>
      <c r="F29" t="s">
        <v>343</v>
      </c>
      <c r="G29" t="s">
        <v>344</v>
      </c>
      <c r="H29">
        <v>343</v>
      </c>
      <c r="I29" t="s">
        <v>345</v>
      </c>
      <c r="J29" t="s">
        <v>346</v>
      </c>
    </row>
    <row r="30" spans="1:10" x14ac:dyDescent="0.25">
      <c r="A30">
        <v>12</v>
      </c>
      <c r="B30">
        <v>18.462632343999999</v>
      </c>
      <c r="C30">
        <v>-33.916574963000002</v>
      </c>
      <c r="D30" t="s">
        <v>383</v>
      </c>
      <c r="E30" t="s">
        <v>383</v>
      </c>
      <c r="F30" t="s">
        <v>343</v>
      </c>
      <c r="G30" t="s">
        <v>344</v>
      </c>
      <c r="H30">
        <v>344</v>
      </c>
      <c r="I30" t="s">
        <v>344</v>
      </c>
      <c r="J30" t="s">
        <v>344</v>
      </c>
    </row>
    <row r="31" spans="1:10" x14ac:dyDescent="0.25">
      <c r="A31">
        <v>28</v>
      </c>
      <c r="B31">
        <v>29.842472300000001</v>
      </c>
      <c r="C31">
        <v>-25.126078710000002</v>
      </c>
      <c r="D31" t="s">
        <v>384</v>
      </c>
      <c r="E31" t="s">
        <v>384</v>
      </c>
      <c r="F31" t="s">
        <v>354</v>
      </c>
      <c r="G31">
        <v>0</v>
      </c>
      <c r="H31">
        <v>321</v>
      </c>
      <c r="I31" t="s">
        <v>344</v>
      </c>
      <c r="J31" t="s">
        <v>344</v>
      </c>
    </row>
    <row r="32" spans="1:10" x14ac:dyDescent="0.25">
      <c r="A32">
        <v>13</v>
      </c>
      <c r="B32">
        <v>29.351854994</v>
      </c>
      <c r="C32">
        <v>-26.776165695</v>
      </c>
      <c r="D32" t="s">
        <v>385</v>
      </c>
      <c r="E32" t="s">
        <v>385</v>
      </c>
      <c r="F32" t="s">
        <v>343</v>
      </c>
      <c r="G32" t="s">
        <v>344</v>
      </c>
      <c r="H32">
        <v>345</v>
      </c>
      <c r="I32" t="s">
        <v>349</v>
      </c>
      <c r="J32" t="s">
        <v>350</v>
      </c>
    </row>
    <row r="33" spans="1:10" x14ac:dyDescent="0.25">
      <c r="A33">
        <v>14</v>
      </c>
      <c r="B33">
        <v>27.944130566999998</v>
      </c>
      <c r="C33">
        <v>-26.756056379</v>
      </c>
      <c r="D33" t="s">
        <v>386</v>
      </c>
      <c r="E33" t="s">
        <v>386</v>
      </c>
      <c r="F33" t="s">
        <v>343</v>
      </c>
      <c r="G33" t="s">
        <v>344</v>
      </c>
      <c r="H33">
        <v>346</v>
      </c>
      <c r="I33" t="s">
        <v>344</v>
      </c>
      <c r="J33" t="s">
        <v>344</v>
      </c>
    </row>
    <row r="34" spans="1:10" x14ac:dyDescent="0.25">
      <c r="A34">
        <v>15</v>
      </c>
      <c r="B34">
        <v>24.733376444000001</v>
      </c>
      <c r="C34">
        <v>-29.993663100999999</v>
      </c>
      <c r="D34" t="s">
        <v>387</v>
      </c>
      <c r="E34" t="s">
        <v>387</v>
      </c>
      <c r="F34" t="s">
        <v>343</v>
      </c>
      <c r="G34" t="s">
        <v>344</v>
      </c>
      <c r="H34">
        <v>347</v>
      </c>
      <c r="I34" t="s">
        <v>360</v>
      </c>
      <c r="J34" t="s">
        <v>346</v>
      </c>
    </row>
    <row r="35" spans="1:10" x14ac:dyDescent="0.25">
      <c r="A35">
        <v>16</v>
      </c>
      <c r="B35">
        <v>28.98167063</v>
      </c>
      <c r="C35">
        <v>-25.970003626</v>
      </c>
      <c r="D35" t="s">
        <v>388</v>
      </c>
      <c r="E35" t="s">
        <v>388</v>
      </c>
      <c r="F35" t="s">
        <v>343</v>
      </c>
      <c r="G35" t="s">
        <v>344</v>
      </c>
      <c r="H35">
        <v>348</v>
      </c>
      <c r="I35" t="s">
        <v>344</v>
      </c>
      <c r="J35" t="s">
        <v>344</v>
      </c>
    </row>
  </sheetData>
  <sortState ref="A2:J35">
    <sortCondition ref="D2:D35"/>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B61"/>
  <sheetViews>
    <sheetView topLeftCell="B19" workbookViewId="0">
      <pane ySplit="2" topLeftCell="A36" activePane="bottomLeft" state="frozen"/>
      <selection activeCell="B9" sqref="B9"/>
      <selection pane="bottomLeft" activeCell="U28" sqref="U28"/>
    </sheetView>
  </sheetViews>
  <sheetFormatPr defaultRowHeight="15" outlineLevelRow="1" x14ac:dyDescent="0.25"/>
  <cols>
    <col min="1" max="1" width="15" style="115" customWidth="1"/>
    <col min="2" max="2" width="23.42578125" customWidth="1"/>
    <col min="3" max="3" width="31" customWidth="1"/>
    <col min="4" max="4" width="6.5703125" customWidth="1"/>
    <col min="5" max="5" width="29.42578125" customWidth="1"/>
    <col min="18" max="18" width="9.5703125" bestFit="1" customWidth="1"/>
    <col min="19" max="19" width="9.7109375" bestFit="1" customWidth="1"/>
    <col min="20" max="20" width="9.5703125" bestFit="1" customWidth="1"/>
    <col min="21" max="21" width="9.140625" style="11"/>
    <col min="25" max="54" width="9.140625" style="59"/>
  </cols>
  <sheetData>
    <row r="1" spans="2:5" ht="15.75" hidden="1" outlineLevel="1" thickBot="1" x14ac:dyDescent="0.3"/>
    <row r="2" spans="2:5" ht="15.75" hidden="1" outlineLevel="1" thickBot="1" x14ac:dyDescent="0.3">
      <c r="B2" s="5" t="s">
        <v>403</v>
      </c>
    </row>
    <row r="3" spans="2:5" ht="15.75" hidden="1" outlineLevel="1" thickBot="1" x14ac:dyDescent="0.3">
      <c r="B3" t="s">
        <v>404</v>
      </c>
      <c r="C3" t="s">
        <v>405</v>
      </c>
    </row>
    <row r="4" spans="2:5" ht="15.75" hidden="1" outlineLevel="1" thickBot="1" x14ac:dyDescent="0.3">
      <c r="B4" t="s">
        <v>406</v>
      </c>
      <c r="C4">
        <v>25</v>
      </c>
    </row>
    <row r="5" spans="2:5" ht="15.75" hidden="1" outlineLevel="1" thickBot="1" x14ac:dyDescent="0.3">
      <c r="B5" t="s">
        <v>407</v>
      </c>
      <c r="C5">
        <v>50</v>
      </c>
    </row>
    <row r="6" spans="2:5" ht="15.75" hidden="1" outlineLevel="1" thickBot="1" x14ac:dyDescent="0.3">
      <c r="B6" t="s">
        <v>408</v>
      </c>
      <c r="C6">
        <v>40</v>
      </c>
    </row>
    <row r="7" spans="2:5" ht="15.75" hidden="1" outlineLevel="1" thickBot="1" x14ac:dyDescent="0.3">
      <c r="B7" t="s">
        <v>409</v>
      </c>
      <c r="C7">
        <v>85</v>
      </c>
    </row>
    <row r="8" spans="2:5" ht="15.75" hidden="1" outlineLevel="1" thickBot="1" x14ac:dyDescent="0.3">
      <c r="B8" t="s">
        <v>410</v>
      </c>
      <c r="C8">
        <v>65</v>
      </c>
    </row>
    <row r="9" spans="2:5" ht="15.75" hidden="1" outlineLevel="1" thickBot="1" x14ac:dyDescent="0.3">
      <c r="B9" s="92"/>
    </row>
    <row r="10" spans="2:5" ht="15.75" hidden="1" outlineLevel="1" thickBot="1" x14ac:dyDescent="0.3">
      <c r="B10" t="s">
        <v>411</v>
      </c>
      <c r="C10">
        <f>AVERAGE(C4,C5,C6,C7)</f>
        <v>50</v>
      </c>
    </row>
    <row r="11" spans="2:5" ht="15.75" hidden="1" outlineLevel="1" thickBot="1" x14ac:dyDescent="0.3"/>
    <row r="12" spans="2:5" ht="15.75" hidden="1" outlineLevel="1" thickBot="1" x14ac:dyDescent="0.3">
      <c r="B12" s="5" t="s">
        <v>412</v>
      </c>
    </row>
    <row r="13" spans="2:5" ht="15.75" hidden="1" outlineLevel="1" thickBot="1" x14ac:dyDescent="0.3">
      <c r="B13" s="414" t="s">
        <v>413</v>
      </c>
      <c r="C13" s="414" t="s">
        <v>414</v>
      </c>
      <c r="D13" s="414"/>
      <c r="E13" s="414"/>
    </row>
    <row r="14" spans="2:5" ht="15.75" hidden="1" outlineLevel="1" thickBot="1" x14ac:dyDescent="0.3">
      <c r="B14" s="414" t="s">
        <v>415</v>
      </c>
      <c r="C14" s="414">
        <v>17</v>
      </c>
      <c r="D14" s="414"/>
      <c r="E14" s="414"/>
    </row>
    <row r="15" spans="2:5" ht="15.75" hidden="1" outlineLevel="1" thickBot="1" x14ac:dyDescent="0.3"/>
    <row r="16" spans="2:5" ht="15.75" hidden="1" outlineLevel="1" thickBot="1" x14ac:dyDescent="0.3">
      <c r="B16" t="s">
        <v>474</v>
      </c>
    </row>
    <row r="17" spans="1:54" ht="15.75" hidden="1" outlineLevel="1" thickBot="1" x14ac:dyDescent="0.3">
      <c r="B17" t="s">
        <v>475</v>
      </c>
    </row>
    <row r="18" spans="1:54" ht="15.75" hidden="1" outlineLevel="1" thickBot="1" x14ac:dyDescent="0.3">
      <c r="R18" t="s">
        <v>715</v>
      </c>
      <c r="S18" t="s">
        <v>714</v>
      </c>
    </row>
    <row r="19" spans="1:54" ht="15.75" collapsed="1" thickBot="1" x14ac:dyDescent="0.3">
      <c r="A19" s="96" t="s">
        <v>476</v>
      </c>
      <c r="B19" s="96"/>
      <c r="C19" s="98" t="s">
        <v>439</v>
      </c>
      <c r="D19" s="98"/>
      <c r="E19" s="96"/>
      <c r="F19" s="96" t="s">
        <v>438</v>
      </c>
      <c r="G19" s="96"/>
      <c r="H19" s="97"/>
      <c r="I19" s="97"/>
      <c r="J19" s="96" t="s">
        <v>437</v>
      </c>
      <c r="K19" s="96"/>
      <c r="L19" s="96" t="s">
        <v>436</v>
      </c>
      <c r="M19" s="96" t="s">
        <v>436</v>
      </c>
      <c r="N19" s="93" t="s">
        <v>436</v>
      </c>
      <c r="O19" s="93"/>
      <c r="P19" s="93" t="s">
        <v>437</v>
      </c>
      <c r="Q19" s="93" t="s">
        <v>437</v>
      </c>
      <c r="R19" s="93" t="s">
        <v>217</v>
      </c>
      <c r="S19" s="93" t="s">
        <v>217</v>
      </c>
      <c r="T19" s="102" t="s">
        <v>482</v>
      </c>
      <c r="U19" s="93"/>
      <c r="V19" s="93"/>
      <c r="W19" s="93"/>
    </row>
    <row r="20" spans="1:54" ht="57" thickTop="1" x14ac:dyDescent="0.25">
      <c r="A20" s="346" t="s">
        <v>500</v>
      </c>
      <c r="B20" s="101" t="s">
        <v>413</v>
      </c>
      <c r="C20" s="95" t="s">
        <v>435</v>
      </c>
      <c r="D20" s="95" t="s">
        <v>684</v>
      </c>
      <c r="E20" s="94" t="s">
        <v>434</v>
      </c>
      <c r="F20" s="94" t="s">
        <v>433</v>
      </c>
      <c r="G20" s="94" t="s">
        <v>432</v>
      </c>
      <c r="H20" s="94" t="s">
        <v>722</v>
      </c>
      <c r="I20" s="340" t="s">
        <v>718</v>
      </c>
      <c r="J20" s="94" t="s">
        <v>431</v>
      </c>
      <c r="K20" s="94" t="s">
        <v>430</v>
      </c>
      <c r="L20" s="94" t="s">
        <v>719</v>
      </c>
      <c r="M20" s="340" t="s">
        <v>720</v>
      </c>
      <c r="N20" s="101" t="s">
        <v>717</v>
      </c>
      <c r="O20" s="101" t="s">
        <v>479</v>
      </c>
      <c r="P20" s="101" t="s">
        <v>481</v>
      </c>
      <c r="Q20" s="101" t="s">
        <v>480</v>
      </c>
      <c r="R20" s="101" t="s">
        <v>686</v>
      </c>
      <c r="S20" s="101" t="s">
        <v>687</v>
      </c>
      <c r="T20" s="101" t="s">
        <v>483</v>
      </c>
      <c r="U20" s="101" t="s">
        <v>484</v>
      </c>
      <c r="V20" s="101" t="s">
        <v>501</v>
      </c>
    </row>
    <row r="21" spans="1:54" x14ac:dyDescent="0.25">
      <c r="A21" s="346"/>
      <c r="B21" s="101"/>
      <c r="C21" s="366"/>
      <c r="D21" s="366"/>
      <c r="E21" s="366"/>
      <c r="F21" s="366"/>
      <c r="G21" s="366"/>
      <c r="H21" s="366"/>
      <c r="I21" s="366"/>
      <c r="J21" s="101"/>
      <c r="K21" s="101"/>
      <c r="L21" s="101"/>
      <c r="M21" s="195">
        <f>SUM(M49:M51) + SUM(M40:M44)+SUM(M34:M36) + M30+M52</f>
        <v>30800</v>
      </c>
      <c r="N21" s="195">
        <f>SUM(N49:N51) + SUM(N40:N44)+SUM(N34:N36) + N30+N52</f>
        <v>32051</v>
      </c>
      <c r="O21" s="368"/>
      <c r="P21" s="94"/>
      <c r="Q21" s="94"/>
      <c r="R21" s="94"/>
      <c r="S21" s="94"/>
      <c r="T21" s="94"/>
      <c r="U21" s="94"/>
      <c r="V21" s="94"/>
    </row>
    <row r="22" spans="1:54" s="11" customFormat="1" ht="15.75" thickBot="1" x14ac:dyDescent="0.3">
      <c r="A22" s="343"/>
      <c r="C22" s="348"/>
      <c r="D22" s="348"/>
      <c r="E22" s="755" t="s">
        <v>728</v>
      </c>
      <c r="F22" s="260"/>
      <c r="G22" s="260"/>
      <c r="H22" s="260"/>
      <c r="I22" s="757" t="s">
        <v>721</v>
      </c>
      <c r="J22" s="758"/>
      <c r="K22" s="758"/>
      <c r="L22" s="758"/>
      <c r="M22" s="758"/>
      <c r="N22" s="260"/>
      <c r="O22" s="260"/>
      <c r="R22" s="11" t="s">
        <v>715</v>
      </c>
      <c r="S22" s="11" t="s">
        <v>714</v>
      </c>
      <c r="U22" s="367">
        <v>0.84629981024667933</v>
      </c>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row>
    <row r="23" spans="1:54" s="11" customFormat="1" x14ac:dyDescent="0.25">
      <c r="A23" s="343"/>
      <c r="C23" s="349" t="s">
        <v>429</v>
      </c>
      <c r="D23" s="349"/>
      <c r="E23" s="755"/>
      <c r="F23" s="350"/>
      <c r="G23" s="350"/>
      <c r="H23" s="351"/>
      <c r="I23" s="759"/>
      <c r="J23" s="759"/>
      <c r="K23" s="759"/>
      <c r="L23" s="759"/>
      <c r="M23" s="759"/>
      <c r="N23" s="350"/>
      <c r="O23" s="350"/>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row>
    <row r="24" spans="1:54" s="279" customFormat="1" x14ac:dyDescent="0.25">
      <c r="A24" s="347"/>
      <c r="C24" s="287"/>
      <c r="D24" s="287"/>
      <c r="E24" s="756"/>
      <c r="F24" s="288"/>
      <c r="G24" s="288"/>
      <c r="H24" s="289"/>
      <c r="I24" s="364"/>
      <c r="J24" s="365"/>
      <c r="K24" s="365"/>
      <c r="L24" s="365"/>
      <c r="M24" s="365"/>
      <c r="N24" s="288"/>
      <c r="O24" s="288"/>
      <c r="W24" s="11"/>
      <c r="X24" s="11"/>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row>
    <row r="25" spans="1:54" s="193" customFormat="1" x14ac:dyDescent="0.25">
      <c r="A25" s="342" t="s">
        <v>331</v>
      </c>
      <c r="C25" s="194"/>
      <c r="D25" s="194"/>
      <c r="E25" s="195"/>
      <c r="F25" s="195"/>
      <c r="G25" s="195"/>
      <c r="H25" s="196"/>
      <c r="I25" s="196"/>
      <c r="J25" s="195"/>
      <c r="K25" s="195"/>
      <c r="L25" s="195"/>
      <c r="M25" s="195">
        <f>SUM(M26:M28)</f>
        <v>3720</v>
      </c>
      <c r="N25" s="195">
        <f>SUM(N26:N28)</f>
        <v>3690</v>
      </c>
      <c r="O25" s="195"/>
      <c r="T25" s="760"/>
      <c r="U25" s="761"/>
      <c r="V25" s="217"/>
      <c r="W25"/>
      <c r="X25"/>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row>
    <row r="26" spans="1:54" x14ac:dyDescent="0.25">
      <c r="A26" s="352"/>
      <c r="B26" s="10" t="s">
        <v>675</v>
      </c>
      <c r="C26" s="353" t="s">
        <v>418</v>
      </c>
      <c r="D26" s="354" t="s">
        <v>683</v>
      </c>
      <c r="E26" s="355" t="s">
        <v>85</v>
      </c>
      <c r="F26" s="356">
        <v>9648</v>
      </c>
      <c r="G26" s="356">
        <v>9648</v>
      </c>
      <c r="H26" s="357">
        <v>0.3536818278276862</v>
      </c>
      <c r="I26" s="357">
        <v>0.32419999999999999</v>
      </c>
      <c r="J26" s="356">
        <v>28212</v>
      </c>
      <c r="K26" s="353">
        <v>6</v>
      </c>
      <c r="L26" s="358">
        <v>610</v>
      </c>
      <c r="M26" s="359">
        <v>3720</v>
      </c>
      <c r="N26" s="356">
        <v>3690</v>
      </c>
      <c r="O26" s="360">
        <v>0.81</v>
      </c>
      <c r="P26" s="361">
        <v>23789</v>
      </c>
      <c r="Q26" s="362">
        <f>O26*N26*8.76</f>
        <v>26182.763999999999</v>
      </c>
      <c r="R26" s="363">
        <f>'Eskom coal pwr plants'!E3*TechWATv4!$T$4</f>
        <v>3.3333333333333333E-2</v>
      </c>
      <c r="S26" s="363">
        <f>'Eskom coal pwr plants'!F3*TechWATv4!$T$4</f>
        <v>5.5555555555555558E-3</v>
      </c>
      <c r="T26" s="10">
        <v>68.09</v>
      </c>
    </row>
    <row r="27" spans="1:54" s="11" customFormat="1" x14ac:dyDescent="0.25">
      <c r="A27" s="343"/>
      <c r="C27" s="258"/>
      <c r="D27" s="259"/>
      <c r="E27" s="260"/>
      <c r="F27" s="261"/>
      <c r="G27" s="261"/>
      <c r="H27" s="292"/>
      <c r="I27" s="292"/>
      <c r="J27" s="261"/>
      <c r="K27" s="258"/>
      <c r="L27" s="262"/>
      <c r="M27" s="286"/>
      <c r="N27" s="261"/>
      <c r="O27" s="263"/>
      <c r="P27" s="264"/>
      <c r="Q27" s="265"/>
      <c r="R27" s="276"/>
      <c r="S27" s="276"/>
      <c r="U27" s="266"/>
      <c r="V27"/>
      <c r="W27"/>
      <c r="X2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row>
    <row r="28" spans="1:54" s="193" customFormat="1" x14ac:dyDescent="0.25">
      <c r="A28" s="347"/>
      <c r="B28" s="279"/>
      <c r="C28" s="281" t="s">
        <v>485</v>
      </c>
      <c r="D28" s="287"/>
      <c r="E28" s="288"/>
      <c r="F28" s="288"/>
      <c r="G28" s="288"/>
      <c r="H28" s="341"/>
      <c r="I28" s="341"/>
      <c r="J28" s="288"/>
      <c r="K28" s="288"/>
      <c r="L28" s="288"/>
      <c r="N28" s="279"/>
      <c r="O28" s="280"/>
      <c r="P28" s="279"/>
      <c r="Q28" s="279"/>
      <c r="R28" s="281"/>
      <c r="S28" s="279"/>
      <c r="T28" s="290">
        <f>SUMPRODUCT(Q26,T26)/SUM(Q26)</f>
        <v>68.09</v>
      </c>
      <c r="U28" s="285">
        <f>T28*$U$22</f>
        <v>57.624554079696395</v>
      </c>
      <c r="W28"/>
      <c r="X28"/>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row>
    <row r="29" spans="1:54" s="217" customFormat="1" x14ac:dyDescent="0.25">
      <c r="A29" s="344" t="s">
        <v>477</v>
      </c>
      <c r="C29" s="218"/>
      <c r="D29" s="218"/>
      <c r="E29" s="219"/>
      <c r="F29" s="219"/>
      <c r="G29" s="219"/>
      <c r="H29" s="293"/>
      <c r="I29" s="293"/>
      <c r="J29" s="219"/>
      <c r="K29" s="219"/>
      <c r="L29" s="219"/>
      <c r="M29" s="223"/>
      <c r="N29" s="223">
        <f>SUM(N34:N47)</f>
        <v>19703</v>
      </c>
      <c r="O29" s="220"/>
      <c r="Q29" s="221"/>
      <c r="R29" s="221"/>
      <c r="S29" s="221"/>
      <c r="T29" s="222"/>
      <c r="U29" s="291"/>
      <c r="V29" s="193"/>
      <c r="W29"/>
      <c r="X2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row>
    <row r="30" spans="1:54" x14ac:dyDescent="0.25">
      <c r="A30" s="415"/>
      <c r="B30" s="151"/>
      <c r="C30" s="323" t="s">
        <v>422</v>
      </c>
      <c r="D30" s="323" t="s">
        <v>727</v>
      </c>
      <c r="E30" s="324" t="s">
        <v>726</v>
      </c>
      <c r="F30" s="325">
        <v>9755</v>
      </c>
      <c r="G30" s="325">
        <v>9755</v>
      </c>
      <c r="H30" s="326">
        <v>0.34980238594377411</v>
      </c>
      <c r="I30" s="326">
        <v>0.33279999999999998</v>
      </c>
      <c r="J30" s="325">
        <v>27934</v>
      </c>
      <c r="K30" s="323">
        <v>6</v>
      </c>
      <c r="L30" s="323">
        <v>640</v>
      </c>
      <c r="M30" s="325">
        <v>3840</v>
      </c>
      <c r="N30" s="325">
        <v>3840</v>
      </c>
      <c r="O30" s="327">
        <v>0.81</v>
      </c>
      <c r="P30" s="328">
        <v>24691</v>
      </c>
      <c r="Q30" s="308">
        <f>O30*N30*8.76</f>
        <v>27247.103999999999</v>
      </c>
      <c r="R30" s="329">
        <f>'Eskom coal pwr plants'!E5*TechWATv4!$T$4</f>
        <v>3.3333333333333333E-2</v>
      </c>
      <c r="S30" s="329">
        <f>'Eskom coal pwr plants'!F5*TechWATv4!$T$4</f>
        <v>1.9444444444444448E-2</v>
      </c>
      <c r="T30" s="330">
        <v>474.81</v>
      </c>
      <c r="U30" s="266"/>
    </row>
    <row r="31" spans="1:54" s="11" customFormat="1" x14ac:dyDescent="0.25">
      <c r="A31" s="343"/>
      <c r="C31" s="264" t="s">
        <v>716</v>
      </c>
      <c r="D31" s="267"/>
      <c r="E31" s="268"/>
      <c r="F31" s="269"/>
      <c r="G31" s="269"/>
      <c r="H31" s="295"/>
      <c r="I31" s="278">
        <f>MAX(I30:I30)/I33 -1</f>
        <v>0</v>
      </c>
      <c r="J31" s="269"/>
      <c r="K31" s="267"/>
      <c r="L31" s="267"/>
      <c r="M31" s="269"/>
      <c r="N31" s="269"/>
      <c r="O31" s="270"/>
      <c r="P31" s="271"/>
      <c r="Q31" s="272"/>
      <c r="R31" s="278">
        <f>MAX(R30:R30)/R33 -1</f>
        <v>0</v>
      </c>
      <c r="S31" s="278">
        <f>MAX(S30:S30)/S33 -1</f>
        <v>0</v>
      </c>
      <c r="T31" s="273"/>
      <c r="U31" s="266"/>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row>
    <row r="32" spans="1:54" s="11" customFormat="1" x14ac:dyDescent="0.25">
      <c r="A32" s="343"/>
      <c r="C32" s="264" t="s">
        <v>390</v>
      </c>
      <c r="D32" s="267"/>
      <c r="E32" s="268"/>
      <c r="F32" s="269"/>
      <c r="G32" s="269"/>
      <c r="H32" s="295"/>
      <c r="I32" s="278">
        <f>MIN(I30:I30)/I33 -1</f>
        <v>0</v>
      </c>
      <c r="J32" s="269"/>
      <c r="K32" s="267"/>
      <c r="L32" s="267"/>
      <c r="M32" s="269"/>
      <c r="N32" s="269"/>
      <c r="O32" s="270"/>
      <c r="P32" s="271"/>
      <c r="Q32" s="272"/>
      <c r="R32" s="278">
        <f>MIN(R30:R30)/R33 -1</f>
        <v>0</v>
      </c>
      <c r="S32" s="278">
        <f>MIN(S30:S30)/S33 -1</f>
        <v>0</v>
      </c>
      <c r="T32" s="273"/>
      <c r="U32" s="26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row>
    <row r="33" spans="1:54" s="11" customFormat="1" x14ac:dyDescent="0.25">
      <c r="A33" s="343"/>
      <c r="C33" s="281" t="s">
        <v>485</v>
      </c>
      <c r="D33" s="333"/>
      <c r="E33" s="333"/>
      <c r="F33" s="334"/>
      <c r="G33" s="334"/>
      <c r="H33" s="335"/>
      <c r="I33" s="420">
        <f>SUMPRODUCT(Q30:Q30,I30:I30)/SUM(Q30:Q30)</f>
        <v>0.33279999999999998</v>
      </c>
      <c r="J33" s="334"/>
      <c r="K33" s="333"/>
      <c r="L33" s="333"/>
      <c r="M33" s="334"/>
      <c r="N33" s="334"/>
      <c r="O33" s="336"/>
      <c r="P33" s="369"/>
      <c r="Q33" s="370"/>
      <c r="R33" s="372">
        <f>SUMPRODUCT(Q30:Q30,R30:R30)/SUM(Q30:Q30)</f>
        <v>3.3333333333333333E-2</v>
      </c>
      <c r="S33" s="372">
        <f>SUMPRODUCT(R30:R30,S30:S30)/SUM(R30:R30)</f>
        <v>1.9444444444444448E-2</v>
      </c>
      <c r="T33" s="371"/>
      <c r="U33" s="26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row>
    <row r="34" spans="1:54" x14ac:dyDescent="0.25">
      <c r="A34" s="345"/>
      <c r="B34" s="225"/>
      <c r="C34" s="311" t="s">
        <v>428</v>
      </c>
      <c r="D34" s="312" t="s">
        <v>685</v>
      </c>
      <c r="E34" s="313" t="s">
        <v>86</v>
      </c>
      <c r="F34" s="314">
        <v>12214</v>
      </c>
      <c r="G34" s="314">
        <v>12214</v>
      </c>
      <c r="H34" s="315">
        <v>0.27937794947449784</v>
      </c>
      <c r="I34" s="315">
        <v>0.29139999999999999</v>
      </c>
      <c r="J34" s="314">
        <v>1769</v>
      </c>
      <c r="K34" s="311">
        <v>8</v>
      </c>
      <c r="L34" s="311">
        <v>190</v>
      </c>
      <c r="M34" s="314">
        <v>1520</v>
      </c>
      <c r="N34" s="314">
        <v>1440</v>
      </c>
      <c r="O34" s="316">
        <v>0.81</v>
      </c>
      <c r="P34" s="226">
        <f>Q34</f>
        <v>10217.664000000001</v>
      </c>
      <c r="Q34" s="317">
        <f t="shared" ref="Q34:Q43" si="0">O34*N34*8.76</f>
        <v>10217.664000000001</v>
      </c>
      <c r="R34" s="318">
        <f>'Eskom coal pwr plants'!E13*TechWATv4!$T$4</f>
        <v>0.64166666666666672</v>
      </c>
      <c r="S34" s="319">
        <f>'Eskom coal pwr plants'!F13*TechWATv4!$T$4</f>
        <v>2.1666666666666667E-2</v>
      </c>
      <c r="T34" s="225">
        <v>177.46</v>
      </c>
      <c r="U34" s="266"/>
    </row>
    <row r="35" spans="1:54" x14ac:dyDescent="0.25">
      <c r="A35" s="345"/>
      <c r="B35" s="225"/>
      <c r="C35" s="311" t="s">
        <v>426</v>
      </c>
      <c r="D35" s="312" t="s">
        <v>685</v>
      </c>
      <c r="E35" s="313" t="s">
        <v>86</v>
      </c>
      <c r="F35" s="314">
        <v>13382</v>
      </c>
      <c r="G35" s="314">
        <v>13382</v>
      </c>
      <c r="H35" s="315">
        <v>0.2549934445435299</v>
      </c>
      <c r="I35" s="315">
        <v>0.27979999999999999</v>
      </c>
      <c r="J35" s="314">
        <v>0</v>
      </c>
      <c r="K35" s="311">
        <v>2</v>
      </c>
      <c r="L35" s="320">
        <v>100</v>
      </c>
      <c r="M35" s="314">
        <v>200</v>
      </c>
      <c r="N35" s="314">
        <v>906</v>
      </c>
      <c r="O35" s="316">
        <v>0.81</v>
      </c>
      <c r="P35" s="226">
        <f>Q35</f>
        <v>6428.6135999999997</v>
      </c>
      <c r="Q35" s="317">
        <f t="shared" si="0"/>
        <v>6428.6135999999997</v>
      </c>
      <c r="R35" s="318">
        <f>'Eskom coal pwr plants'!E11*TechWATv4!$T$4</f>
        <v>0.69166666666666676</v>
      </c>
      <c r="S35" s="319">
        <f>'Eskom coal pwr plants'!F11*TechWATv4!$T$4</f>
        <v>2.9166666666666667E-2</v>
      </c>
      <c r="T35" s="225">
        <v>37.56</v>
      </c>
      <c r="U35" s="266"/>
      <c r="V35">
        <v>3795</v>
      </c>
    </row>
    <row r="36" spans="1:54" x14ac:dyDescent="0.25">
      <c r="A36" s="345"/>
      <c r="B36" s="225"/>
      <c r="C36" s="311" t="s">
        <v>423</v>
      </c>
      <c r="D36" s="312" t="s">
        <v>685</v>
      </c>
      <c r="E36" s="313" t="s">
        <v>86</v>
      </c>
      <c r="F36" s="314">
        <v>10792</v>
      </c>
      <c r="G36" s="314">
        <v>10792</v>
      </c>
      <c r="H36" s="315">
        <v>0.31618998099346896</v>
      </c>
      <c r="I36" s="315">
        <v>0.28610000000000002</v>
      </c>
      <c r="J36" s="314">
        <v>11718</v>
      </c>
      <c r="K36" s="311">
        <v>10</v>
      </c>
      <c r="L36" s="321">
        <v>190</v>
      </c>
      <c r="M36" s="314">
        <v>1900</v>
      </c>
      <c r="N36" s="314">
        <v>1865</v>
      </c>
      <c r="O36" s="316">
        <v>0.81</v>
      </c>
      <c r="P36" s="322">
        <v>11718</v>
      </c>
      <c r="Q36" s="317">
        <f>O36*N36*8.76</f>
        <v>13233.294</v>
      </c>
      <c r="R36" s="318">
        <f>'Eskom coal pwr plants'!E10*TechWATv4!$T$4</f>
        <v>0.72499999999999998</v>
      </c>
      <c r="S36" s="319">
        <f>'Eskom coal pwr plants'!F10*TechWATv4!$T$4</f>
        <v>6.4166666666666677E-2</v>
      </c>
      <c r="T36" s="225">
        <v>37.56</v>
      </c>
      <c r="U36" s="266"/>
    </row>
    <row r="37" spans="1:54" s="9" customFormat="1" x14ac:dyDescent="0.25">
      <c r="A37" s="343"/>
      <c r="B37" s="11"/>
      <c r="C37" s="264" t="s">
        <v>716</v>
      </c>
      <c r="D37" s="259"/>
      <c r="E37" s="260"/>
      <c r="F37" s="261"/>
      <c r="G37" s="261"/>
      <c r="H37" s="292"/>
      <c r="I37" s="278">
        <f>MAX(I34:I36)/I39 -1</f>
        <v>1.690084282533566E-2</v>
      </c>
      <c r="J37" s="261"/>
      <c r="K37" s="258"/>
      <c r="L37" s="262"/>
      <c r="M37" s="261"/>
      <c r="N37" s="261"/>
      <c r="O37" s="261"/>
      <c r="P37" s="261"/>
      <c r="Q37" s="265"/>
      <c r="R37" s="278">
        <f>MAX(R34:R36)/R39 -1</f>
        <v>5.1743590185253874E-2</v>
      </c>
      <c r="S37" s="278">
        <f>MAX(S34:S36)/S39 -1</f>
        <v>0.56793458965990351</v>
      </c>
      <c r="T37" s="278"/>
      <c r="U37" s="266"/>
      <c r="V37"/>
      <c r="W37"/>
      <c r="X37"/>
      <c r="Y37" s="59"/>
      <c r="Z37" s="59"/>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row>
    <row r="38" spans="1:54" s="9" customFormat="1" x14ac:dyDescent="0.25">
      <c r="A38" s="343"/>
      <c r="B38" s="11"/>
      <c r="C38" s="298" t="s">
        <v>390</v>
      </c>
      <c r="D38" s="259"/>
      <c r="E38" s="299"/>
      <c r="F38" s="261"/>
      <c r="G38" s="261"/>
      <c r="H38" s="292"/>
      <c r="I38" s="278">
        <f>MIN(I34:I36)/I39 -1</f>
        <v>-2.357976725281774E-2</v>
      </c>
      <c r="J38" s="261"/>
      <c r="K38" s="258"/>
      <c r="L38" s="262"/>
      <c r="M38" s="261"/>
      <c r="N38" s="261"/>
      <c r="O38" s="261"/>
      <c r="P38" s="261"/>
      <c r="Q38" s="265"/>
      <c r="R38" s="278">
        <f>MIN(R34:R36)/R39 -1</f>
        <v>-6.9146477652131555E-2</v>
      </c>
      <c r="S38" s="278">
        <f>MIN(S34:S36)/S39 -1</f>
        <v>-0.47056754115379895</v>
      </c>
      <c r="T38" s="278"/>
      <c r="U38" s="266"/>
      <c r="V38"/>
      <c r="W38"/>
      <c r="X38"/>
      <c r="Y38" s="59"/>
      <c r="Z38" s="59"/>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row>
    <row r="39" spans="1:54" s="9" customFormat="1" x14ac:dyDescent="0.25">
      <c r="A39" s="343"/>
      <c r="B39" s="11"/>
      <c r="C39" s="281" t="s">
        <v>485</v>
      </c>
      <c r="D39" s="300"/>
      <c r="E39" s="301"/>
      <c r="F39" s="302"/>
      <c r="G39" s="302"/>
      <c r="H39" s="303"/>
      <c r="I39" s="420">
        <f>SUMPRODUCT(Q34:Q36,I34:I36)/SUM(Q34:Q36)</f>
        <v>0.28655694609356447</v>
      </c>
      <c r="J39" s="302"/>
      <c r="K39" s="304"/>
      <c r="L39" s="305"/>
      <c r="M39" s="302"/>
      <c r="N39" s="302"/>
      <c r="O39" s="302"/>
      <c r="P39" s="302"/>
      <c r="Q39" s="281"/>
      <c r="R39" s="282">
        <f>SUMPRODUCT(Q34:Q36,R34:R36)/SUM(Q34:Q36)</f>
        <v>0.68933151270482063</v>
      </c>
      <c r="S39" s="283">
        <f>SUMPRODUCT(P34:P36,S34:S36)/SUM(P34:P36)</f>
        <v>4.0924326237732213E-2</v>
      </c>
      <c r="T39" s="283"/>
      <c r="U39" s="266"/>
      <c r="V39"/>
      <c r="W39"/>
      <c r="X39"/>
      <c r="Y39" s="59"/>
      <c r="Z39" s="59"/>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row>
    <row r="40" spans="1:54" x14ac:dyDescent="0.25">
      <c r="A40" s="762"/>
      <c r="B40" s="151"/>
      <c r="C40" s="227" t="s">
        <v>421</v>
      </c>
      <c r="D40" s="228" t="s">
        <v>685</v>
      </c>
      <c r="E40" s="229" t="s">
        <v>84</v>
      </c>
      <c r="F40" s="230">
        <v>9510</v>
      </c>
      <c r="G40" s="230">
        <v>9510</v>
      </c>
      <c r="H40" s="294">
        <v>0.35881411933559587</v>
      </c>
      <c r="I40" s="294">
        <v>0.32169999999999999</v>
      </c>
      <c r="J40" s="230">
        <v>19209</v>
      </c>
      <c r="K40" s="227">
        <v>6</v>
      </c>
      <c r="L40" s="231">
        <v>480</v>
      </c>
      <c r="M40" s="230">
        <v>2880</v>
      </c>
      <c r="N40" s="230">
        <v>2850</v>
      </c>
      <c r="O40" s="232">
        <v>0.81</v>
      </c>
      <c r="P40" s="233">
        <v>17452</v>
      </c>
      <c r="Q40" s="234">
        <f>O40*N40*8.76</f>
        <v>20222.46</v>
      </c>
      <c r="R40" s="306">
        <f>'Eskom coal pwr plants'!E7*TechWATv4!$T$4</f>
        <v>0.66111111111111109</v>
      </c>
      <c r="S40" s="307">
        <f>'Eskom coal pwr plants'!F7*TechWATv4!$T$4</f>
        <v>3.3333333333333333E-2</v>
      </c>
      <c r="T40" s="151">
        <v>161.41999999999999</v>
      </c>
      <c r="U40" s="266"/>
    </row>
    <row r="41" spans="1:54" x14ac:dyDescent="0.25">
      <c r="A41" s="762"/>
      <c r="B41" s="151"/>
      <c r="C41" s="227" t="s">
        <v>424</v>
      </c>
      <c r="D41" s="228" t="s">
        <v>685</v>
      </c>
      <c r="E41" s="229" t="s">
        <v>84</v>
      </c>
      <c r="F41" s="230">
        <v>9831</v>
      </c>
      <c r="G41" s="230">
        <v>9831</v>
      </c>
      <c r="H41" s="294">
        <v>0.34709818684584648</v>
      </c>
      <c r="I41" s="294">
        <v>0.31480000000000002</v>
      </c>
      <c r="J41" s="230">
        <v>25246</v>
      </c>
      <c r="K41" s="227">
        <v>6</v>
      </c>
      <c r="L41" s="231">
        <v>580</v>
      </c>
      <c r="M41" s="230">
        <v>3480</v>
      </c>
      <c r="N41" s="230">
        <v>3450</v>
      </c>
      <c r="O41" s="232">
        <v>0.81</v>
      </c>
      <c r="P41" s="233">
        <v>22798</v>
      </c>
      <c r="Q41" s="234">
        <f>O41*N41*8.76</f>
        <v>24479.82</v>
      </c>
      <c r="R41" s="306">
        <f>'Eskom coal pwr plants'!E13*TechWATv4!$T$4</f>
        <v>0.64166666666666672</v>
      </c>
      <c r="S41" s="307">
        <f>'Eskom coal pwr plants'!F13*TechWATv4!$T$4</f>
        <v>2.1666666666666667E-2</v>
      </c>
      <c r="T41" s="151">
        <v>222.6</v>
      </c>
      <c r="U41" s="266"/>
    </row>
    <row r="42" spans="1:54" x14ac:dyDescent="0.25">
      <c r="A42" s="762"/>
      <c r="B42" s="151"/>
      <c r="C42" s="227" t="s">
        <v>417</v>
      </c>
      <c r="D42" s="228" t="s">
        <v>685</v>
      </c>
      <c r="E42" s="229" t="s">
        <v>84</v>
      </c>
      <c r="F42" s="230">
        <v>9692</v>
      </c>
      <c r="G42" s="230">
        <v>9692</v>
      </c>
      <c r="H42" s="294">
        <v>0.35207617363614491</v>
      </c>
      <c r="I42" s="294">
        <v>0.33179999999999998</v>
      </c>
      <c r="J42" s="230">
        <v>25388</v>
      </c>
      <c r="K42" s="227">
        <v>6</v>
      </c>
      <c r="L42" s="231">
        <v>580</v>
      </c>
      <c r="M42" s="230">
        <v>3480</v>
      </c>
      <c r="N42" s="230">
        <v>3450</v>
      </c>
      <c r="O42" s="232">
        <v>0.81</v>
      </c>
      <c r="P42" s="233">
        <v>25199</v>
      </c>
      <c r="Q42" s="234">
        <f t="shared" si="0"/>
        <v>24479.82</v>
      </c>
      <c r="R42" s="309">
        <f>'Eskom coal pwr plants'!E8*TechWATv4!$T$4</f>
        <v>0.56666666666666665</v>
      </c>
      <c r="S42" s="257">
        <f>'Eskom coal pwr plants'!F8*TechWATv4!$T$4</f>
        <v>2.1388888888888888E-2</v>
      </c>
      <c r="T42" s="151">
        <v>126.94</v>
      </c>
      <c r="U42" s="266"/>
    </row>
    <row r="43" spans="1:54" x14ac:dyDescent="0.25">
      <c r="A43" s="762"/>
      <c r="B43" s="151"/>
      <c r="C43" s="227" t="s">
        <v>416</v>
      </c>
      <c r="D43" s="228" t="s">
        <v>685</v>
      </c>
      <c r="E43" s="229" t="s">
        <v>84</v>
      </c>
      <c r="F43" s="230">
        <v>9100</v>
      </c>
      <c r="G43" s="230">
        <v>9100</v>
      </c>
      <c r="H43" s="294">
        <v>0.37498046976719962</v>
      </c>
      <c r="I43" s="294">
        <v>0.32340000000000002</v>
      </c>
      <c r="J43" s="230">
        <v>18374</v>
      </c>
      <c r="K43" s="227">
        <v>6</v>
      </c>
      <c r="L43" s="231">
        <v>580</v>
      </c>
      <c r="M43" s="310">
        <v>3540</v>
      </c>
      <c r="N43" s="230">
        <v>3510</v>
      </c>
      <c r="O43" s="232">
        <v>0.81</v>
      </c>
      <c r="P43" s="233">
        <v>8962</v>
      </c>
      <c r="Q43" s="234">
        <f t="shared" si="0"/>
        <v>24905.556000000004</v>
      </c>
      <c r="R43" s="309">
        <f>'Eskom coal pwr plants'!E17*TechWATv4!$T$4</f>
        <v>0.5722222222222223</v>
      </c>
      <c r="S43" s="257">
        <f>'Eskom coal pwr plants'!F17*TechWATv4!$T$4</f>
        <v>2.6944444444444448E-2</v>
      </c>
      <c r="T43" s="151">
        <v>115.56</v>
      </c>
      <c r="U43" s="266"/>
    </row>
    <row r="44" spans="1:54" x14ac:dyDescent="0.25">
      <c r="A44" s="762"/>
      <c r="B44" s="151"/>
      <c r="C44" s="227" t="s">
        <v>425</v>
      </c>
      <c r="D44" s="228" t="s">
        <v>685</v>
      </c>
      <c r="E44" s="229" t="s">
        <v>84</v>
      </c>
      <c r="F44" s="230">
        <v>10555</v>
      </c>
      <c r="G44" s="230">
        <v>10555</v>
      </c>
      <c r="H44" s="294">
        <v>0.32328965181255487</v>
      </c>
      <c r="I44" s="294">
        <v>0.29299999999999998</v>
      </c>
      <c r="J44" s="230">
        <v>12683</v>
      </c>
      <c r="K44" s="227">
        <v>6</v>
      </c>
      <c r="L44" s="231">
        <v>370</v>
      </c>
      <c r="M44" s="230">
        <v>2220</v>
      </c>
      <c r="N44" s="230">
        <v>2232</v>
      </c>
      <c r="O44" s="232">
        <v>0.81</v>
      </c>
      <c r="P44" s="233">
        <v>9675</v>
      </c>
      <c r="Q44" s="234">
        <f>O44*N44*8.76</f>
        <v>15837.379199999999</v>
      </c>
      <c r="R44" s="309">
        <f>'Eskom coal pwr plants'!E9*TechWATv4!$T$4</f>
        <v>0.6166666666666667</v>
      </c>
      <c r="S44" s="257">
        <f>'Eskom coal pwr plants'!F9*TechWATv4!$T$4</f>
        <v>4.3611111111111114E-2</v>
      </c>
      <c r="T44" s="151">
        <v>37.56</v>
      </c>
      <c r="U44" s="266"/>
    </row>
    <row r="45" spans="1:54" s="11" customFormat="1" x14ac:dyDescent="0.25">
      <c r="A45" s="343"/>
      <c r="C45" s="264" t="s">
        <v>716</v>
      </c>
      <c r="D45" s="259"/>
      <c r="E45" s="260"/>
      <c r="F45" s="261"/>
      <c r="G45" s="261"/>
      <c r="H45" s="292"/>
      <c r="I45" s="278">
        <f>MAX(I40:I44)/I47 -1</f>
        <v>4.1225832915546157E-2</v>
      </c>
      <c r="J45" s="261"/>
      <c r="K45" s="258"/>
      <c r="L45" s="262"/>
      <c r="M45" s="261"/>
      <c r="N45" s="261"/>
      <c r="O45" s="263"/>
      <c r="Q45" s="265"/>
      <c r="R45" s="278">
        <f>MAX(R40:R44)/R47 -1</f>
        <v>8.5201556150875435E-2</v>
      </c>
      <c r="S45" s="278">
        <f>MAX(S40:S44)/S47 -1</f>
        <v>0.60972411492317624</v>
      </c>
      <c r="T45" s="278"/>
      <c r="U45" s="277"/>
      <c r="V45"/>
      <c r="W45"/>
      <c r="X45"/>
      <c r="Y45" s="59"/>
      <c r="Z45" s="59"/>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c r="BB45" s="337"/>
    </row>
    <row r="46" spans="1:54" s="11" customFormat="1" x14ac:dyDescent="0.25">
      <c r="A46" s="343"/>
      <c r="C46" s="264" t="s">
        <v>390</v>
      </c>
      <c r="D46" s="259"/>
      <c r="E46" s="260"/>
      <c r="F46" s="261"/>
      <c r="G46" s="261"/>
      <c r="H46" s="292"/>
      <c r="I46" s="278">
        <f>MIN(I40:I44)/I47 -1</f>
        <v>-8.0532944411527918E-2</v>
      </c>
      <c r="J46" s="261"/>
      <c r="K46" s="258"/>
      <c r="L46" s="262"/>
      <c r="M46" s="261"/>
      <c r="N46" s="261"/>
      <c r="O46" s="263"/>
      <c r="Q46" s="265"/>
      <c r="R46" s="278">
        <f>MIN(R40:R44)/R47 -1</f>
        <v>-6.9827237584964008E-2</v>
      </c>
      <c r="S46" s="278">
        <f>MIN(S40:S44)/S47 -1</f>
        <v>-0.21051747229882456</v>
      </c>
      <c r="T46" s="278"/>
      <c r="U46" s="277"/>
      <c r="V46"/>
      <c r="W46"/>
      <c r="X46"/>
      <c r="Y46" s="59"/>
      <c r="Z46" s="59"/>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c r="BB46" s="337"/>
    </row>
    <row r="47" spans="1:54" s="279" customFormat="1" x14ac:dyDescent="0.25">
      <c r="A47"/>
      <c r="B47"/>
      <c r="C47" s="281" t="s">
        <v>485</v>
      </c>
      <c r="H47" s="296"/>
      <c r="I47" s="420">
        <f>SUMPRODUCT(Q40:Q44,I40:I44)/SUM(Q40:Q44)</f>
        <v>0.31866285824941903</v>
      </c>
      <c r="O47" s="280"/>
      <c r="Q47" s="281"/>
      <c r="R47" s="282">
        <f>SUMPRODUCT(Q40:Q44,R40:R44)/SUM(Q40:Q44)</f>
        <v>0.60920582666322398</v>
      </c>
      <c r="S47" s="283">
        <f>SUMPRODUCT(P40:P44,S40:S44)/SUM(P40:P44)</f>
        <v>2.7092289111412392E-2</v>
      </c>
      <c r="T47" s="284">
        <f>SUMPRODUCT(Q30:Q44,T30:T44)/SUM(Q30:Q44)</f>
        <v>184.2713791785244</v>
      </c>
      <c r="U47" s="285">
        <f>T47*$U$22</f>
        <v>155.94883323267911</v>
      </c>
      <c r="V47"/>
      <c r="W47"/>
      <c r="X47"/>
      <c r="Y47" s="59"/>
      <c r="Z47" s="59"/>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row>
    <row r="48" spans="1:54" s="217" customFormat="1" x14ac:dyDescent="0.25">
      <c r="A48" s="344" t="s">
        <v>478</v>
      </c>
      <c r="H48" s="297"/>
      <c r="I48" s="297"/>
      <c r="M48" s="223">
        <f>SUM(M49:M51)</f>
        <v>5910</v>
      </c>
      <c r="N48" s="223">
        <f>SUM(N49:N51)</f>
        <v>6668</v>
      </c>
      <c r="O48" s="220"/>
      <c r="Q48" s="221"/>
      <c r="R48" s="221"/>
      <c r="S48" s="221"/>
      <c r="T48" s="222"/>
      <c r="U48" s="285"/>
      <c r="V48"/>
      <c r="W48"/>
      <c r="X48"/>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row>
    <row r="49" spans="1:54" x14ac:dyDescent="0.25">
      <c r="A49" s="763" t="s">
        <v>723</v>
      </c>
      <c r="B49" s="331"/>
      <c r="C49" s="331" t="s">
        <v>392</v>
      </c>
      <c r="D49" s="331" t="s">
        <v>685</v>
      </c>
      <c r="E49" s="331" t="s">
        <v>724</v>
      </c>
      <c r="F49" s="331">
        <v>9671</v>
      </c>
      <c r="G49" s="331">
        <v>9671</v>
      </c>
      <c r="H49" s="338">
        <v>0.35284068605950958</v>
      </c>
      <c r="I49" s="338">
        <v>0.34860000000000002</v>
      </c>
      <c r="J49" s="331">
        <v>24868</v>
      </c>
      <c r="K49" s="331">
        <v>6</v>
      </c>
      <c r="L49" s="331">
        <v>590</v>
      </c>
      <c r="M49" s="331">
        <v>3540</v>
      </c>
      <c r="N49" s="331">
        <v>3558</v>
      </c>
      <c r="O49" s="331">
        <v>0.81</v>
      </c>
      <c r="P49" s="331">
        <v>21572</v>
      </c>
      <c r="Q49" s="331">
        <f>O49*N49*8.76</f>
        <v>25246.144799999998</v>
      </c>
      <c r="R49" s="339">
        <f>'Eskom coal pwr plants'!E16*TechWATv4!$T$4</f>
        <v>0.51666666666666672</v>
      </c>
      <c r="S49" s="332">
        <f>'Eskom coal pwr plants'!F16*TechWATv4!$T$4</f>
        <v>2.1111111111111112E-2</v>
      </c>
      <c r="T49" s="331">
        <v>49.51</v>
      </c>
      <c r="U49" s="266"/>
    </row>
    <row r="50" spans="1:54" x14ac:dyDescent="0.25">
      <c r="A50" s="764"/>
      <c r="B50" s="331"/>
      <c r="C50" s="331" t="s">
        <v>419</v>
      </c>
      <c r="D50" s="331" t="s">
        <v>685</v>
      </c>
      <c r="E50" s="331" t="s">
        <v>84</v>
      </c>
      <c r="F50" s="331">
        <v>9074</v>
      </c>
      <c r="G50" s="331">
        <v>9074</v>
      </c>
      <c r="H50" s="338">
        <v>0.37605491237398242</v>
      </c>
      <c r="I50" s="338">
        <f>I47</f>
        <v>0.31866285824941903</v>
      </c>
      <c r="J50" s="331">
        <v>9222.3950039032006</v>
      </c>
      <c r="K50" s="331">
        <v>3</v>
      </c>
      <c r="L50" s="331">
        <v>670</v>
      </c>
      <c r="M50" s="331">
        <v>2010</v>
      </c>
      <c r="N50" s="331">
        <v>1980</v>
      </c>
      <c r="O50" s="331">
        <v>0.81</v>
      </c>
      <c r="P50" s="432">
        <f>Q50</f>
        <v>14049.288</v>
      </c>
      <c r="Q50" s="331">
        <f>O50*N50*8.76</f>
        <v>14049.288</v>
      </c>
      <c r="R50" s="339">
        <f>'Eskom coal pwr plants'!E14*TechWATv4!$T$4</f>
        <v>0.51666666666666672</v>
      </c>
      <c r="S50" s="332">
        <f>'Eskom coal pwr plants'!F14*TechWATv4!$T$4</f>
        <v>2.1111111111111112E-2</v>
      </c>
      <c r="T50" s="331">
        <v>49.51</v>
      </c>
      <c r="U50" s="266"/>
    </row>
    <row r="51" spans="1:54" x14ac:dyDescent="0.25">
      <c r="A51" s="764"/>
      <c r="B51" s="331"/>
      <c r="C51" s="331" t="s">
        <v>427</v>
      </c>
      <c r="D51" s="331" t="s">
        <v>685</v>
      </c>
      <c r="E51" s="331" t="s">
        <v>724</v>
      </c>
      <c r="F51" s="331">
        <v>12638</v>
      </c>
      <c r="G51" s="331">
        <v>12638</v>
      </c>
      <c r="H51" s="338">
        <v>0.27000492758992856</v>
      </c>
      <c r="I51" s="338">
        <v>0.28179999999999999</v>
      </c>
      <c r="J51" s="331">
        <v>0</v>
      </c>
      <c r="K51" s="331">
        <v>2</v>
      </c>
      <c r="L51" s="331">
        <v>180</v>
      </c>
      <c r="M51" s="331">
        <v>360</v>
      </c>
      <c r="N51" s="331">
        <v>1130</v>
      </c>
      <c r="O51" s="331">
        <v>0.81</v>
      </c>
      <c r="P51" s="331"/>
      <c r="Q51" s="331">
        <f>O51*N51*8.76</f>
        <v>8018.0280000000002</v>
      </c>
      <c r="R51" s="339">
        <f>'Eskom coal pwr plants'!E18*TechWATv4!$T$4</f>
        <v>0.47500000000000003</v>
      </c>
      <c r="S51" s="332">
        <f>'Eskom coal pwr plants'!F18*TechWATv4!$T$4</f>
        <v>0.05</v>
      </c>
      <c r="T51" s="331">
        <v>49.51</v>
      </c>
      <c r="U51" s="266"/>
    </row>
    <row r="52" spans="1:54" x14ac:dyDescent="0.25">
      <c r="A52" s="433"/>
      <c r="B52" s="434"/>
      <c r="C52" s="434" t="s">
        <v>420</v>
      </c>
      <c r="D52" s="434" t="s">
        <v>683</v>
      </c>
      <c r="E52" s="434" t="s">
        <v>725</v>
      </c>
      <c r="F52" s="434">
        <v>9763</v>
      </c>
      <c r="G52" s="434">
        <v>9763</v>
      </c>
      <c r="H52" s="435">
        <v>0.3495157507816774</v>
      </c>
      <c r="I52" s="435">
        <f>I26</f>
        <v>0.32419999999999999</v>
      </c>
      <c r="J52" s="434">
        <v>8569.6049960967994</v>
      </c>
      <c r="K52" s="434">
        <v>3</v>
      </c>
      <c r="L52" s="434">
        <v>610</v>
      </c>
      <c r="M52" s="434">
        <v>1830</v>
      </c>
      <c r="N52" s="434">
        <v>1840</v>
      </c>
      <c r="O52" s="434">
        <v>0.81</v>
      </c>
      <c r="P52" s="436">
        <v>5170</v>
      </c>
      <c r="Q52" s="434">
        <f>O52*N52*8.76</f>
        <v>13055.904</v>
      </c>
      <c r="R52" s="437">
        <f>'Eskom coal pwr plants'!E15*TechWATv4!$T$4</f>
        <v>3.3333333333333333E-2</v>
      </c>
      <c r="S52" s="438">
        <f>'Eskom coal pwr plants'!F15*TechWATv4!$T$4</f>
        <v>5.5555555555555558E-3</v>
      </c>
      <c r="T52" s="434">
        <v>49.51</v>
      </c>
      <c r="U52" s="266"/>
    </row>
    <row r="53" spans="1:54" s="11" customFormat="1" x14ac:dyDescent="0.25">
      <c r="A53" s="343"/>
      <c r="C53" s="264" t="s">
        <v>716</v>
      </c>
      <c r="I53" s="278">
        <f>MAX(I49:I51)/I55 -1</f>
        <v>6.1542319493330666E-2</v>
      </c>
      <c r="Q53" s="265"/>
      <c r="R53" s="278">
        <f>MAX(R47:R51)/R55 -1</f>
        <v>0.19544575629857608</v>
      </c>
      <c r="S53" s="278">
        <f>MAX(S47:S51)/S55 -1</f>
        <v>1.3684210526315792</v>
      </c>
      <c r="T53" s="278">
        <f>MAX(T47:T51)/T55 -1</f>
        <v>2.7219022253792038</v>
      </c>
      <c r="U53" s="266"/>
      <c r="V53"/>
      <c r="W53"/>
      <c r="X53"/>
      <c r="Y53" s="337"/>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row>
    <row r="54" spans="1:54" s="11" customFormat="1" x14ac:dyDescent="0.25">
      <c r="A54" s="343"/>
      <c r="C54" s="264" t="s">
        <v>390</v>
      </c>
      <c r="I54" s="278">
        <f>MIN(I49:I51)/I55 -1</f>
        <v>-0.14187428102920097</v>
      </c>
      <c r="Q54" s="265"/>
      <c r="R54" s="278">
        <f>MIN(R47:R51)/R55 -1</f>
        <v>-6.7906593487441547E-2</v>
      </c>
      <c r="S54" s="278">
        <f>MIN(S47:S51)/S55 -1</f>
        <v>0</v>
      </c>
      <c r="T54" s="278">
        <f>MIN(T47:T51)/T55 -1</f>
        <v>0</v>
      </c>
      <c r="U54" s="266"/>
      <c r="V54"/>
      <c r="W54"/>
      <c r="X54"/>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row>
    <row r="55" spans="1:54" s="279" customFormat="1" x14ac:dyDescent="0.25">
      <c r="A55" s="347"/>
      <c r="C55" s="281" t="s">
        <v>485</v>
      </c>
      <c r="I55" s="420">
        <f>SUMPRODUCT(Q49:Q51,I49:I51)/SUM(Q49:Q51)</f>
        <v>0.32839011087790193</v>
      </c>
      <c r="O55" s="280"/>
      <c r="Q55" s="281"/>
      <c r="R55" s="282">
        <f>SUMPRODUCT(Q49:Q51,R49:R51)/SUM(Q49:Q51)</f>
        <v>0.50960557888422331</v>
      </c>
      <c r="S55" s="283">
        <f>SUMPRODUCT(P49:P51,S49:S51)/SUM(P49:P51)</f>
        <v>2.1111111111111112E-2</v>
      </c>
      <c r="T55" s="290">
        <f>SUMPRODUCT(Q49:Q51,T49:T51)/SUM(Q49:Q51)</f>
        <v>49.510000000000005</v>
      </c>
      <c r="U55" s="285">
        <f>T55*$U$22</f>
        <v>41.900303605313098</v>
      </c>
      <c r="V55"/>
      <c r="W55"/>
      <c r="X55"/>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row>
    <row r="56" spans="1:54" s="217" customFormat="1" x14ac:dyDescent="0.25">
      <c r="A56" s="344" t="s">
        <v>683</v>
      </c>
      <c r="N56" s="195">
        <f>SUM(N57:N59)</f>
        <v>0</v>
      </c>
      <c r="O56" s="220"/>
      <c r="Q56" s="221"/>
      <c r="R56" s="221"/>
      <c r="S56" s="221"/>
      <c r="T56" s="222"/>
      <c r="U56" s="291"/>
      <c r="V56"/>
      <c r="W56"/>
      <c r="X56"/>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row>
    <row r="57" spans="1:54" x14ac:dyDescent="0.25">
      <c r="A57" s="343" t="s">
        <v>526</v>
      </c>
      <c r="B57" s="11" t="s">
        <v>502</v>
      </c>
      <c r="C57" s="11" t="s">
        <v>68</v>
      </c>
      <c r="D57" s="11"/>
      <c r="E57" s="11"/>
      <c r="F57" s="11"/>
      <c r="G57" s="11"/>
      <c r="H57" s="11"/>
      <c r="I57" s="11"/>
      <c r="J57" s="11"/>
      <c r="K57" s="11"/>
      <c r="L57" s="11"/>
      <c r="M57" s="11"/>
      <c r="N57" s="11"/>
      <c r="O57" s="11"/>
      <c r="P57" s="11"/>
      <c r="Q57" s="11"/>
      <c r="R57" s="11"/>
      <c r="S57" s="11"/>
      <c r="T57" s="11">
        <v>18.149999999999999</v>
      </c>
      <c r="U57" s="266"/>
    </row>
    <row r="58" spans="1:54" x14ac:dyDescent="0.25">
      <c r="A58" s="343" t="s">
        <v>527</v>
      </c>
      <c r="B58" s="11" t="s">
        <v>503</v>
      </c>
      <c r="C58" s="11"/>
      <c r="D58" s="11"/>
      <c r="E58" s="11"/>
      <c r="F58" s="11"/>
      <c r="G58" s="11"/>
      <c r="H58" s="11"/>
      <c r="I58" s="11"/>
      <c r="J58" s="11"/>
      <c r="K58" s="11"/>
      <c r="L58" s="11"/>
      <c r="M58" s="11"/>
      <c r="N58" s="11"/>
      <c r="O58" s="11"/>
      <c r="P58" s="11"/>
      <c r="Q58" s="11"/>
      <c r="R58" s="11"/>
      <c r="S58" s="11"/>
      <c r="T58" s="11">
        <v>18.149999999999999</v>
      </c>
      <c r="U58" s="266"/>
    </row>
    <row r="59" spans="1:54" s="193" customFormat="1" x14ac:dyDescent="0.25">
      <c r="A59" s="347"/>
      <c r="B59" s="279"/>
      <c r="C59" s="281" t="s">
        <v>485</v>
      </c>
      <c r="D59" s="279"/>
      <c r="E59" s="279"/>
      <c r="F59" s="279"/>
      <c r="G59" s="279"/>
      <c r="H59" s="279"/>
      <c r="I59" s="279"/>
      <c r="J59" s="279"/>
      <c r="K59" s="279"/>
      <c r="L59" s="279"/>
      <c r="M59" s="279"/>
      <c r="N59" s="279"/>
      <c r="O59" s="280"/>
      <c r="P59" s="279"/>
      <c r="Q59" s="281"/>
      <c r="R59" s="281"/>
      <c r="S59" s="279"/>
      <c r="T59" s="290">
        <f>T58</f>
        <v>18.149999999999999</v>
      </c>
      <c r="U59" s="285">
        <f t="shared" ref="U59" si="1">T59*$U$22</f>
        <v>15.360341555977229</v>
      </c>
      <c r="V59"/>
      <c r="W59"/>
      <c r="X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row>
    <row r="60" spans="1:54" x14ac:dyDescent="0.25">
      <c r="U60" s="266"/>
    </row>
    <row r="61" spans="1:54" x14ac:dyDescent="0.25">
      <c r="A61" s="536" t="s">
        <v>1382</v>
      </c>
    </row>
  </sheetData>
  <mergeCells count="5">
    <mergeCell ref="E22:E24"/>
    <mergeCell ref="I22:M23"/>
    <mergeCell ref="T25:U25"/>
    <mergeCell ref="A40:A44"/>
    <mergeCell ref="A49:A51"/>
  </mergeCells>
  <conditionalFormatting sqref="C26:D27 D45:D46 D37:D39 C42:D44 C34:D36 D31:D33 C40:D40 C30:D30">
    <cfRule type="cellIs" dxfId="4" priority="2" operator="equal">
      <formula>"source"</formula>
    </cfRule>
  </conditionalFormatting>
  <conditionalFormatting sqref="C41:D41">
    <cfRule type="cellIs" dxfId="3" priority="1" operator="equal">
      <formula>"source"</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7"/>
  <sheetViews>
    <sheetView workbookViewId="0">
      <selection activeCell="B8" sqref="B8"/>
    </sheetView>
  </sheetViews>
  <sheetFormatPr defaultRowHeight="15" x14ac:dyDescent="0.25"/>
  <cols>
    <col min="1" max="1" width="31.7109375" customWidth="1"/>
    <col min="2" max="2" width="63.7109375" customWidth="1"/>
    <col min="3" max="3" width="23.28515625" customWidth="1"/>
  </cols>
  <sheetData>
    <row r="1" spans="1:2" x14ac:dyDescent="0.25">
      <c r="A1" t="s">
        <v>1601</v>
      </c>
      <c r="B1" t="s">
        <v>1602</v>
      </c>
    </row>
    <row r="2" spans="1:2" ht="45" x14ac:dyDescent="0.25">
      <c r="A2" s="597" t="s">
        <v>1600</v>
      </c>
      <c r="B2" s="596" t="s">
        <v>1603</v>
      </c>
    </row>
    <row r="3" spans="1:2" ht="75" x14ac:dyDescent="0.25">
      <c r="A3" t="s">
        <v>1607</v>
      </c>
      <c r="B3" s="596" t="s">
        <v>1621</v>
      </c>
    </row>
    <row r="4" spans="1:2" x14ac:dyDescent="0.25">
      <c r="A4" t="s">
        <v>1620</v>
      </c>
      <c r="B4" t="s">
        <v>1622</v>
      </c>
    </row>
    <row r="7" spans="1:2" x14ac:dyDescent="0.25">
      <c r="B7" s="473"/>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9" tint="-0.249977111117893"/>
  </sheetPr>
  <dimension ref="A1:BB60"/>
  <sheetViews>
    <sheetView topLeftCell="A19" workbookViewId="0">
      <pane ySplit="2" topLeftCell="A27" activePane="bottomLeft" state="frozen"/>
      <selection activeCell="B9" sqref="B9"/>
      <selection pane="bottomLeft" activeCell="H44" sqref="H44"/>
    </sheetView>
  </sheetViews>
  <sheetFormatPr defaultRowHeight="15" outlineLevelRow="1" x14ac:dyDescent="0.25"/>
  <cols>
    <col min="1" max="1" width="15" style="115" customWidth="1"/>
    <col min="2" max="2" width="23.42578125" customWidth="1"/>
    <col min="3" max="3" width="31" customWidth="1"/>
    <col min="4" max="4" width="6.5703125" customWidth="1"/>
    <col min="5" max="5" width="29.42578125" customWidth="1"/>
    <col min="18" max="18" width="9.5703125" bestFit="1" customWidth="1"/>
    <col min="19" max="19" width="9.7109375" bestFit="1" customWidth="1"/>
    <col min="20" max="20" width="9.5703125" bestFit="1" customWidth="1"/>
    <col min="21" max="21" width="9.140625" style="11"/>
    <col min="25" max="54" width="9.140625" style="59"/>
  </cols>
  <sheetData>
    <row r="1" spans="2:5" hidden="1" outlineLevel="1" x14ac:dyDescent="0.25"/>
    <row r="2" spans="2:5" hidden="1" outlineLevel="1" x14ac:dyDescent="0.25">
      <c r="B2" s="5" t="s">
        <v>403</v>
      </c>
    </row>
    <row r="3" spans="2:5" hidden="1" outlineLevel="1" x14ac:dyDescent="0.25">
      <c r="B3" t="s">
        <v>404</v>
      </c>
      <c r="C3" t="s">
        <v>405</v>
      </c>
    </row>
    <row r="4" spans="2:5" hidden="1" outlineLevel="1" x14ac:dyDescent="0.25">
      <c r="B4" t="s">
        <v>406</v>
      </c>
      <c r="C4">
        <v>25</v>
      </c>
    </row>
    <row r="5" spans="2:5" hidden="1" outlineLevel="1" x14ac:dyDescent="0.25">
      <c r="B5" t="s">
        <v>407</v>
      </c>
      <c r="C5">
        <v>50</v>
      </c>
    </row>
    <row r="6" spans="2:5" hidden="1" outlineLevel="1" x14ac:dyDescent="0.25">
      <c r="B6" t="s">
        <v>408</v>
      </c>
      <c r="C6">
        <v>40</v>
      </c>
    </row>
    <row r="7" spans="2:5" hidden="1" outlineLevel="1" x14ac:dyDescent="0.25">
      <c r="B7" t="s">
        <v>409</v>
      </c>
      <c r="C7">
        <v>85</v>
      </c>
    </row>
    <row r="8" spans="2:5" hidden="1" outlineLevel="1" x14ac:dyDescent="0.25">
      <c r="B8" t="s">
        <v>410</v>
      </c>
      <c r="C8">
        <v>65</v>
      </c>
    </row>
    <row r="9" spans="2:5" hidden="1" outlineLevel="1" x14ac:dyDescent="0.25">
      <c r="B9" s="92"/>
    </row>
    <row r="10" spans="2:5" hidden="1" outlineLevel="1" x14ac:dyDescent="0.25">
      <c r="B10" t="s">
        <v>411</v>
      </c>
      <c r="C10">
        <f>AVERAGE(C4,C5,C6,C7)</f>
        <v>50</v>
      </c>
    </row>
    <row r="11" spans="2:5" hidden="1" outlineLevel="1" x14ac:dyDescent="0.25"/>
    <row r="12" spans="2:5" hidden="1" outlineLevel="1" x14ac:dyDescent="0.25">
      <c r="B12" s="5" t="s">
        <v>412</v>
      </c>
    </row>
    <row r="13" spans="2:5" hidden="1" outlineLevel="1" x14ac:dyDescent="0.25">
      <c r="B13" s="91" t="s">
        <v>413</v>
      </c>
      <c r="C13" s="91" t="s">
        <v>414</v>
      </c>
      <c r="D13" s="216"/>
      <c r="E13" s="91"/>
    </row>
    <row r="14" spans="2:5" hidden="1" outlineLevel="1" x14ac:dyDescent="0.25">
      <c r="B14" s="91" t="s">
        <v>415</v>
      </c>
      <c r="C14" s="91">
        <v>17</v>
      </c>
      <c r="D14" s="216"/>
      <c r="E14" s="91"/>
    </row>
    <row r="15" spans="2:5" hidden="1" outlineLevel="1" x14ac:dyDescent="0.25"/>
    <row r="16" spans="2:5" hidden="1" outlineLevel="1" x14ac:dyDescent="0.25">
      <c r="B16" t="s">
        <v>474</v>
      </c>
    </row>
    <row r="17" spans="1:54" hidden="1" outlineLevel="1" x14ac:dyDescent="0.25">
      <c r="B17" t="s">
        <v>475</v>
      </c>
    </row>
    <row r="18" spans="1:54" ht="15.75" hidden="1" outlineLevel="1" thickBot="1" x14ac:dyDescent="0.3">
      <c r="R18" t="s">
        <v>715</v>
      </c>
      <c r="S18" t="s">
        <v>714</v>
      </c>
    </row>
    <row r="19" spans="1:54" ht="15.75" collapsed="1" thickBot="1" x14ac:dyDescent="0.3">
      <c r="A19" s="96" t="s">
        <v>476</v>
      </c>
      <c r="B19" s="96"/>
      <c r="C19" s="98" t="s">
        <v>439</v>
      </c>
      <c r="D19" s="98"/>
      <c r="E19" s="96"/>
      <c r="F19" s="96" t="s">
        <v>438</v>
      </c>
      <c r="G19" s="96"/>
      <c r="H19" s="97"/>
      <c r="I19" s="97"/>
      <c r="J19" s="96" t="s">
        <v>437</v>
      </c>
      <c r="K19" s="96"/>
      <c r="L19" s="96" t="s">
        <v>436</v>
      </c>
      <c r="M19" s="96" t="s">
        <v>436</v>
      </c>
      <c r="N19" s="93" t="s">
        <v>436</v>
      </c>
      <c r="O19" s="93"/>
      <c r="P19" s="93" t="s">
        <v>437</v>
      </c>
      <c r="Q19" s="93" t="s">
        <v>437</v>
      </c>
      <c r="R19" s="93" t="s">
        <v>217</v>
      </c>
      <c r="S19" s="93" t="s">
        <v>217</v>
      </c>
      <c r="T19" s="102" t="s">
        <v>482</v>
      </c>
      <c r="U19" s="93"/>
      <c r="V19" s="93"/>
      <c r="W19" s="93"/>
    </row>
    <row r="20" spans="1:54" ht="57" thickTop="1" x14ac:dyDescent="0.25">
      <c r="A20" s="346" t="s">
        <v>500</v>
      </c>
      <c r="B20" s="101" t="s">
        <v>413</v>
      </c>
      <c r="C20" s="95" t="s">
        <v>435</v>
      </c>
      <c r="D20" s="95" t="s">
        <v>684</v>
      </c>
      <c r="E20" s="94" t="s">
        <v>434</v>
      </c>
      <c r="F20" s="94" t="s">
        <v>433</v>
      </c>
      <c r="G20" s="94" t="s">
        <v>432</v>
      </c>
      <c r="H20" s="94" t="s">
        <v>722</v>
      </c>
      <c r="I20" s="521" t="s">
        <v>718</v>
      </c>
      <c r="J20" s="94" t="s">
        <v>431</v>
      </c>
      <c r="K20" s="94" t="s">
        <v>430</v>
      </c>
      <c r="L20" s="94" t="s">
        <v>719</v>
      </c>
      <c r="M20" s="340" t="s">
        <v>720</v>
      </c>
      <c r="N20" s="101" t="s">
        <v>717</v>
      </c>
      <c r="O20" s="101" t="s">
        <v>479</v>
      </c>
      <c r="P20" s="101" t="s">
        <v>481</v>
      </c>
      <c r="Q20" s="101" t="s">
        <v>480</v>
      </c>
      <c r="R20" s="101" t="s">
        <v>686</v>
      </c>
      <c r="S20" s="101" t="s">
        <v>687</v>
      </c>
      <c r="T20" s="101" t="s">
        <v>483</v>
      </c>
      <c r="U20" s="101" t="s">
        <v>484</v>
      </c>
      <c r="V20" s="101" t="s">
        <v>501</v>
      </c>
    </row>
    <row r="21" spans="1:54" x14ac:dyDescent="0.25">
      <c r="A21" s="346"/>
      <c r="B21" s="101"/>
      <c r="C21" s="366"/>
      <c r="D21" s="366"/>
      <c r="E21" s="366"/>
      <c r="F21" s="366"/>
      <c r="G21" s="366"/>
      <c r="H21" s="366"/>
      <c r="I21" s="366"/>
      <c r="J21" s="101"/>
      <c r="K21" s="101"/>
      <c r="L21" s="101"/>
      <c r="M21" s="195">
        <f>SUM(M51:M52) + SUM(M42:M46)+SUM(M35:M37) + M30+M31</f>
        <v>28790</v>
      </c>
      <c r="N21" s="195">
        <f>SUM(N51:N52) + SUM(N42:N46)+SUM(N35:N37) + N30+N31</f>
        <v>30071</v>
      </c>
      <c r="O21" s="368"/>
      <c r="P21" s="94"/>
      <c r="Q21" s="94"/>
      <c r="R21" s="94"/>
      <c r="S21" s="94"/>
      <c r="T21" s="94"/>
      <c r="U21" s="94"/>
      <c r="V21" s="94"/>
    </row>
    <row r="22" spans="1:54" s="11" customFormat="1" ht="15.75" thickBot="1" x14ac:dyDescent="0.3">
      <c r="A22" s="343"/>
      <c r="C22" s="348"/>
      <c r="D22" s="348"/>
      <c r="E22" s="755" t="s">
        <v>728</v>
      </c>
      <c r="F22" s="260"/>
      <c r="G22" s="260"/>
      <c r="H22" s="260"/>
      <c r="I22" s="757" t="s">
        <v>721</v>
      </c>
      <c r="J22" s="758"/>
      <c r="K22" s="758"/>
      <c r="L22" s="758"/>
      <c r="M22" s="758"/>
      <c r="N22" s="260"/>
      <c r="O22" s="260"/>
      <c r="R22" s="11" t="s">
        <v>715</v>
      </c>
      <c r="S22" s="11" t="s">
        <v>714</v>
      </c>
      <c r="U22" s="367">
        <v>0.84629981024667933</v>
      </c>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row>
    <row r="23" spans="1:54" s="11" customFormat="1" x14ac:dyDescent="0.25">
      <c r="A23" s="343"/>
      <c r="C23" s="349" t="s">
        <v>429</v>
      </c>
      <c r="D23" s="349"/>
      <c r="E23" s="755"/>
      <c r="F23" s="350"/>
      <c r="G23" s="350"/>
      <c r="H23" s="351"/>
      <c r="I23" s="759"/>
      <c r="J23" s="759"/>
      <c r="K23" s="759"/>
      <c r="L23" s="759"/>
      <c r="M23" s="759"/>
      <c r="N23" s="350"/>
      <c r="O23" s="350"/>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row>
    <row r="24" spans="1:54" s="279" customFormat="1" x14ac:dyDescent="0.25">
      <c r="A24" s="347"/>
      <c r="C24" s="287"/>
      <c r="D24" s="287"/>
      <c r="E24" s="756"/>
      <c r="F24" s="288"/>
      <c r="G24" s="288"/>
      <c r="H24" s="289"/>
      <c r="I24" s="364"/>
      <c r="J24" s="365"/>
      <c r="K24" s="365"/>
      <c r="L24" s="365"/>
      <c r="M24" s="365"/>
      <c r="N24" s="288"/>
      <c r="O24" s="288"/>
      <c r="W24" s="11"/>
      <c r="X24" s="11"/>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row>
    <row r="25" spans="1:54" s="193" customFormat="1" x14ac:dyDescent="0.25">
      <c r="A25" s="342" t="s">
        <v>331</v>
      </c>
      <c r="C25" s="194"/>
      <c r="D25" s="194"/>
      <c r="E25" s="195"/>
      <c r="F25" s="195"/>
      <c r="G25" s="195"/>
      <c r="H25" s="196"/>
      <c r="I25" s="196"/>
      <c r="J25" s="195"/>
      <c r="K25" s="195"/>
      <c r="L25" s="195"/>
      <c r="M25" s="195">
        <f>SUM(M26:M28)</f>
        <v>3720</v>
      </c>
      <c r="N25" s="195">
        <f>SUM(N26:N28)</f>
        <v>3690</v>
      </c>
      <c r="O25" s="195"/>
      <c r="T25" s="760"/>
      <c r="U25" s="761"/>
      <c r="V25" s="217"/>
      <c r="W25"/>
      <c r="X25"/>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row>
    <row r="26" spans="1:54" x14ac:dyDescent="0.25">
      <c r="A26" s="343"/>
      <c r="B26" s="11"/>
      <c r="C26" s="353" t="s">
        <v>418</v>
      </c>
      <c r="D26" s="354" t="s">
        <v>683</v>
      </c>
      <c r="E26" s="355" t="s">
        <v>85</v>
      </c>
      <c r="F26" s="356">
        <v>9648</v>
      </c>
      <c r="G26" s="356">
        <v>9648</v>
      </c>
      <c r="H26" s="357">
        <v>0.3536818278276862</v>
      </c>
      <c r="I26" s="357">
        <v>0.32419999999999999</v>
      </c>
      <c r="J26" s="356">
        <v>28212</v>
      </c>
      <c r="K26" s="353">
        <v>6</v>
      </c>
      <c r="L26" s="358">
        <v>610</v>
      </c>
      <c r="M26" s="359">
        <v>3720</v>
      </c>
      <c r="N26" s="356">
        <v>3690</v>
      </c>
      <c r="O26" s="360">
        <v>0.81</v>
      </c>
      <c r="P26" s="361">
        <v>23789</v>
      </c>
      <c r="Q26" s="362">
        <f>O26*N26*8.76</f>
        <v>26182.763999999999</v>
      </c>
      <c r="R26" s="363">
        <f>'Eskom coal pwr plants'!G3</f>
        <v>2.7777777777777776E-2</v>
      </c>
      <c r="S26" s="363">
        <f>'Eskom coal pwr plants'!I3</f>
        <v>5.5555555555555558E-3</v>
      </c>
      <c r="T26" s="10">
        <v>68.09</v>
      </c>
    </row>
    <row r="27" spans="1:54" s="11" customFormat="1" x14ac:dyDescent="0.25">
      <c r="A27" s="343"/>
      <c r="C27" s="258"/>
      <c r="D27" s="259"/>
      <c r="E27" s="260"/>
      <c r="F27" s="261"/>
      <c r="G27" s="261"/>
      <c r="H27" s="292"/>
      <c r="I27" s="292"/>
      <c r="J27" s="261"/>
      <c r="K27" s="258"/>
      <c r="L27" s="262"/>
      <c r="M27" s="286"/>
      <c r="N27" s="261"/>
      <c r="O27" s="263"/>
      <c r="P27" s="264"/>
      <c r="Q27" s="265"/>
      <c r="R27" s="276"/>
      <c r="S27" s="276"/>
      <c r="U27" s="266"/>
      <c r="V27"/>
      <c r="W27"/>
      <c r="X2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row>
    <row r="28" spans="1:54" s="193" customFormat="1" x14ac:dyDescent="0.25">
      <c r="A28" s="347"/>
      <c r="B28" s="279"/>
      <c r="C28" s="281" t="s">
        <v>485</v>
      </c>
      <c r="D28" s="287"/>
      <c r="E28" s="288"/>
      <c r="F28" s="288"/>
      <c r="G28" s="288"/>
      <c r="H28" s="341"/>
      <c r="I28" s="341"/>
      <c r="J28" s="288"/>
      <c r="K28" s="288"/>
      <c r="L28" s="288"/>
      <c r="N28" s="279"/>
      <c r="O28" s="280"/>
      <c r="P28" s="279"/>
      <c r="Q28" s="279"/>
      <c r="R28" s="281"/>
      <c r="S28" s="279"/>
      <c r="T28" s="290">
        <f>SUMPRODUCT(Q26,T26)/SUM(Q26)</f>
        <v>68.09</v>
      </c>
      <c r="U28" s="285">
        <f>T28*$U$22</f>
        <v>57.624554079696395</v>
      </c>
      <c r="W28"/>
      <c r="X28"/>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row>
    <row r="29" spans="1:54" s="217" customFormat="1" x14ac:dyDescent="0.25">
      <c r="A29" s="344" t="s">
        <v>477</v>
      </c>
      <c r="C29" s="218"/>
      <c r="D29" s="218"/>
      <c r="E29" s="219"/>
      <c r="F29" s="219"/>
      <c r="G29" s="219"/>
      <c r="H29" s="293"/>
      <c r="I29" s="293"/>
      <c r="J29" s="219"/>
      <c r="K29" s="219"/>
      <c r="L29" s="219"/>
      <c r="M29" s="223">
        <f>SUM(M30:M31)</f>
        <v>5670</v>
      </c>
      <c r="N29" s="223">
        <f>SUM(N30:N31)</f>
        <v>5680</v>
      </c>
      <c r="O29" s="220"/>
      <c r="Q29" s="221"/>
      <c r="R29" s="221"/>
      <c r="S29" s="221"/>
      <c r="T29" s="222"/>
      <c r="U29" s="291"/>
      <c r="V29" s="193"/>
      <c r="W29"/>
      <c r="X2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row>
    <row r="30" spans="1:54" x14ac:dyDescent="0.25">
      <c r="A30" s="343"/>
      <c r="B30" s="11"/>
      <c r="C30" s="546" t="s">
        <v>422</v>
      </c>
      <c r="D30" s="546" t="s">
        <v>727</v>
      </c>
      <c r="E30" s="547" t="s">
        <v>726</v>
      </c>
      <c r="F30" s="548">
        <v>9755</v>
      </c>
      <c r="G30" s="548">
        <v>9755</v>
      </c>
      <c r="H30" s="549">
        <v>0.34980238594377411</v>
      </c>
      <c r="I30" s="549">
        <v>0.33279999999999998</v>
      </c>
      <c r="J30" s="548">
        <v>27934</v>
      </c>
      <c r="K30" s="546">
        <v>6</v>
      </c>
      <c r="L30" s="546">
        <v>640</v>
      </c>
      <c r="M30" s="548">
        <v>3840</v>
      </c>
      <c r="N30" s="548">
        <v>3840</v>
      </c>
      <c r="O30" s="550">
        <v>0.81</v>
      </c>
      <c r="P30" s="551">
        <v>24691</v>
      </c>
      <c r="Q30" s="552">
        <f>O30*N30*8.76</f>
        <v>27247.103999999999</v>
      </c>
      <c r="R30" s="553">
        <f>'Eskom coal pwr plants'!G5</f>
        <v>1.3888888888888885E-2</v>
      </c>
      <c r="S30" s="553">
        <f>'Eskom coal pwr plants'!I5</f>
        <v>1.9444444444444448E-2</v>
      </c>
      <c r="T30" s="554">
        <v>474.81</v>
      </c>
      <c r="U30" s="266"/>
    </row>
    <row r="31" spans="1:54" x14ac:dyDescent="0.25">
      <c r="A31" s="343"/>
      <c r="B31" s="11"/>
      <c r="C31" s="434" t="s">
        <v>420</v>
      </c>
      <c r="D31" s="434" t="s">
        <v>683</v>
      </c>
      <c r="E31" s="434" t="s">
        <v>725</v>
      </c>
      <c r="F31" s="434">
        <v>9763</v>
      </c>
      <c r="G31" s="434">
        <v>9763</v>
      </c>
      <c r="H31" s="435">
        <v>0.3495157507816774</v>
      </c>
      <c r="I31" s="435">
        <f>I26</f>
        <v>0.32419999999999999</v>
      </c>
      <c r="J31" s="434">
        <v>8569.6049960967994</v>
      </c>
      <c r="K31" s="434">
        <v>3</v>
      </c>
      <c r="L31" s="434">
        <v>610</v>
      </c>
      <c r="M31" s="434">
        <v>1830</v>
      </c>
      <c r="N31" s="434">
        <v>1840</v>
      </c>
      <c r="O31" s="434">
        <v>0.81</v>
      </c>
      <c r="P31" s="436">
        <v>5170</v>
      </c>
      <c r="Q31" s="434">
        <f>O31*N31*8.76</f>
        <v>13055.904</v>
      </c>
      <c r="R31" s="437">
        <f>'Eskom coal pwr plants'!G15</f>
        <v>2.7777777777777776E-2</v>
      </c>
      <c r="S31" s="438">
        <f>'Eskom coal pwr plants'!I15</f>
        <v>5.5555555555555558E-3</v>
      </c>
      <c r="T31" s="434">
        <v>49.51</v>
      </c>
      <c r="U31" s="266"/>
    </row>
    <row r="32" spans="1:54" s="11" customFormat="1" x14ac:dyDescent="0.25">
      <c r="A32" s="343"/>
      <c r="C32" s="264" t="s">
        <v>716</v>
      </c>
      <c r="D32" s="267"/>
      <c r="E32" s="268"/>
      <c r="F32" s="269"/>
      <c r="G32" s="269"/>
      <c r="H32" s="295"/>
      <c r="I32" s="278">
        <f>MAX(I30:I30)/I34 -1</f>
        <v>8.4418078613801573E-3</v>
      </c>
      <c r="J32" s="269"/>
      <c r="K32" s="267"/>
      <c r="L32" s="267"/>
      <c r="M32" s="269"/>
      <c r="N32" s="269"/>
      <c r="O32" s="270"/>
      <c r="P32" s="271"/>
      <c r="Q32" s="272"/>
      <c r="R32" s="278">
        <f>MAX(R30:R31)/R34 -1</f>
        <v>0.5106382978723405</v>
      </c>
      <c r="S32" s="278">
        <f>MAX(S30:S31)/S34 -1</f>
        <v>0.30104712041884829</v>
      </c>
      <c r="T32" s="273"/>
      <c r="U32" s="266"/>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row>
    <row r="33" spans="1:54" s="11" customFormat="1" x14ac:dyDescent="0.25">
      <c r="A33" s="343"/>
      <c r="C33" s="264" t="s">
        <v>390</v>
      </c>
      <c r="D33" s="267"/>
      <c r="E33" s="268"/>
      <c r="F33" s="269"/>
      <c r="G33" s="269"/>
      <c r="H33" s="295"/>
      <c r="I33" s="278">
        <f>MIN(I30:I30)/I34 -1</f>
        <v>8.4418078613801573E-3</v>
      </c>
      <c r="J33" s="269"/>
      <c r="K33" s="267"/>
      <c r="L33" s="267"/>
      <c r="M33" s="269"/>
      <c r="N33" s="269"/>
      <c r="O33" s="270"/>
      <c r="P33" s="271"/>
      <c r="Q33" s="272"/>
      <c r="R33" s="278">
        <f>MIN(R30:R31)/R34 -1</f>
        <v>-0.24468085106382997</v>
      </c>
      <c r="S33" s="278">
        <f>MIN(S30:S31)/S34 -1</f>
        <v>-0.62827225130890052</v>
      </c>
      <c r="T33" s="273"/>
      <c r="U33" s="266"/>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row>
    <row r="34" spans="1:54" s="11" customFormat="1" x14ac:dyDescent="0.25">
      <c r="A34" s="343"/>
      <c r="C34" s="281" t="s">
        <v>485</v>
      </c>
      <c r="D34" s="333"/>
      <c r="E34" s="333"/>
      <c r="F34" s="334"/>
      <c r="G34" s="334"/>
      <c r="H34" s="335"/>
      <c r="I34" s="420">
        <f>SUMPRODUCT(Q30:Q31,I30:I31)/SUM(Q30:Q31)</f>
        <v>0.33001408450704228</v>
      </c>
      <c r="J34" s="334"/>
      <c r="K34" s="333"/>
      <c r="L34" s="333"/>
      <c r="M34" s="223">
        <f>SUM(M35:M37)</f>
        <v>3620</v>
      </c>
      <c r="N34" s="223">
        <f>SUM(N35:N37)</f>
        <v>4211</v>
      </c>
      <c r="O34" s="336"/>
      <c r="P34" s="369"/>
      <c r="Q34" s="370"/>
      <c r="R34" s="372">
        <f>SUMPRODUCT(Q30:Q31,R30:R31)/SUM(Q30:Q31)</f>
        <v>1.8388106416275429E-2</v>
      </c>
      <c r="S34" s="372">
        <f>SUMPRODUCT(Q30:Q31,S30:S31)/SUM(Q30:Q31)</f>
        <v>1.4945226917057904E-2</v>
      </c>
      <c r="T34" s="371"/>
      <c r="U34" s="266"/>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row>
    <row r="35" spans="1:54" x14ac:dyDescent="0.25">
      <c r="A35" t="s">
        <v>1581</v>
      </c>
      <c r="B35" s="11"/>
      <c r="C35" s="311" t="s">
        <v>428</v>
      </c>
      <c r="D35" s="312" t="s">
        <v>685</v>
      </c>
      <c r="E35" s="313" t="s">
        <v>86</v>
      </c>
      <c r="F35" s="314">
        <v>12214</v>
      </c>
      <c r="G35" s="314">
        <v>12214</v>
      </c>
      <c r="H35" s="315">
        <v>0.27937794947449784</v>
      </c>
      <c r="I35" s="315">
        <v>0.29139999999999999</v>
      </c>
      <c r="J35" s="314">
        <v>1769</v>
      </c>
      <c r="K35" s="311">
        <v>8</v>
      </c>
      <c r="L35" s="311">
        <v>190</v>
      </c>
      <c r="M35" s="314">
        <v>1520</v>
      </c>
      <c r="N35" s="314">
        <v>1440</v>
      </c>
      <c r="O35" s="316">
        <v>0.81</v>
      </c>
      <c r="P35" s="226">
        <f>Q35</f>
        <v>10217.664000000001</v>
      </c>
      <c r="Q35" s="317">
        <f t="shared" ref="Q35:Q45" si="0">O35*N35*8.76</f>
        <v>10217.664000000001</v>
      </c>
      <c r="R35" s="318">
        <f>'Eskom coal pwr plants'!G13</f>
        <v>0.62000000000000011</v>
      </c>
      <c r="S35" s="319">
        <f>'Eskom coal pwr plants'!I13</f>
        <v>2.1666666666666667E-2</v>
      </c>
      <c r="T35" s="225">
        <v>177.46</v>
      </c>
      <c r="U35" s="266"/>
    </row>
    <row r="36" spans="1:54" x14ac:dyDescent="0.25">
      <c r="A36" s="343"/>
      <c r="B36" s="11"/>
      <c r="C36" s="311" t="s">
        <v>426</v>
      </c>
      <c r="D36" s="312" t="s">
        <v>685</v>
      </c>
      <c r="E36" s="313" t="s">
        <v>86</v>
      </c>
      <c r="F36" s="314">
        <v>13382</v>
      </c>
      <c r="G36" s="314">
        <v>13382</v>
      </c>
      <c r="H36" s="315">
        <v>0.2549934445435299</v>
      </c>
      <c r="I36" s="315">
        <v>0.27979999999999999</v>
      </c>
      <c r="J36" s="314">
        <v>0</v>
      </c>
      <c r="K36" s="311">
        <v>2</v>
      </c>
      <c r="L36" s="320">
        <v>100</v>
      </c>
      <c r="M36" s="314">
        <v>200</v>
      </c>
      <c r="N36" s="314">
        <v>906</v>
      </c>
      <c r="O36" s="316">
        <v>0.81</v>
      </c>
      <c r="P36" s="226">
        <f>Q36</f>
        <v>6428.6135999999997</v>
      </c>
      <c r="Q36" s="317">
        <f t="shared" si="0"/>
        <v>6428.6135999999997</v>
      </c>
      <c r="R36" s="318">
        <f>'Eskom coal pwr plants'!G11</f>
        <v>0.66250000000000009</v>
      </c>
      <c r="S36" s="319">
        <f>'Eskom coal pwr plants'!I11</f>
        <v>2.9166666666666667E-2</v>
      </c>
      <c r="T36" s="225">
        <v>37.56</v>
      </c>
      <c r="U36" s="266"/>
      <c r="V36">
        <v>3795</v>
      </c>
    </row>
    <row r="37" spans="1:54" x14ac:dyDescent="0.25">
      <c r="A37" s="343"/>
      <c r="B37" s="11"/>
      <c r="C37" s="311" t="s">
        <v>423</v>
      </c>
      <c r="D37" s="312" t="s">
        <v>685</v>
      </c>
      <c r="E37" s="313" t="s">
        <v>86</v>
      </c>
      <c r="F37" s="314">
        <v>10792</v>
      </c>
      <c r="G37" s="314">
        <v>10792</v>
      </c>
      <c r="H37" s="315">
        <v>0.31618998099346896</v>
      </c>
      <c r="I37" s="315">
        <v>0.28610000000000002</v>
      </c>
      <c r="J37" s="314">
        <v>11718</v>
      </c>
      <c r="K37" s="311">
        <v>10</v>
      </c>
      <c r="L37" s="321">
        <v>190</v>
      </c>
      <c r="M37" s="314">
        <v>1900</v>
      </c>
      <c r="N37" s="314">
        <v>1865</v>
      </c>
      <c r="O37" s="316">
        <v>0.81</v>
      </c>
      <c r="P37" s="322">
        <v>11718</v>
      </c>
      <c r="Q37" s="317">
        <f>O37*N37*8.76</f>
        <v>13233.294</v>
      </c>
      <c r="R37" s="318">
        <f>'Eskom coal pwr plants'!G10</f>
        <v>0.66083333333333327</v>
      </c>
      <c r="S37" s="319">
        <f>'Eskom coal pwr plants'!I10</f>
        <v>6.4166666666666677E-2</v>
      </c>
      <c r="T37" s="225">
        <v>37.56</v>
      </c>
      <c r="U37" s="266"/>
    </row>
    <row r="38" spans="1:54" s="9" customFormat="1" x14ac:dyDescent="0.25">
      <c r="A38" s="343"/>
      <c r="B38" s="11"/>
      <c r="C38" s="264" t="s">
        <v>716</v>
      </c>
      <c r="D38" s="259"/>
      <c r="E38" s="260"/>
      <c r="F38" s="261"/>
      <c r="G38" s="261"/>
      <c r="H38" s="292"/>
      <c r="I38" s="278">
        <f>MAX(I35:I37)/I40 -1</f>
        <v>1.690084282533566E-2</v>
      </c>
      <c r="J38" s="261"/>
      <c r="K38" s="258"/>
      <c r="L38" s="262"/>
      <c r="M38" s="261"/>
      <c r="N38" s="261"/>
      <c r="O38" s="261"/>
      <c r="P38" s="261"/>
      <c r="Q38" s="265"/>
      <c r="R38" s="278">
        <f>MAX(R35:R37)/R40 -1</f>
        <v>2.3595239369224252E-2</v>
      </c>
      <c r="S38" s="278">
        <f>MAX(S35:S37)/S40 -1</f>
        <v>0.56793458965990351</v>
      </c>
      <c r="T38" s="278"/>
      <c r="U38" s="266"/>
      <c r="V38"/>
      <c r="W38"/>
      <c r="X38"/>
      <c r="Y38" s="59"/>
      <c r="Z38" s="59"/>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row>
    <row r="39" spans="1:54" s="9" customFormat="1" x14ac:dyDescent="0.25">
      <c r="A39" s="343"/>
      <c r="B39" s="11"/>
      <c r="C39" s="298" t="s">
        <v>390</v>
      </c>
      <c r="D39" s="259"/>
      <c r="E39" s="299"/>
      <c r="F39" s="261"/>
      <c r="G39" s="261"/>
      <c r="H39" s="292"/>
      <c r="I39" s="278">
        <f>MIN(I35:I37)/I40 -1</f>
        <v>-2.357976725281774E-2</v>
      </c>
      <c r="J39" s="261"/>
      <c r="K39" s="258"/>
      <c r="L39" s="262"/>
      <c r="M39" s="261"/>
      <c r="N39" s="261"/>
      <c r="O39" s="261"/>
      <c r="P39" s="261"/>
      <c r="Q39" s="265"/>
      <c r="R39" s="278">
        <f>MIN(R35:R37)/R40 -1</f>
        <v>-4.2069360892197705E-2</v>
      </c>
      <c r="S39" s="278">
        <f>MIN(S35:S37)/S40 -1</f>
        <v>-0.47056754115379895</v>
      </c>
      <c r="T39" s="278"/>
      <c r="U39" s="266"/>
      <c r="V39"/>
      <c r="W39"/>
      <c r="X39"/>
      <c r="Y39" s="59"/>
      <c r="Z39" s="59"/>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row>
    <row r="40" spans="1:54" s="9" customFormat="1" x14ac:dyDescent="0.25">
      <c r="A40" s="343"/>
      <c r="B40" s="11"/>
      <c r="C40" s="281" t="s">
        <v>485</v>
      </c>
      <c r="D40" s="300"/>
      <c r="E40" s="301"/>
      <c r="F40" s="302"/>
      <c r="G40" s="302"/>
      <c r="H40" s="303"/>
      <c r="I40" s="420">
        <f>SUMPRODUCT(Q35:Q37,I35:I37)/SUM(Q35:Q37)</f>
        <v>0.28655694609356447</v>
      </c>
      <c r="J40" s="302"/>
      <c r="K40" s="304"/>
      <c r="L40" s="305"/>
      <c r="M40" s="223">
        <f>SUM(M41:M46)</f>
        <v>17610</v>
      </c>
      <c r="N40" s="223">
        <f>SUM(N41:N46)</f>
        <v>17472</v>
      </c>
      <c r="O40" s="302"/>
      <c r="P40" s="302"/>
      <c r="Q40" s="281"/>
      <c r="R40" s="282">
        <f>SUMPRODUCT(Q35:Q37,R35:R37)/SUM(Q35:Q37)</f>
        <v>0.64722848887833451</v>
      </c>
      <c r="S40" s="283">
        <f>SUMPRODUCT(P35:P37,S35:S37)/SUM(P35:P37)</f>
        <v>4.0924326237732213E-2</v>
      </c>
      <c r="T40" s="283"/>
      <c r="U40" s="266"/>
      <c r="V40"/>
      <c r="W40"/>
      <c r="X40"/>
      <c r="Y40" s="59"/>
      <c r="Z40" s="59"/>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row>
    <row r="41" spans="1:54" s="9" customFormat="1" x14ac:dyDescent="0.25">
      <c r="A41" s="442"/>
      <c r="B41" s="11"/>
      <c r="C41" s="227" t="s">
        <v>419</v>
      </c>
      <c r="D41" s="228" t="s">
        <v>685</v>
      </c>
      <c r="E41" s="229" t="s">
        <v>84</v>
      </c>
      <c r="F41" s="230">
        <v>9074</v>
      </c>
      <c r="G41" s="230">
        <v>9074</v>
      </c>
      <c r="H41" s="294">
        <v>0.37605491237398242</v>
      </c>
      <c r="I41" s="294">
        <f>I49</f>
        <v>0.31866285824941903</v>
      </c>
      <c r="J41" s="230">
        <v>9222.3950039032006</v>
      </c>
      <c r="K41" s="227">
        <v>3</v>
      </c>
      <c r="L41" s="231">
        <v>670</v>
      </c>
      <c r="M41" s="230">
        <v>2010</v>
      </c>
      <c r="N41" s="230">
        <v>1980</v>
      </c>
      <c r="O41" s="232">
        <v>0.81</v>
      </c>
      <c r="P41" s="233">
        <f>Q41</f>
        <v>14049.288</v>
      </c>
      <c r="Q41" s="234">
        <f>O41*N41*8.76</f>
        <v>14049.288</v>
      </c>
      <c r="R41" s="306">
        <f>'Eskom coal pwr plants'!G14</f>
        <v>0.49555555555555558</v>
      </c>
      <c r="S41" s="307">
        <f>'Eskom coal pwr plants'!I14</f>
        <v>2.1111111111111112E-2</v>
      </c>
      <c r="T41" s="151">
        <v>49.51</v>
      </c>
      <c r="U41" s="266"/>
      <c r="V41"/>
      <c r="W41"/>
      <c r="X41"/>
      <c r="Y41" s="59"/>
      <c r="Z41" s="59"/>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row>
    <row r="42" spans="1:54" x14ac:dyDescent="0.25">
      <c r="A42" s="442"/>
      <c r="B42" s="11"/>
      <c r="C42" s="227" t="s">
        <v>421</v>
      </c>
      <c r="D42" s="228" t="s">
        <v>685</v>
      </c>
      <c r="E42" s="229" t="s">
        <v>84</v>
      </c>
      <c r="F42" s="230">
        <v>9510</v>
      </c>
      <c r="G42" s="230">
        <v>9510</v>
      </c>
      <c r="H42" s="294">
        <v>0.35881411933559587</v>
      </c>
      <c r="I42" s="294">
        <v>0.32169999999999999</v>
      </c>
      <c r="J42" s="230">
        <v>19209</v>
      </c>
      <c r="K42" s="227">
        <v>6</v>
      </c>
      <c r="L42" s="231">
        <v>480</v>
      </c>
      <c r="M42" s="230">
        <v>2880</v>
      </c>
      <c r="N42" s="230">
        <v>2850</v>
      </c>
      <c r="O42" s="232">
        <v>0.81</v>
      </c>
      <c r="P42" s="233">
        <v>17452</v>
      </c>
      <c r="Q42" s="234">
        <f>O42*N42*8.76</f>
        <v>20222.46</v>
      </c>
      <c r="R42" s="306">
        <f>'Eskom coal pwr plants'!G7</f>
        <v>0.62777777777777777</v>
      </c>
      <c r="S42" s="307">
        <f>'Eskom coal pwr plants'!I7</f>
        <v>3.3333333333333333E-2</v>
      </c>
      <c r="T42" s="151">
        <v>161.41999999999999</v>
      </c>
      <c r="U42" s="266"/>
    </row>
    <row r="43" spans="1:54" x14ac:dyDescent="0.25">
      <c r="A43" s="442"/>
      <c r="B43" s="11"/>
      <c r="C43" s="227" t="s">
        <v>424</v>
      </c>
      <c r="D43" s="228" t="s">
        <v>685</v>
      </c>
      <c r="E43" s="229" t="s">
        <v>84</v>
      </c>
      <c r="F43" s="230">
        <v>9831</v>
      </c>
      <c r="G43" s="230">
        <v>9831</v>
      </c>
      <c r="H43" s="294">
        <v>0.34709818684584648</v>
      </c>
      <c r="I43" s="294">
        <v>0.31480000000000002</v>
      </c>
      <c r="J43" s="230">
        <v>25246</v>
      </c>
      <c r="K43" s="227">
        <v>6</v>
      </c>
      <c r="L43" s="231">
        <v>580</v>
      </c>
      <c r="M43" s="230">
        <v>3480</v>
      </c>
      <c r="N43" s="230">
        <v>3450</v>
      </c>
      <c r="O43" s="232">
        <v>0.81</v>
      </c>
      <c r="P43" s="233">
        <v>22798</v>
      </c>
      <c r="Q43" s="234">
        <f>O43*N43*8.76</f>
        <v>24479.82</v>
      </c>
      <c r="R43" s="306">
        <f>'Eskom coal pwr plants'!G6</f>
        <v>0.59388888888888891</v>
      </c>
      <c r="S43" s="307">
        <f>'Eskom coal pwr plants'!I6</f>
        <v>1.7222222222222222E-2</v>
      </c>
      <c r="T43" s="151">
        <v>222.6</v>
      </c>
      <c r="U43" s="266"/>
    </row>
    <row r="44" spans="1:54" x14ac:dyDescent="0.25">
      <c r="A44" s="442"/>
      <c r="B44" s="11"/>
      <c r="C44" s="227" t="s">
        <v>417</v>
      </c>
      <c r="D44" s="228" t="s">
        <v>685</v>
      </c>
      <c r="E44" s="229" t="s">
        <v>84</v>
      </c>
      <c r="F44" s="230">
        <v>9692</v>
      </c>
      <c r="G44" s="230">
        <v>9692</v>
      </c>
      <c r="H44" s="294">
        <v>0.35207617363614491</v>
      </c>
      <c r="I44" s="294">
        <v>0.33179999999999998</v>
      </c>
      <c r="J44" s="230">
        <v>25388</v>
      </c>
      <c r="K44" s="227">
        <v>6</v>
      </c>
      <c r="L44" s="231">
        <v>580</v>
      </c>
      <c r="M44" s="230">
        <v>3480</v>
      </c>
      <c r="N44" s="230">
        <v>3450</v>
      </c>
      <c r="O44" s="232">
        <v>0.81</v>
      </c>
      <c r="P44" s="233">
        <v>25199</v>
      </c>
      <c r="Q44" s="234">
        <f t="shared" si="0"/>
        <v>24479.82</v>
      </c>
      <c r="R44" s="309">
        <f>'Eskom coal pwr plants'!G8</f>
        <v>0.54527777777777775</v>
      </c>
      <c r="S44" s="257">
        <f>'Eskom coal pwr plants'!I8</f>
        <v>2.1388888888888888E-2</v>
      </c>
      <c r="T44" s="151">
        <v>126.94</v>
      </c>
      <c r="U44" s="266"/>
    </row>
    <row r="45" spans="1:54" x14ac:dyDescent="0.25">
      <c r="A45" s="442"/>
      <c r="B45" s="11"/>
      <c r="C45" s="227" t="s">
        <v>416</v>
      </c>
      <c r="D45" s="228" t="s">
        <v>685</v>
      </c>
      <c r="E45" s="229" t="s">
        <v>84</v>
      </c>
      <c r="F45" s="230">
        <v>9100</v>
      </c>
      <c r="G45" s="230">
        <v>9100</v>
      </c>
      <c r="H45" s="294">
        <v>0.37498046976719962</v>
      </c>
      <c r="I45" s="294">
        <v>0.32340000000000002</v>
      </c>
      <c r="J45" s="230">
        <v>18374</v>
      </c>
      <c r="K45" s="227">
        <v>6</v>
      </c>
      <c r="L45" s="231">
        <v>580</v>
      </c>
      <c r="M45" s="310">
        <v>3540</v>
      </c>
      <c r="N45" s="230">
        <v>3510</v>
      </c>
      <c r="O45" s="232">
        <v>0.81</v>
      </c>
      <c r="P45" s="233">
        <v>8962</v>
      </c>
      <c r="Q45" s="234">
        <f t="shared" si="0"/>
        <v>24905.556000000004</v>
      </c>
      <c r="R45" s="309">
        <f>'Eskom coal pwr plants'!G17</f>
        <v>0.54527777777777786</v>
      </c>
      <c r="S45" s="257">
        <f>'Eskom coal pwr plants'!I17</f>
        <v>2.6944444444444448E-2</v>
      </c>
      <c r="T45" s="151">
        <v>115.56</v>
      </c>
      <c r="U45" s="266"/>
    </row>
    <row r="46" spans="1:54" x14ac:dyDescent="0.25">
      <c r="A46" s="442"/>
      <c r="B46" s="11"/>
      <c r="C46" s="227" t="s">
        <v>425</v>
      </c>
      <c r="D46" s="228" t="s">
        <v>685</v>
      </c>
      <c r="E46" s="229" t="s">
        <v>84</v>
      </c>
      <c r="F46" s="230">
        <v>10555</v>
      </c>
      <c r="G46" s="230">
        <v>10555</v>
      </c>
      <c r="H46" s="294">
        <v>0.32328965181255487</v>
      </c>
      <c r="I46" s="294">
        <v>0.29299999999999998</v>
      </c>
      <c r="J46" s="230">
        <v>12683</v>
      </c>
      <c r="K46" s="227">
        <v>6</v>
      </c>
      <c r="L46" s="231">
        <v>370</v>
      </c>
      <c r="M46" s="230">
        <v>2220</v>
      </c>
      <c r="N46" s="230">
        <v>2232</v>
      </c>
      <c r="O46" s="232">
        <v>0.81</v>
      </c>
      <c r="P46" s="233">
        <v>9675</v>
      </c>
      <c r="Q46" s="234">
        <f>O46*N46*8.76</f>
        <v>15837.379199999999</v>
      </c>
      <c r="R46" s="309">
        <f>'Eskom coal pwr plants'!G9</f>
        <v>0.57305555555555554</v>
      </c>
      <c r="S46" s="257">
        <f>'Eskom coal pwr plants'!I9</f>
        <v>4.3611111111111114E-2</v>
      </c>
      <c r="T46" s="151">
        <v>37.56</v>
      </c>
      <c r="U46" s="266"/>
    </row>
    <row r="47" spans="1:54" s="11" customFormat="1" x14ac:dyDescent="0.25">
      <c r="A47" s="343"/>
      <c r="C47" s="264" t="s">
        <v>716</v>
      </c>
      <c r="D47" s="259"/>
      <c r="E47" s="260"/>
      <c r="F47" s="261"/>
      <c r="G47" s="261"/>
      <c r="H47" s="292"/>
      <c r="I47" s="278">
        <f>MAX(I42:I46)/I49 -1</f>
        <v>4.1225832915546157E-2</v>
      </c>
      <c r="J47" s="261"/>
      <c r="K47" s="258"/>
      <c r="L47" s="262"/>
      <c r="M47" s="261"/>
      <c r="N47" s="261"/>
      <c r="O47" s="263"/>
      <c r="Q47" s="265"/>
      <c r="R47" s="278">
        <f>MAX(R42:R46)/R49 -1</f>
        <v>0.10866318311426104</v>
      </c>
      <c r="S47" s="278">
        <f>MAX(S42:S46)/S49 -1</f>
        <v>0.73035853136442452</v>
      </c>
      <c r="T47" s="278"/>
      <c r="U47" s="277"/>
      <c r="V47"/>
      <c r="W47"/>
      <c r="X47"/>
      <c r="Y47" s="59"/>
      <c r="Z47" s="59"/>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row>
    <row r="48" spans="1:54" s="11" customFormat="1" x14ac:dyDescent="0.25">
      <c r="A48" s="343"/>
      <c r="C48" s="264" t="s">
        <v>390</v>
      </c>
      <c r="D48" s="259"/>
      <c r="E48" s="260"/>
      <c r="F48" s="261"/>
      <c r="G48" s="261"/>
      <c r="H48" s="292"/>
      <c r="I48" s="278">
        <f>MIN(I42:I46)/I49 -1</f>
        <v>-8.0532944411527918E-2</v>
      </c>
      <c r="J48" s="261"/>
      <c r="K48" s="258"/>
      <c r="L48" s="262"/>
      <c r="M48" s="261"/>
      <c r="N48" s="261"/>
      <c r="O48" s="263"/>
      <c r="Q48" s="265"/>
      <c r="R48" s="278">
        <f>MIN(R42:R46)/R49 -1</f>
        <v>-3.703281926845392E-2</v>
      </c>
      <c r="S48" s="278">
        <f>MIN(S42:S46)/S49 -1</f>
        <v>-0.31667370098984515</v>
      </c>
      <c r="T48" s="278"/>
      <c r="U48" s="277"/>
      <c r="V48"/>
      <c r="W48"/>
      <c r="X48"/>
      <c r="Y48" s="59"/>
      <c r="Z48" s="59"/>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c r="BB48" s="337"/>
    </row>
    <row r="49" spans="1:54" s="279" customFormat="1" x14ac:dyDescent="0.25">
      <c r="A49" s="11"/>
      <c r="B49" s="11"/>
      <c r="C49" s="281" t="s">
        <v>485</v>
      </c>
      <c r="H49" s="296"/>
      <c r="I49" s="420">
        <f>SUMPRODUCT(Q42:Q46,I42:I46)/SUM(Q42:Q46)</f>
        <v>0.31866285824941903</v>
      </c>
      <c r="O49" s="280"/>
      <c r="Q49" s="281"/>
      <c r="R49" s="282">
        <f>SUMPRODUCT(Q41:Q46,R41:R46)/SUM(Q41:Q46)</f>
        <v>0.56624751984126975</v>
      </c>
      <c r="S49" s="283">
        <f>SUMPRODUCT(P41:P46,S41:S46)/SUM(P41:P46)</f>
        <v>2.5203511480781284E-2</v>
      </c>
      <c r="T49" s="284">
        <f>SUMPRODUCT(Q30:Q46,T30:T46)/SUM(Q30:Q46)</f>
        <v>165.45807404158899</v>
      </c>
      <c r="U49" s="285">
        <f>T49*$U$22</f>
        <v>140.02713666517778</v>
      </c>
      <c r="V49"/>
      <c r="W49"/>
      <c r="X49"/>
      <c r="Y49" s="59"/>
      <c r="Z49" s="59"/>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c r="BB49" s="337"/>
    </row>
    <row r="50" spans="1:54" s="337" customFormat="1" x14ac:dyDescent="0.25">
      <c r="A50" s="344" t="s">
        <v>478</v>
      </c>
      <c r="B50" s="344"/>
      <c r="C50" s="344"/>
      <c r="D50" s="344"/>
      <c r="E50" s="344"/>
      <c r="F50" s="344"/>
      <c r="G50" s="344"/>
      <c r="H50" s="344"/>
      <c r="I50" s="344"/>
      <c r="J50" s="344"/>
      <c r="K50" s="344"/>
      <c r="L50" s="344"/>
      <c r="M50" s="223">
        <f>SUM(M51:M52)</f>
        <v>3900</v>
      </c>
      <c r="N50" s="223">
        <f>SUM(N51:N52)</f>
        <v>4688</v>
      </c>
      <c r="O50" s="344"/>
      <c r="P50" s="344"/>
      <c r="Q50" s="344"/>
      <c r="R50" s="344"/>
      <c r="S50" s="344"/>
      <c r="T50" s="344"/>
      <c r="U50" s="557"/>
      <c r="V50"/>
      <c r="W50"/>
      <c r="X50"/>
      <c r="Y50" s="59"/>
      <c r="Z50" s="59"/>
    </row>
    <row r="51" spans="1:54" x14ac:dyDescent="0.25">
      <c r="A51" s="555" t="s">
        <v>723</v>
      </c>
      <c r="B51" s="11"/>
      <c r="C51" s="331" t="s">
        <v>392</v>
      </c>
      <c r="D51" s="331" t="s">
        <v>685</v>
      </c>
      <c r="E51" s="331" t="s">
        <v>724</v>
      </c>
      <c r="F51" s="331">
        <v>9671</v>
      </c>
      <c r="G51" s="331">
        <v>9671</v>
      </c>
      <c r="H51" s="338">
        <v>0.35284068605950958</v>
      </c>
      <c r="I51" s="338">
        <v>0.34860000000000002</v>
      </c>
      <c r="J51" s="331">
        <v>24868</v>
      </c>
      <c r="K51" s="331">
        <v>6</v>
      </c>
      <c r="L51" s="331">
        <v>590</v>
      </c>
      <c r="M51" s="331">
        <v>3540</v>
      </c>
      <c r="N51" s="331">
        <v>3558</v>
      </c>
      <c r="O51" s="331">
        <v>0.81</v>
      </c>
      <c r="P51" s="331">
        <v>21572</v>
      </c>
      <c r="Q51" s="331">
        <f>O51*N51*8.76</f>
        <v>25246.144799999998</v>
      </c>
      <c r="R51" s="339">
        <f>'Eskom coal pwr plants'!G16</f>
        <v>0.49555555555555558</v>
      </c>
      <c r="S51" s="332">
        <f>'Eskom coal pwr plants'!I16</f>
        <v>2.1111111111111112E-2</v>
      </c>
      <c r="T51" s="331">
        <v>49.51</v>
      </c>
      <c r="U51" s="266"/>
    </row>
    <row r="52" spans="1:54" x14ac:dyDescent="0.25">
      <c r="A52" s="556"/>
      <c r="B52" s="11"/>
      <c r="C52" s="331" t="s">
        <v>427</v>
      </c>
      <c r="D52" s="331" t="s">
        <v>685</v>
      </c>
      <c r="E52" s="331" t="s">
        <v>724</v>
      </c>
      <c r="F52" s="331">
        <v>12638</v>
      </c>
      <c r="G52" s="331">
        <v>12638</v>
      </c>
      <c r="H52" s="338">
        <v>0.27000492758992856</v>
      </c>
      <c r="I52" s="338">
        <v>0.28179999999999999</v>
      </c>
      <c r="J52" s="331">
        <v>0</v>
      </c>
      <c r="K52" s="331">
        <v>2</v>
      </c>
      <c r="L52" s="331">
        <v>180</v>
      </c>
      <c r="M52" s="331">
        <v>360</v>
      </c>
      <c r="N52" s="331">
        <v>1130</v>
      </c>
      <c r="O52" s="331">
        <v>0.81</v>
      </c>
      <c r="P52" s="331"/>
      <c r="Q52" s="331">
        <f>O52*N52*8.76</f>
        <v>8018.0280000000002</v>
      </c>
      <c r="R52" s="339">
        <f>'Eskom coal pwr plants'!G18</f>
        <v>0.42500000000000004</v>
      </c>
      <c r="S52" s="332">
        <f>'Eskom coal pwr plants'!I18</f>
        <v>0.05</v>
      </c>
      <c r="T52" s="331">
        <v>49.51</v>
      </c>
      <c r="U52" s="266"/>
    </row>
    <row r="53" spans="1:54" s="11" customFormat="1" x14ac:dyDescent="0.25">
      <c r="A53" s="343"/>
      <c r="C53" s="264" t="s">
        <v>716</v>
      </c>
      <c r="I53" s="278">
        <f>MAX(I51:I52)/I55 -1</f>
        <v>4.8425895369682781E-2</v>
      </c>
      <c r="Q53" s="265"/>
      <c r="R53" s="278">
        <f>MAX(R49:R52)/R55 -1</f>
        <v>0.18325977838281116</v>
      </c>
      <c r="S53" s="278">
        <f>MAX(S49:S52)/S55 -1</f>
        <v>0.78097457197852327</v>
      </c>
      <c r="T53" s="278">
        <f>MAX(T49:T52)/T55 -1</f>
        <v>2.3419122205935974</v>
      </c>
      <c r="U53" s="266"/>
      <c r="V53"/>
      <c r="W53"/>
      <c r="X53"/>
      <c r="Y53" s="337"/>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row>
    <row r="54" spans="1:54" s="11" customFormat="1" x14ac:dyDescent="0.25">
      <c r="A54" s="343"/>
      <c r="C54" s="264" t="s">
        <v>390</v>
      </c>
      <c r="I54" s="278">
        <f>MIN(I51:I52)/I55 -1</f>
        <v>-0.15247728825250562</v>
      </c>
      <c r="Q54" s="265"/>
      <c r="R54" s="278">
        <f>MIN(R49:R52)/R55 -1</f>
        <v>-0.11189826323007401</v>
      </c>
      <c r="S54" s="278">
        <f>MIN(S49:S52)/S55 -1</f>
        <v>-0.24803295849795692</v>
      </c>
      <c r="T54" s="278">
        <f>MIN(T49:T52)/T55 -1</f>
        <v>0</v>
      </c>
      <c r="U54" s="266"/>
      <c r="V54"/>
      <c r="W54"/>
      <c r="X54"/>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row>
    <row r="55" spans="1:54" s="279" customFormat="1" x14ac:dyDescent="0.25">
      <c r="A55" s="347"/>
      <c r="C55" s="281" t="s">
        <v>485</v>
      </c>
      <c r="I55" s="420">
        <f>SUMPRODUCT(Q51:Q52,I51:I52)/SUM(Q51:Q52)</f>
        <v>0.33249846416382256</v>
      </c>
      <c r="O55" s="280"/>
      <c r="Q55" s="281"/>
      <c r="R55" s="282">
        <f>SUMPRODUCT(Q51:Q52,R51:R52)/SUM(Q51:Q52)</f>
        <v>0.47854877701934018</v>
      </c>
      <c r="S55" s="283">
        <f>SUMPRODUCT(Q51:Q52,S51:S52)/SUM(Q51:Q52)</f>
        <v>2.8074516496018199E-2</v>
      </c>
      <c r="T55" s="290">
        <f>SUMPRODUCT(Q51:Q52,T51:T52)/SUM(Q51:Q52)</f>
        <v>49.509999999999991</v>
      </c>
      <c r="U55" s="285">
        <f>T55*$U$22</f>
        <v>41.900303605313084</v>
      </c>
      <c r="V55"/>
      <c r="W55"/>
      <c r="X55"/>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row>
    <row r="56" spans="1:54" s="217" customFormat="1" x14ac:dyDescent="0.25">
      <c r="A56" s="344" t="s">
        <v>683</v>
      </c>
      <c r="N56" s="195">
        <f>SUM(N57:N59)</f>
        <v>0</v>
      </c>
      <c r="O56" s="220"/>
      <c r="Q56" s="221"/>
      <c r="R56" s="221"/>
      <c r="S56" s="221"/>
      <c r="T56" s="222"/>
      <c r="U56" s="291"/>
      <c r="V56"/>
      <c r="W56"/>
      <c r="X56"/>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row>
    <row r="57" spans="1:54" x14ac:dyDescent="0.25">
      <c r="A57" s="343" t="s">
        <v>526</v>
      </c>
      <c r="B57" s="11" t="s">
        <v>502</v>
      </c>
      <c r="C57" s="11" t="s">
        <v>68</v>
      </c>
      <c r="D57" s="11"/>
      <c r="E57" s="11"/>
      <c r="F57" s="11"/>
      <c r="G57" s="11"/>
      <c r="H57" s="11"/>
      <c r="I57" s="11"/>
      <c r="J57" s="11"/>
      <c r="K57" s="11"/>
      <c r="L57" s="11"/>
      <c r="M57" s="11"/>
      <c r="N57" s="11"/>
      <c r="O57" s="11"/>
      <c r="P57" s="11"/>
      <c r="Q57" s="11"/>
      <c r="R57" s="11"/>
      <c r="S57" s="11"/>
      <c r="T57" s="11">
        <v>18.149999999999999</v>
      </c>
      <c r="U57" s="266"/>
    </row>
    <row r="58" spans="1:54" x14ac:dyDescent="0.25">
      <c r="A58" s="343" t="s">
        <v>527</v>
      </c>
      <c r="B58" s="11" t="s">
        <v>503</v>
      </c>
      <c r="C58" s="11"/>
      <c r="D58" s="11"/>
      <c r="E58" s="11"/>
      <c r="F58" s="11"/>
      <c r="G58" s="11"/>
      <c r="H58" s="11"/>
      <c r="I58" s="11"/>
      <c r="J58" s="11"/>
      <c r="K58" s="11"/>
      <c r="L58" s="11"/>
      <c r="M58" s="11"/>
      <c r="N58" s="11"/>
      <c r="O58" s="11"/>
      <c r="P58" s="11"/>
      <c r="Q58" s="11"/>
      <c r="R58" s="11"/>
      <c r="S58" s="11"/>
      <c r="T58" s="11">
        <v>18.149999999999999</v>
      </c>
      <c r="U58" s="266"/>
    </row>
    <row r="59" spans="1:54" s="193" customFormat="1" x14ac:dyDescent="0.25">
      <c r="A59" s="347"/>
      <c r="B59" s="279"/>
      <c r="C59" s="281" t="s">
        <v>485</v>
      </c>
      <c r="D59" s="279"/>
      <c r="E59" s="279"/>
      <c r="F59" s="279"/>
      <c r="G59" s="279"/>
      <c r="H59" s="279"/>
      <c r="I59" s="279"/>
      <c r="J59" s="279"/>
      <c r="K59" s="279"/>
      <c r="L59" s="279"/>
      <c r="M59" s="279"/>
      <c r="N59" s="279"/>
      <c r="O59" s="280"/>
      <c r="P59" s="279"/>
      <c r="Q59" s="281"/>
      <c r="R59" s="281"/>
      <c r="S59" s="279"/>
      <c r="T59" s="290">
        <f>T58</f>
        <v>18.149999999999999</v>
      </c>
      <c r="U59" s="285">
        <f t="shared" ref="U59" si="1">T59*$U$22</f>
        <v>15.360341555977229</v>
      </c>
      <c r="V59"/>
      <c r="W59"/>
      <c r="X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row>
    <row r="60" spans="1:54" x14ac:dyDescent="0.25">
      <c r="U60" s="266"/>
    </row>
  </sheetData>
  <mergeCells count="3">
    <mergeCell ref="T25:U25"/>
    <mergeCell ref="I22:M23"/>
    <mergeCell ref="E22:E24"/>
  </mergeCells>
  <conditionalFormatting sqref="C26:D27 D47:D48 D38:D40 C44:D46 C35:D37 D32:D34 C42:D42 C30:D30">
    <cfRule type="cellIs" dxfId="2" priority="6" operator="equal">
      <formula>"source"</formula>
    </cfRule>
  </conditionalFormatting>
  <conditionalFormatting sqref="C43:D43">
    <cfRule type="cellIs" dxfId="1" priority="2" operator="equal">
      <formula>"source"</formula>
    </cfRule>
  </conditionalFormatting>
  <conditionalFormatting sqref="C41:D41">
    <cfRule type="cellIs" dxfId="0" priority="1" operator="equal">
      <formula>"source"</formula>
    </cfRule>
  </conditionalFormatting>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P21"/>
  <sheetViews>
    <sheetView workbookViewId="0">
      <selection activeCell="P3" sqref="P3"/>
    </sheetView>
  </sheetViews>
  <sheetFormatPr defaultRowHeight="15" x14ac:dyDescent="0.25"/>
  <cols>
    <col min="3" max="3" width="9.5703125" customWidth="1"/>
    <col min="4" max="4" width="8.5703125" bestFit="1" customWidth="1"/>
    <col min="5" max="6" width="7.85546875" bestFit="1" customWidth="1"/>
    <col min="7" max="9" width="7.85546875" customWidth="1"/>
    <col min="10" max="10" width="6.42578125" bestFit="1" customWidth="1"/>
    <col min="12" max="12" width="8" customWidth="1"/>
    <col min="14" max="14" width="8.28515625" customWidth="1"/>
    <col min="15" max="15" width="10" bestFit="1" customWidth="1"/>
  </cols>
  <sheetData>
    <row r="1" spans="1:16" ht="77.25" thickBot="1" x14ac:dyDescent="0.3">
      <c r="A1" s="251" t="s">
        <v>688</v>
      </c>
      <c r="B1" s="252" t="s">
        <v>689</v>
      </c>
      <c r="C1" s="252" t="s">
        <v>690</v>
      </c>
      <c r="D1" s="252" t="s">
        <v>691</v>
      </c>
      <c r="E1" s="252" t="s">
        <v>692</v>
      </c>
      <c r="F1" s="252" t="s">
        <v>693</v>
      </c>
      <c r="G1" s="252" t="s">
        <v>1804</v>
      </c>
      <c r="H1" s="252" t="s">
        <v>1805</v>
      </c>
      <c r="I1" s="252" t="s">
        <v>693</v>
      </c>
      <c r="J1" s="252" t="s">
        <v>694</v>
      </c>
      <c r="K1" s="253" t="s">
        <v>695</v>
      </c>
      <c r="L1" s="403" t="s">
        <v>1584</v>
      </c>
      <c r="M1" s="253">
        <f>'fgd costs'!$B$32</f>
        <v>0.2</v>
      </c>
      <c r="N1" s="566">
        <f>M1*TechWATv4!T4</f>
        <v>5.5555555555555559E-2</v>
      </c>
      <c r="O1" s="403" t="s">
        <v>1834</v>
      </c>
      <c r="P1" s="403" t="s">
        <v>1836</v>
      </c>
    </row>
    <row r="2" spans="1:16" ht="15.75" thickBot="1" x14ac:dyDescent="0.3">
      <c r="A2" s="251"/>
      <c r="B2" s="252"/>
      <c r="C2" s="252"/>
      <c r="D2" s="252"/>
      <c r="E2" s="252" t="s">
        <v>395</v>
      </c>
      <c r="F2" s="252" t="s">
        <v>395</v>
      </c>
      <c r="G2" s="252" t="s">
        <v>217</v>
      </c>
      <c r="H2" s="252"/>
      <c r="I2" s="252" t="s">
        <v>217</v>
      </c>
      <c r="J2" s="252"/>
      <c r="K2" s="253"/>
      <c r="L2" s="252" t="s">
        <v>217</v>
      </c>
      <c r="M2" s="252" t="s">
        <v>696</v>
      </c>
      <c r="N2" s="252" t="s">
        <v>217</v>
      </c>
      <c r="O2" t="str">
        <f>E2</f>
        <v>l/kWh</v>
      </c>
      <c r="P2" t="str">
        <f>F2</f>
        <v>l/kWh</v>
      </c>
    </row>
    <row r="3" spans="1:16" ht="26.25" thickBot="1" x14ac:dyDescent="0.3">
      <c r="A3" s="251" t="s">
        <v>418</v>
      </c>
      <c r="B3" s="252" t="s">
        <v>697</v>
      </c>
      <c r="C3" s="252">
        <v>3690</v>
      </c>
      <c r="D3" s="252" t="s">
        <v>698</v>
      </c>
      <c r="E3" s="252">
        <v>0.12</v>
      </c>
      <c r="F3" s="252">
        <v>0.02</v>
      </c>
      <c r="G3" s="374">
        <f>E3*TechWATv4!$T$4 - I3</f>
        <v>2.7777777777777776E-2</v>
      </c>
      <c r="H3" s="374">
        <f>G3+$N$1</f>
        <v>8.3333333333333343E-2</v>
      </c>
      <c r="I3" s="374">
        <f>F3*TechWATv4!$T$4</f>
        <v>5.5555555555555558E-3</v>
      </c>
      <c r="J3" s="252" t="s">
        <v>331</v>
      </c>
      <c r="K3" s="253" t="s">
        <v>699</v>
      </c>
      <c r="L3" s="703"/>
      <c r="M3">
        <f>E3+F3</f>
        <v>0.13999999999999999</v>
      </c>
      <c r="O3">
        <f>E3+F3+$M$1</f>
        <v>0.33999999999999997</v>
      </c>
      <c r="P3">
        <f>E3+F3</f>
        <v>0.13999999999999999</v>
      </c>
    </row>
    <row r="4" spans="1:16" ht="26.25" thickBot="1" x14ac:dyDescent="0.3">
      <c r="A4" s="251" t="s">
        <v>700</v>
      </c>
      <c r="B4" s="252" t="s">
        <v>701</v>
      </c>
      <c r="C4" s="252">
        <v>4334</v>
      </c>
      <c r="D4" s="252" t="s">
        <v>698</v>
      </c>
      <c r="E4" s="252">
        <v>0.113</v>
      </c>
      <c r="F4" s="252">
        <v>2.3E-2</v>
      </c>
      <c r="G4" s="374">
        <f>E4*TechWATv4!$T$4 - I4</f>
        <v>2.5000000000000001E-2</v>
      </c>
      <c r="H4" s="374">
        <f t="shared" ref="H4:H18" si="0">G4+$N$1</f>
        <v>8.0555555555555561E-2</v>
      </c>
      <c r="I4" s="374">
        <f>F4*TechWATv4!$T$4</f>
        <v>6.3888888888888893E-3</v>
      </c>
      <c r="J4" s="252" t="s">
        <v>331</v>
      </c>
      <c r="K4" s="253" t="s">
        <v>699</v>
      </c>
      <c r="L4" s="703"/>
      <c r="M4">
        <f>E4+F4</f>
        <v>0.13600000000000001</v>
      </c>
      <c r="O4">
        <f t="shared" ref="O4:O14" si="1">E4+F4+$M$1</f>
        <v>0.33600000000000002</v>
      </c>
      <c r="P4">
        <f t="shared" ref="P4:P14" si="2">E4+F4</f>
        <v>0.13600000000000001</v>
      </c>
    </row>
    <row r="5" spans="1:16" ht="26.25" thickBot="1" x14ac:dyDescent="0.3">
      <c r="A5" s="254" t="s">
        <v>422</v>
      </c>
      <c r="B5" s="255" t="s">
        <v>697</v>
      </c>
      <c r="C5" s="255">
        <v>3840</v>
      </c>
      <c r="D5" s="255" t="s">
        <v>702</v>
      </c>
      <c r="E5" s="255">
        <v>0.12</v>
      </c>
      <c r="F5" s="255">
        <v>7.0000000000000007E-2</v>
      </c>
      <c r="G5" s="374">
        <f>E5*TechWATv4!$T$4 - I5</f>
        <v>1.3888888888888885E-2</v>
      </c>
      <c r="H5" s="374">
        <f t="shared" si="0"/>
        <v>6.9444444444444448E-2</v>
      </c>
      <c r="I5" s="374">
        <f>F5*TechWATv4!$T$4</f>
        <v>1.9444444444444448E-2</v>
      </c>
      <c r="J5" s="255" t="s">
        <v>477</v>
      </c>
      <c r="K5" s="256" t="s">
        <v>703</v>
      </c>
      <c r="M5">
        <f t="shared" ref="M5:M14" si="3">E5+F5</f>
        <v>0.19</v>
      </c>
      <c r="O5">
        <f t="shared" si="1"/>
        <v>0.39</v>
      </c>
      <c r="P5">
        <f t="shared" si="2"/>
        <v>0.19</v>
      </c>
    </row>
    <row r="6" spans="1:16" ht="39" thickBot="1" x14ac:dyDescent="0.3">
      <c r="A6" s="251" t="s">
        <v>424</v>
      </c>
      <c r="B6" s="252" t="s">
        <v>704</v>
      </c>
      <c r="C6" s="252">
        <v>3450</v>
      </c>
      <c r="D6" s="252" t="s">
        <v>705</v>
      </c>
      <c r="E6" s="252">
        <v>2.2000000000000002</v>
      </c>
      <c r="F6" s="252">
        <v>6.2E-2</v>
      </c>
      <c r="G6" s="374">
        <f>E6*TechWATv4!$T$4 - I6</f>
        <v>0.59388888888888891</v>
      </c>
      <c r="H6" s="374">
        <f t="shared" si="0"/>
        <v>0.64944444444444449</v>
      </c>
      <c r="I6" s="374">
        <f>F6*TechWATv4!$T$4</f>
        <v>1.7222222222222222E-2</v>
      </c>
      <c r="J6" s="252" t="s">
        <v>477</v>
      </c>
      <c r="K6" s="253" t="s">
        <v>703</v>
      </c>
      <c r="M6">
        <f t="shared" si="3"/>
        <v>2.262</v>
      </c>
      <c r="O6">
        <f t="shared" si="1"/>
        <v>2.4620000000000002</v>
      </c>
      <c r="P6">
        <f t="shared" si="2"/>
        <v>2.262</v>
      </c>
    </row>
    <row r="7" spans="1:16" ht="39" thickBot="1" x14ac:dyDescent="0.3">
      <c r="A7" s="254" t="s">
        <v>421</v>
      </c>
      <c r="B7" s="255" t="s">
        <v>704</v>
      </c>
      <c r="C7" s="255">
        <v>2850</v>
      </c>
      <c r="D7" s="255" t="s">
        <v>705</v>
      </c>
      <c r="E7" s="255">
        <v>2.38</v>
      </c>
      <c r="F7" s="255">
        <v>0.12</v>
      </c>
      <c r="G7" s="374">
        <f>E7*TechWATv4!$T$4 - I7</f>
        <v>0.62777777777777777</v>
      </c>
      <c r="H7" s="374">
        <f t="shared" si="0"/>
        <v>0.68333333333333335</v>
      </c>
      <c r="I7" s="374">
        <f>F7*TechWATv4!$T$4</f>
        <v>3.3333333333333333E-2</v>
      </c>
      <c r="J7" s="255" t="s">
        <v>477</v>
      </c>
      <c r="K7" s="256" t="s">
        <v>703</v>
      </c>
      <c r="M7">
        <f t="shared" si="3"/>
        <v>2.5</v>
      </c>
      <c r="O7">
        <f t="shared" si="1"/>
        <v>2.7</v>
      </c>
      <c r="P7">
        <f t="shared" si="2"/>
        <v>2.5</v>
      </c>
    </row>
    <row r="8" spans="1:16" ht="39" thickBot="1" x14ac:dyDescent="0.3">
      <c r="A8" s="251" t="s">
        <v>417</v>
      </c>
      <c r="B8" s="252" t="s">
        <v>704</v>
      </c>
      <c r="C8" s="252">
        <v>3450</v>
      </c>
      <c r="D8" s="252" t="s">
        <v>705</v>
      </c>
      <c r="E8" s="252">
        <v>2.04</v>
      </c>
      <c r="F8" s="252">
        <v>7.6999999999999999E-2</v>
      </c>
      <c r="G8" s="374">
        <f>E8*TechWATv4!$T$4 - I8</f>
        <v>0.54527777777777775</v>
      </c>
      <c r="H8" s="374">
        <f t="shared" si="0"/>
        <v>0.60083333333333333</v>
      </c>
      <c r="I8" s="374">
        <f>F8*TechWATv4!$T$4</f>
        <v>2.1388888888888888E-2</v>
      </c>
      <c r="J8" s="252" t="s">
        <v>477</v>
      </c>
      <c r="K8" s="253" t="s">
        <v>703</v>
      </c>
      <c r="M8">
        <f t="shared" si="3"/>
        <v>2.117</v>
      </c>
      <c r="O8">
        <f t="shared" si="1"/>
        <v>2.3170000000000002</v>
      </c>
      <c r="P8">
        <f t="shared" si="2"/>
        <v>2.117</v>
      </c>
    </row>
    <row r="9" spans="1:16" ht="39" thickBot="1" x14ac:dyDescent="0.3">
      <c r="A9" s="254" t="s">
        <v>425</v>
      </c>
      <c r="B9" s="255" t="s">
        <v>704</v>
      </c>
      <c r="C9" s="255">
        <v>2232</v>
      </c>
      <c r="D9" s="255" t="s">
        <v>705</v>
      </c>
      <c r="E9" s="255">
        <v>2.2200000000000002</v>
      </c>
      <c r="F9" s="255">
        <v>0.157</v>
      </c>
      <c r="G9" s="374">
        <f>E9*TechWATv4!$T$4 - I9</f>
        <v>0.57305555555555554</v>
      </c>
      <c r="H9" s="374">
        <f t="shared" si="0"/>
        <v>0.62861111111111112</v>
      </c>
      <c r="I9" s="374">
        <f>F9*TechWATv4!$T$4</f>
        <v>4.3611111111111114E-2</v>
      </c>
      <c r="J9" s="255" t="s">
        <v>477</v>
      </c>
      <c r="K9" s="256" t="s">
        <v>703</v>
      </c>
      <c r="M9">
        <f t="shared" si="3"/>
        <v>2.3770000000000002</v>
      </c>
      <c r="O9">
        <f t="shared" si="1"/>
        <v>2.5770000000000004</v>
      </c>
      <c r="P9">
        <f t="shared" si="2"/>
        <v>2.3770000000000002</v>
      </c>
    </row>
    <row r="10" spans="1:16" ht="39" thickBot="1" x14ac:dyDescent="0.3">
      <c r="A10" s="251" t="s">
        <v>423</v>
      </c>
      <c r="B10" s="252" t="s">
        <v>706</v>
      </c>
      <c r="C10" s="252">
        <v>1865</v>
      </c>
      <c r="D10" s="252" t="s">
        <v>705</v>
      </c>
      <c r="E10" s="252">
        <v>2.61</v>
      </c>
      <c r="F10" s="252">
        <v>0.23100000000000001</v>
      </c>
      <c r="G10" s="374">
        <f>E10*TechWATv4!$T$4 - I10</f>
        <v>0.66083333333333327</v>
      </c>
      <c r="H10" s="374">
        <f t="shared" si="0"/>
        <v>0.71638888888888885</v>
      </c>
      <c r="I10" s="374">
        <f>F10*TechWATv4!$T$4</f>
        <v>6.4166666666666677E-2</v>
      </c>
      <c r="J10" s="252" t="s">
        <v>477</v>
      </c>
      <c r="K10" s="253" t="s">
        <v>703</v>
      </c>
      <c r="M10">
        <f t="shared" si="3"/>
        <v>2.8409999999999997</v>
      </c>
      <c r="O10">
        <f t="shared" si="1"/>
        <v>3.0409999999999999</v>
      </c>
      <c r="P10">
        <f t="shared" si="2"/>
        <v>2.8409999999999997</v>
      </c>
    </row>
    <row r="11" spans="1:16" ht="39" thickBot="1" x14ac:dyDescent="0.3">
      <c r="A11" s="254" t="s">
        <v>426</v>
      </c>
      <c r="B11" s="255" t="s">
        <v>706</v>
      </c>
      <c r="C11" s="255">
        <v>906</v>
      </c>
      <c r="D11" s="255" t="s">
        <v>705</v>
      </c>
      <c r="E11" s="255">
        <v>2.4900000000000002</v>
      </c>
      <c r="F11" s="255">
        <v>0.105</v>
      </c>
      <c r="G11" s="374">
        <f>E11*TechWATv4!$T$4 - I11</f>
        <v>0.66250000000000009</v>
      </c>
      <c r="H11" s="374">
        <f t="shared" si="0"/>
        <v>0.71805555555555567</v>
      </c>
      <c r="I11" s="374">
        <f>F11*TechWATv4!$T$4</f>
        <v>2.9166666666666667E-2</v>
      </c>
      <c r="J11" s="255" t="s">
        <v>477</v>
      </c>
      <c r="K11" s="256" t="s">
        <v>703</v>
      </c>
      <c r="M11">
        <f t="shared" si="3"/>
        <v>2.5950000000000002</v>
      </c>
      <c r="O11">
        <f t="shared" si="1"/>
        <v>2.7950000000000004</v>
      </c>
      <c r="P11">
        <f t="shared" si="2"/>
        <v>2.5950000000000002</v>
      </c>
    </row>
    <row r="12" spans="1:16" ht="26.25" thickBot="1" x14ac:dyDescent="0.3">
      <c r="A12" s="251" t="s">
        <v>707</v>
      </c>
      <c r="B12" s="252" t="s">
        <v>701</v>
      </c>
      <c r="C12" s="252">
        <v>4267</v>
      </c>
      <c r="D12" s="252" t="s">
        <v>698</v>
      </c>
      <c r="E12" s="252">
        <v>0.113</v>
      </c>
      <c r="F12" s="252">
        <v>2.3E-2</v>
      </c>
      <c r="G12" s="374">
        <f>E12*TechWATv4!$T$4 - I12</f>
        <v>2.5000000000000001E-2</v>
      </c>
      <c r="H12" s="374">
        <f t="shared" si="0"/>
        <v>8.0555555555555561E-2</v>
      </c>
      <c r="I12" s="374">
        <f>F12*TechWATv4!$T$4</f>
        <v>6.3888888888888893E-3</v>
      </c>
      <c r="J12" s="419" t="s">
        <v>477</v>
      </c>
      <c r="K12" s="253" t="s">
        <v>703</v>
      </c>
      <c r="L12" s="399"/>
      <c r="M12">
        <f t="shared" si="3"/>
        <v>0.13600000000000001</v>
      </c>
      <c r="O12">
        <f t="shared" si="1"/>
        <v>0.33600000000000002</v>
      </c>
      <c r="P12">
        <f t="shared" si="2"/>
        <v>0.13600000000000001</v>
      </c>
    </row>
    <row r="13" spans="1:16" ht="39" thickBot="1" x14ac:dyDescent="0.3">
      <c r="A13" s="254" t="s">
        <v>428</v>
      </c>
      <c r="B13" s="255" t="s">
        <v>708</v>
      </c>
      <c r="C13" s="255">
        <v>1440</v>
      </c>
      <c r="D13" s="255" t="s">
        <v>705</v>
      </c>
      <c r="E13" s="255">
        <v>2.31</v>
      </c>
      <c r="F13" s="255">
        <v>7.8E-2</v>
      </c>
      <c r="G13" s="374">
        <f>E13*TechWATv4!$T$4 - I13</f>
        <v>0.62000000000000011</v>
      </c>
      <c r="H13" s="374">
        <f t="shared" si="0"/>
        <v>0.67555555555555569</v>
      </c>
      <c r="I13" s="374">
        <f>F13*TechWATv4!$T$4</f>
        <v>2.1666666666666667E-2</v>
      </c>
      <c r="J13" s="418" t="s">
        <v>477</v>
      </c>
      <c r="K13" s="256" t="s">
        <v>703</v>
      </c>
      <c r="M13">
        <f t="shared" si="3"/>
        <v>2.3879999999999999</v>
      </c>
      <c r="O13">
        <f t="shared" si="1"/>
        <v>2.5880000000000001</v>
      </c>
      <c r="P13">
        <f t="shared" si="2"/>
        <v>2.3879999999999999</v>
      </c>
    </row>
    <row r="14" spans="1:16" ht="39" thickBot="1" x14ac:dyDescent="0.3">
      <c r="A14" s="251" t="s">
        <v>709</v>
      </c>
      <c r="B14" s="252" t="s">
        <v>704</v>
      </c>
      <c r="C14" s="252">
        <v>1980</v>
      </c>
      <c r="D14" s="252" t="s">
        <v>710</v>
      </c>
      <c r="E14" s="252">
        <v>1.86</v>
      </c>
      <c r="F14" s="252">
        <v>7.5999999999999998E-2</v>
      </c>
      <c r="G14" s="374">
        <f>E14*TechWATv4!$T$4 - I14</f>
        <v>0.49555555555555558</v>
      </c>
      <c r="H14" s="374">
        <f t="shared" si="0"/>
        <v>0.55111111111111111</v>
      </c>
      <c r="I14" s="374">
        <f>F14*TechWATv4!$T$4</f>
        <v>2.1111111111111112E-2</v>
      </c>
      <c r="J14" s="252" t="s">
        <v>478</v>
      </c>
      <c r="K14" s="253" t="s">
        <v>703</v>
      </c>
      <c r="M14">
        <f t="shared" si="3"/>
        <v>1.9360000000000002</v>
      </c>
      <c r="O14">
        <f t="shared" si="1"/>
        <v>2.1360000000000001</v>
      </c>
      <c r="P14">
        <f t="shared" si="2"/>
        <v>1.9360000000000002</v>
      </c>
    </row>
    <row r="15" spans="1:16" ht="39" thickBot="1" x14ac:dyDescent="0.3">
      <c r="A15" s="254" t="s">
        <v>420</v>
      </c>
      <c r="B15" s="255" t="s">
        <v>697</v>
      </c>
      <c r="C15" s="255">
        <v>1840</v>
      </c>
      <c r="D15" s="255" t="s">
        <v>711</v>
      </c>
      <c r="E15" s="255">
        <v>0.12</v>
      </c>
      <c r="F15" s="255">
        <v>0.02</v>
      </c>
      <c r="G15" s="374">
        <f>E15*TechWATv4!$T$4 - I15</f>
        <v>2.7777777777777776E-2</v>
      </c>
      <c r="H15" s="374">
        <f t="shared" si="0"/>
        <v>8.3333333333333343E-2</v>
      </c>
      <c r="I15" s="374">
        <f>F15*TechWATv4!$T$4</f>
        <v>5.5555555555555558E-3</v>
      </c>
      <c r="J15" s="252" t="s">
        <v>478</v>
      </c>
      <c r="K15" s="256" t="s">
        <v>703</v>
      </c>
    </row>
    <row r="16" spans="1:16" ht="39" thickBot="1" x14ac:dyDescent="0.3">
      <c r="A16" s="251" t="s">
        <v>392</v>
      </c>
      <c r="B16" s="252" t="s">
        <v>704</v>
      </c>
      <c r="C16" s="252">
        <v>3558</v>
      </c>
      <c r="D16" s="252" t="s">
        <v>705</v>
      </c>
      <c r="E16" s="252">
        <v>1.86</v>
      </c>
      <c r="F16" s="252">
        <v>7.5999999999999998E-2</v>
      </c>
      <c r="G16" s="374">
        <f>E16*TechWATv4!$T$4 - I16</f>
        <v>0.49555555555555558</v>
      </c>
      <c r="H16" s="374">
        <f t="shared" si="0"/>
        <v>0.55111111111111111</v>
      </c>
      <c r="I16" s="374">
        <f>F16*TechWATv4!$T$4</f>
        <v>2.1111111111111112E-2</v>
      </c>
      <c r="J16" s="252" t="s">
        <v>478</v>
      </c>
      <c r="K16" s="253" t="s">
        <v>703</v>
      </c>
    </row>
    <row r="17" spans="1:11" ht="39" thickBot="1" x14ac:dyDescent="0.3">
      <c r="A17" s="254" t="s">
        <v>416</v>
      </c>
      <c r="B17" s="255" t="s">
        <v>704</v>
      </c>
      <c r="C17" s="255">
        <v>3510</v>
      </c>
      <c r="D17" s="255" t="s">
        <v>705</v>
      </c>
      <c r="E17" s="255">
        <v>2.06</v>
      </c>
      <c r="F17" s="255">
        <v>9.7000000000000003E-2</v>
      </c>
      <c r="G17" s="374">
        <f>E17*TechWATv4!$T$4 - I17</f>
        <v>0.54527777777777786</v>
      </c>
      <c r="H17" s="374">
        <f t="shared" si="0"/>
        <v>0.60083333333333344</v>
      </c>
      <c r="I17" s="374">
        <f>F17*TechWATv4!$T$4</f>
        <v>2.6944444444444448E-2</v>
      </c>
      <c r="J17" s="418" t="s">
        <v>477</v>
      </c>
      <c r="K17" s="256" t="s">
        <v>703</v>
      </c>
    </row>
    <row r="18" spans="1:11" ht="26.25" thickBot="1" x14ac:dyDescent="0.3">
      <c r="A18" s="251" t="s">
        <v>712</v>
      </c>
      <c r="B18" s="252" t="s">
        <v>706</v>
      </c>
      <c r="C18" s="252">
        <v>1130</v>
      </c>
      <c r="D18" s="252" t="s">
        <v>713</v>
      </c>
      <c r="E18" s="252">
        <v>1.71</v>
      </c>
      <c r="F18" s="252">
        <v>0.18</v>
      </c>
      <c r="G18" s="374">
        <f>E18*TechWATv4!$T$4 - I18</f>
        <v>0.42500000000000004</v>
      </c>
      <c r="H18" s="374">
        <f t="shared" si="0"/>
        <v>0.48055555555555562</v>
      </c>
      <c r="I18" s="374">
        <f>F18*TechWATv4!$T$4</f>
        <v>0.05</v>
      </c>
      <c r="J18" s="252" t="s">
        <v>478</v>
      </c>
      <c r="K18" s="253" t="s">
        <v>703</v>
      </c>
    </row>
    <row r="20" spans="1:11" x14ac:dyDescent="0.25">
      <c r="B20" s="403" t="s">
        <v>1685</v>
      </c>
      <c r="C20">
        <f>SUM(C3:C19)</f>
        <v>44342</v>
      </c>
    </row>
    <row r="21" spans="1:11" x14ac:dyDescent="0.25">
      <c r="B21" s="403" t="s">
        <v>1686</v>
      </c>
      <c r="C21">
        <f>C20-C10-C4-C12</f>
        <v>33876</v>
      </c>
      <c r="E21" s="403"/>
    </row>
  </sheetData>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tint="0.39997558519241921"/>
  </sheetPr>
  <dimension ref="A1:O105"/>
  <sheetViews>
    <sheetView topLeftCell="I13" workbookViewId="0">
      <selection activeCell="W33" sqref="W33"/>
    </sheetView>
  </sheetViews>
  <sheetFormatPr defaultRowHeight="15" x14ac:dyDescent="0.25"/>
  <cols>
    <col min="1" max="1" width="14.5703125" customWidth="1"/>
    <col min="2" max="2" width="9.140625" customWidth="1"/>
    <col min="3" max="3" width="23.42578125" customWidth="1"/>
    <col min="6" max="6" width="8.28515625" customWidth="1"/>
    <col min="7" max="7" width="12" customWidth="1"/>
  </cols>
  <sheetData>
    <row r="1" spans="1:13" ht="17.25" x14ac:dyDescent="0.25">
      <c r="A1" s="5" t="s">
        <v>504</v>
      </c>
      <c r="K1" t="s">
        <v>505</v>
      </c>
      <c r="M1" t="s">
        <v>506</v>
      </c>
    </row>
    <row r="2" spans="1:13" x14ac:dyDescent="0.25">
      <c r="A2" t="s">
        <v>507</v>
      </c>
      <c r="B2" t="s">
        <v>508</v>
      </c>
      <c r="C2" t="s">
        <v>509</v>
      </c>
      <c r="D2" t="s">
        <v>510</v>
      </c>
      <c r="F2" t="s">
        <v>1829</v>
      </c>
      <c r="G2" t="str">
        <f>C2</f>
        <v>Cumulative</v>
      </c>
      <c r="H2" t="str">
        <f>B2</f>
        <v>NetUWC</v>
      </c>
    </row>
    <row r="3" spans="1:13" x14ac:dyDescent="0.25">
      <c r="A3" t="s">
        <v>578</v>
      </c>
      <c r="B3" s="3">
        <f>TechWATv4!R13</f>
        <v>9.2806597337580055</v>
      </c>
      <c r="C3">
        <f>TechWATv4!D13</f>
        <v>28.6</v>
      </c>
      <c r="D3">
        <f>TechWATv4!D13</f>
        <v>28.6</v>
      </c>
      <c r="F3" t="s">
        <v>578</v>
      </c>
      <c r="G3">
        <v>0</v>
      </c>
      <c r="H3" s="3">
        <f>B3</f>
        <v>9.2806597337580055</v>
      </c>
    </row>
    <row r="4" spans="1:13" x14ac:dyDescent="0.25">
      <c r="A4" t="s">
        <v>579</v>
      </c>
      <c r="B4" s="3">
        <f>TechWATv4!R14</f>
        <v>7.6141536953912343</v>
      </c>
      <c r="C4">
        <f>TechWATv4!D14+charts!C3</f>
        <v>194.6</v>
      </c>
      <c r="D4">
        <f>C4-D3</f>
        <v>166</v>
      </c>
      <c r="F4" t="s">
        <v>578</v>
      </c>
      <c r="G4">
        <f>C3</f>
        <v>28.6</v>
      </c>
      <c r="H4" s="3">
        <f>H3</f>
        <v>9.2806597337580055</v>
      </c>
    </row>
    <row r="5" spans="1:13" x14ac:dyDescent="0.25">
      <c r="A5" t="s">
        <v>512</v>
      </c>
      <c r="B5" s="3">
        <f>TechWATv4!R15</f>
        <v>10.983576563218776</v>
      </c>
      <c r="C5">
        <f>TechWATv4!D15+charts!C4</f>
        <v>320.60000000000002</v>
      </c>
      <c r="D5">
        <f>C5-C4</f>
        <v>126.00000000000003</v>
      </c>
      <c r="F5" t="s">
        <v>579</v>
      </c>
      <c r="G5">
        <f>G4</f>
        <v>28.6</v>
      </c>
      <c r="H5" s="3">
        <f>B4</f>
        <v>7.6141536953912343</v>
      </c>
    </row>
    <row r="6" spans="1:13" x14ac:dyDescent="0.25">
      <c r="A6" t="s">
        <v>513</v>
      </c>
      <c r="B6" s="3">
        <f>TechWATv4!R16</f>
        <v>14.029630222255271</v>
      </c>
      <c r="C6">
        <f>TechWATv4!D16+charts!C5</f>
        <v>410.6</v>
      </c>
      <c r="D6">
        <f t="shared" ref="D6:D7" si="0">C6-C5</f>
        <v>90</v>
      </c>
      <c r="F6" t="s">
        <v>579</v>
      </c>
      <c r="G6">
        <f>C4</f>
        <v>194.6</v>
      </c>
      <c r="H6" s="3">
        <f>H5</f>
        <v>7.6141536953912343</v>
      </c>
    </row>
    <row r="7" spans="1:13" x14ac:dyDescent="0.25">
      <c r="A7" t="s">
        <v>514</v>
      </c>
      <c r="B7" s="3">
        <f>TechWATv4!R18</f>
        <v>33.673322019671424</v>
      </c>
      <c r="C7">
        <f>TechWATv4!D18+charts!C6</f>
        <v>510.6</v>
      </c>
      <c r="D7">
        <f t="shared" si="0"/>
        <v>100</v>
      </c>
      <c r="F7" t="s">
        <v>512</v>
      </c>
      <c r="G7">
        <f>G6</f>
        <v>194.6</v>
      </c>
      <c r="H7" s="3">
        <f>B5</f>
        <v>10.983576563218776</v>
      </c>
    </row>
    <row r="8" spans="1:13" x14ac:dyDescent="0.25">
      <c r="F8" t="s">
        <v>512</v>
      </c>
      <c r="G8">
        <f>C5</f>
        <v>320.60000000000002</v>
      </c>
      <c r="H8" s="3">
        <f>H7</f>
        <v>10.983576563218776</v>
      </c>
    </row>
    <row r="9" spans="1:13" x14ac:dyDescent="0.25">
      <c r="A9" t="s">
        <v>515</v>
      </c>
      <c r="B9" s="3">
        <f>TechWATv4!R21</f>
        <v>17.542199494348893</v>
      </c>
      <c r="C9">
        <f>TechWATv4!D21</f>
        <v>55</v>
      </c>
      <c r="D9">
        <f>C9</f>
        <v>55</v>
      </c>
      <c r="F9" t="s">
        <v>513</v>
      </c>
      <c r="G9">
        <f>G8</f>
        <v>320.60000000000002</v>
      </c>
      <c r="H9" s="3">
        <f>B6</f>
        <v>14.029630222255271</v>
      </c>
    </row>
    <row r="10" spans="1:13" x14ac:dyDescent="0.25">
      <c r="A10" t="s">
        <v>516</v>
      </c>
      <c r="B10" s="3">
        <f>TechWATv4!R22</f>
        <v>8.7432982632736493</v>
      </c>
      <c r="C10">
        <f>TechWATv4!D22+charts!C9</f>
        <v>86</v>
      </c>
      <c r="D10">
        <f>C10-C9</f>
        <v>31</v>
      </c>
      <c r="F10" t="s">
        <v>513</v>
      </c>
      <c r="G10">
        <f>C6</f>
        <v>410.6</v>
      </c>
      <c r="H10" s="3">
        <f>B6</f>
        <v>14.029630222255271</v>
      </c>
    </row>
    <row r="11" spans="1:13" x14ac:dyDescent="0.25">
      <c r="A11" t="s">
        <v>517</v>
      </c>
      <c r="B11" s="3">
        <f>TechWATv4!R23</f>
        <v>10.431799356612084</v>
      </c>
      <c r="C11">
        <f>TechWATv4!D23+charts!C10</f>
        <v>276</v>
      </c>
      <c r="D11">
        <f t="shared" ref="D11:D12" si="1">C11-C10</f>
        <v>190</v>
      </c>
      <c r="F11" t="s">
        <v>514</v>
      </c>
      <c r="G11">
        <f>G10</f>
        <v>410.6</v>
      </c>
      <c r="H11" s="3">
        <f>B7</f>
        <v>33.673322019671424</v>
      </c>
    </row>
    <row r="12" spans="1:13" x14ac:dyDescent="0.25">
      <c r="A12" t="s">
        <v>518</v>
      </c>
      <c r="B12" s="3">
        <f>TechWATv4!R25</f>
        <v>24.47036369658187</v>
      </c>
      <c r="C12">
        <f>TechWATv4!D25+charts!C11</f>
        <v>376</v>
      </c>
      <c r="D12">
        <f t="shared" si="1"/>
        <v>100</v>
      </c>
      <c r="F12" t="s">
        <v>514</v>
      </c>
      <c r="G12">
        <f>C7</f>
        <v>510.6</v>
      </c>
      <c r="H12" s="3">
        <f>H11</f>
        <v>33.673322019671424</v>
      </c>
    </row>
    <row r="14" spans="1:13" x14ac:dyDescent="0.25">
      <c r="A14" t="s">
        <v>520</v>
      </c>
      <c r="B14" s="3">
        <f>TechWATv4!S34</f>
        <v>0</v>
      </c>
      <c r="C14">
        <f>TechWATv4!D27</f>
        <v>437</v>
      </c>
      <c r="D14">
        <f>C14</f>
        <v>437</v>
      </c>
      <c r="F14" t="s">
        <v>519</v>
      </c>
    </row>
    <row r="15" spans="1:13" x14ac:dyDescent="0.25">
      <c r="A15" t="s">
        <v>521</v>
      </c>
      <c r="B15" s="3">
        <f>TechWATv4!R28</f>
        <v>5.8460594252640066</v>
      </c>
      <c r="C15">
        <f>TechWATv4!D28+charts!C14</f>
        <v>475</v>
      </c>
      <c r="D15">
        <f>C15-C14</f>
        <v>38</v>
      </c>
      <c r="F15" t="str">
        <f>F16</f>
        <v>B1</v>
      </c>
      <c r="G15">
        <v>0</v>
      </c>
      <c r="H15" s="3">
        <f>B9</f>
        <v>17.542199494348893</v>
      </c>
    </row>
    <row r="16" spans="1:13" x14ac:dyDescent="0.25">
      <c r="A16" t="s">
        <v>522</v>
      </c>
      <c r="B16" s="3">
        <f>TechWATv4!R29</f>
        <v>7.4699759633267018</v>
      </c>
      <c r="C16">
        <f>TechWATv4!D29+charts!C15</f>
        <v>997</v>
      </c>
      <c r="D16">
        <f t="shared" ref="D16:D19" si="2">C16-C15</f>
        <v>522</v>
      </c>
      <c r="F16" t="str">
        <f>A9</f>
        <v>B1</v>
      </c>
      <c r="G16">
        <f>C9</f>
        <v>55</v>
      </c>
      <c r="H16" s="3">
        <f>H15</f>
        <v>17.542199494348893</v>
      </c>
    </row>
    <row r="17" spans="1:8" x14ac:dyDescent="0.25">
      <c r="A17" t="s">
        <v>523</v>
      </c>
      <c r="B17" s="3">
        <f>TechWATv4!R30</f>
        <v>9.8462578301284385</v>
      </c>
      <c r="C17">
        <f>TechWATv4!D30+charts!C16</f>
        <v>1286.52</v>
      </c>
      <c r="D17">
        <f t="shared" si="2"/>
        <v>289.52</v>
      </c>
      <c r="F17" t="str">
        <f>F16</f>
        <v>B1</v>
      </c>
      <c r="G17">
        <f>G16</f>
        <v>55</v>
      </c>
      <c r="H17" s="3">
        <f>B10</f>
        <v>8.7432982632736493</v>
      </c>
    </row>
    <row r="18" spans="1:8" x14ac:dyDescent="0.25">
      <c r="A18" t="s">
        <v>524</v>
      </c>
      <c r="B18" s="3">
        <f>TechWATv4!R31</f>
        <v>11.257818892158113</v>
      </c>
      <c r="C18">
        <f>TechWATv4!D31+charts!C17</f>
        <v>1917.52</v>
      </c>
      <c r="D18">
        <f t="shared" si="2"/>
        <v>631</v>
      </c>
      <c r="F18" t="str">
        <f>A10</f>
        <v>B2</v>
      </c>
      <c r="G18">
        <v>86</v>
      </c>
      <c r="H18" s="3">
        <f>H17</f>
        <v>8.7432982632736493</v>
      </c>
    </row>
    <row r="19" spans="1:8" x14ac:dyDescent="0.25">
      <c r="A19" t="s">
        <v>525</v>
      </c>
      <c r="B19" s="3">
        <f>TechWATv4!R33</f>
        <v>15.57911055234781</v>
      </c>
      <c r="C19">
        <f>TechWATv4!D33+charts!C18</f>
        <v>2017.52</v>
      </c>
      <c r="D19">
        <f t="shared" si="2"/>
        <v>100</v>
      </c>
      <c r="F19" t="str">
        <f>F18</f>
        <v>B2</v>
      </c>
      <c r="G19">
        <v>86</v>
      </c>
      <c r="H19" s="3">
        <f>B11</f>
        <v>10.431799356612084</v>
      </c>
    </row>
    <row r="20" spans="1:8" x14ac:dyDescent="0.25">
      <c r="F20" t="str">
        <f>A11</f>
        <v>B3</v>
      </c>
      <c r="G20">
        <f>C11</f>
        <v>276</v>
      </c>
      <c r="H20" s="3">
        <f>H19</f>
        <v>10.431799356612084</v>
      </c>
    </row>
    <row r="21" spans="1:8" x14ac:dyDescent="0.25">
      <c r="A21" t="s">
        <v>526</v>
      </c>
      <c r="B21" s="3">
        <f>TechWATv4!R35</f>
        <v>4.6833307920885199</v>
      </c>
      <c r="C21">
        <f>TechWATv4!D35</f>
        <v>227.47999999999996</v>
      </c>
      <c r="D21">
        <f>C21</f>
        <v>227.47999999999996</v>
      </c>
      <c r="F21" t="str">
        <f>F20</f>
        <v>B3</v>
      </c>
      <c r="G21">
        <f>G20</f>
        <v>276</v>
      </c>
      <c r="H21" s="3">
        <f>B12</f>
        <v>24.47036369658187</v>
      </c>
    </row>
    <row r="22" spans="1:8" x14ac:dyDescent="0.25">
      <c r="A22" t="s">
        <v>527</v>
      </c>
      <c r="B22" s="3">
        <f>TechWATv4!R36</f>
        <v>10.350835050827746</v>
      </c>
      <c r="C22">
        <f>TechWATv4!D36+C21</f>
        <v>392.47999999999996</v>
      </c>
      <c r="D22">
        <f>C22-C21</f>
        <v>165</v>
      </c>
      <c r="F22" t="str">
        <f>A12</f>
        <v>B5</v>
      </c>
      <c r="G22">
        <f>C12</f>
        <v>376</v>
      </c>
      <c r="H22" s="3">
        <f>B12</f>
        <v>24.47036369658187</v>
      </c>
    </row>
    <row r="23" spans="1:8" x14ac:dyDescent="0.25">
      <c r="A23" t="s">
        <v>528</v>
      </c>
      <c r="B23" s="3">
        <f>TechWATv4!R37</f>
        <v>22.431754645325885</v>
      </c>
      <c r="C23">
        <f>TechWATv4!D37+C22</f>
        <v>492.47999999999996</v>
      </c>
      <c r="D23">
        <f>C23-C22</f>
        <v>100</v>
      </c>
    </row>
    <row r="24" spans="1:8" x14ac:dyDescent="0.25">
      <c r="A24" s="109" t="s">
        <v>530</v>
      </c>
      <c r="F24" t="s">
        <v>529</v>
      </c>
    </row>
    <row r="25" spans="1:8" x14ac:dyDescent="0.25">
      <c r="A25" t="s">
        <v>531</v>
      </c>
      <c r="B25" s="3">
        <f>TechWATv4!R38</f>
        <v>113.98879234408601</v>
      </c>
      <c r="C25">
        <f>C21</f>
        <v>227.47999999999996</v>
      </c>
      <c r="D25">
        <f>D21</f>
        <v>227.47999999999996</v>
      </c>
      <c r="F25" t="str">
        <f>A14</f>
        <v>C1</v>
      </c>
      <c r="G25">
        <v>0</v>
      </c>
      <c r="H25" s="3">
        <f>B14</f>
        <v>0</v>
      </c>
    </row>
    <row r="26" spans="1:8" x14ac:dyDescent="0.25">
      <c r="A26" t="s">
        <v>532</v>
      </c>
      <c r="B26" s="3">
        <f>TechWATv4!R39</f>
        <v>119.65629660282524</v>
      </c>
      <c r="C26">
        <f t="shared" ref="C26:C27" si="3">C22</f>
        <v>392.47999999999996</v>
      </c>
      <c r="D26">
        <f t="shared" ref="D26:D27" si="4">D22</f>
        <v>165</v>
      </c>
      <c r="F26" t="str">
        <f>F25</f>
        <v>C1</v>
      </c>
      <c r="G26">
        <f>C14</f>
        <v>437</v>
      </c>
      <c r="H26" s="3">
        <f>H25</f>
        <v>0</v>
      </c>
    </row>
    <row r="27" spans="1:8" x14ac:dyDescent="0.25">
      <c r="A27" t="s">
        <v>533</v>
      </c>
      <c r="B27" s="3">
        <f>TechWATv4!R40</f>
        <v>135.81216887143961</v>
      </c>
      <c r="C27">
        <f t="shared" si="3"/>
        <v>492.47999999999996</v>
      </c>
      <c r="D27">
        <f t="shared" si="4"/>
        <v>100</v>
      </c>
      <c r="F27" t="str">
        <f>F26</f>
        <v>C1</v>
      </c>
      <c r="G27">
        <f>G26</f>
        <v>437</v>
      </c>
      <c r="H27" s="3">
        <f>B15</f>
        <v>5.8460594252640066</v>
      </c>
    </row>
    <row r="28" spans="1:8" x14ac:dyDescent="0.25">
      <c r="A28" s="109" t="s">
        <v>534</v>
      </c>
      <c r="F28" t="str">
        <f>A15</f>
        <v>C2</v>
      </c>
      <c r="G28">
        <f>C16</f>
        <v>997</v>
      </c>
      <c r="H28" s="3">
        <f>B15</f>
        <v>5.8460594252640066</v>
      </c>
    </row>
    <row r="29" spans="1:8" x14ac:dyDescent="0.25">
      <c r="A29" s="110" t="s">
        <v>535</v>
      </c>
      <c r="B29" s="3">
        <f>TechWATv4!R41</f>
        <v>122.59300063536632</v>
      </c>
      <c r="C29">
        <f>C21</f>
        <v>227.47999999999996</v>
      </c>
      <c r="D29">
        <f t="shared" ref="D29:D31" si="5">D25</f>
        <v>227.47999999999996</v>
      </c>
      <c r="F29" t="str">
        <f>F28</f>
        <v>C2</v>
      </c>
      <c r="G29">
        <f>G28</f>
        <v>997</v>
      </c>
      <c r="H29" s="3">
        <f>B16</f>
        <v>7.4699759633267018</v>
      </c>
    </row>
    <row r="30" spans="1:8" x14ac:dyDescent="0.25">
      <c r="A30" s="110" t="s">
        <v>536</v>
      </c>
      <c r="B30" s="3">
        <f>TechWATv4!R42</f>
        <v>128.26050489410554</v>
      </c>
      <c r="C30">
        <f t="shared" ref="C30:C31" si="6">C22</f>
        <v>392.47999999999996</v>
      </c>
      <c r="D30">
        <f t="shared" si="5"/>
        <v>165</v>
      </c>
      <c r="F30" t="str">
        <f>A16</f>
        <v>C3</v>
      </c>
      <c r="G30">
        <f>C17</f>
        <v>1286.52</v>
      </c>
      <c r="H30" s="3">
        <f>H29</f>
        <v>7.4699759633267018</v>
      </c>
    </row>
    <row r="31" spans="1:8" x14ac:dyDescent="0.25">
      <c r="A31" s="110" t="s">
        <v>537</v>
      </c>
      <c r="B31" s="3">
        <f>TechWATv4!R43</f>
        <v>144.41637716271993</v>
      </c>
      <c r="C31">
        <f t="shared" si="6"/>
        <v>492.47999999999996</v>
      </c>
      <c r="D31">
        <f t="shared" si="5"/>
        <v>100</v>
      </c>
      <c r="F31" t="str">
        <f>F30</f>
        <v>C3</v>
      </c>
      <c r="G31">
        <f>G30</f>
        <v>1286.52</v>
      </c>
      <c r="H31" s="3">
        <f>B17</f>
        <v>9.8462578301284385</v>
      </c>
    </row>
    <row r="32" spans="1:8" x14ac:dyDescent="0.25">
      <c r="F32" t="str">
        <f>A17</f>
        <v>C4</v>
      </c>
      <c r="G32">
        <f>C18</f>
        <v>1917.52</v>
      </c>
      <c r="H32" s="3">
        <f>H31</f>
        <v>9.8462578301284385</v>
      </c>
    </row>
    <row r="33" spans="5:8" x14ac:dyDescent="0.25">
      <c r="F33" t="str">
        <f>F32</f>
        <v>C4</v>
      </c>
      <c r="G33">
        <f>G32</f>
        <v>1917.52</v>
      </c>
      <c r="H33" s="3">
        <f>B18</f>
        <v>11.257818892158113</v>
      </c>
    </row>
    <row r="34" spans="5:8" x14ac:dyDescent="0.25">
      <c r="F34" t="str">
        <f>A18</f>
        <v>C5</v>
      </c>
      <c r="G34">
        <f>C19</f>
        <v>2017.52</v>
      </c>
      <c r="H34" s="3">
        <f>H33</f>
        <v>11.257818892158113</v>
      </c>
    </row>
    <row r="35" spans="5:8" x14ac:dyDescent="0.25">
      <c r="F35" t="str">
        <f>F34</f>
        <v>C5</v>
      </c>
      <c r="G35">
        <f>G34</f>
        <v>2017.52</v>
      </c>
      <c r="H35" s="3">
        <f>B19</f>
        <v>15.57911055234781</v>
      </c>
    </row>
    <row r="36" spans="5:8" x14ac:dyDescent="0.25">
      <c r="F36" t="s">
        <v>525</v>
      </c>
      <c r="G36">
        <v>2500</v>
      </c>
      <c r="H36" s="3">
        <f>H35</f>
        <v>15.57911055234781</v>
      </c>
    </row>
    <row r="39" spans="5:8" x14ac:dyDescent="0.25">
      <c r="F39" t="s">
        <v>1428</v>
      </c>
    </row>
    <row r="40" spans="5:8" x14ac:dyDescent="0.25">
      <c r="F40" t="s">
        <v>526</v>
      </c>
      <c r="G40">
        <v>0</v>
      </c>
      <c r="H40">
        <f>B21</f>
        <v>4.6833307920885199</v>
      </c>
    </row>
    <row r="41" spans="5:8" x14ac:dyDescent="0.25">
      <c r="F41" t="s">
        <v>526</v>
      </c>
      <c r="G41">
        <v>227</v>
      </c>
      <c r="H41">
        <f>H40</f>
        <v>4.6833307920885199</v>
      </c>
    </row>
    <row r="42" spans="5:8" x14ac:dyDescent="0.25">
      <c r="F42" t="s">
        <v>527</v>
      </c>
      <c r="G42">
        <f>G41</f>
        <v>227</v>
      </c>
      <c r="H42">
        <f>H43</f>
        <v>10.350835050827746</v>
      </c>
    </row>
    <row r="43" spans="5:8" x14ac:dyDescent="0.25">
      <c r="F43" t="str">
        <f>F42</f>
        <v>D2</v>
      </c>
      <c r="G43">
        <f>C22</f>
        <v>392.47999999999996</v>
      </c>
      <c r="H43">
        <f>B22</f>
        <v>10.350835050827746</v>
      </c>
    </row>
    <row r="44" spans="5:8" x14ac:dyDescent="0.25">
      <c r="F44" t="str">
        <f>A23</f>
        <v>D3</v>
      </c>
      <c r="G44">
        <f>G43</f>
        <v>392.47999999999996</v>
      </c>
      <c r="H44">
        <f>B23</f>
        <v>22.431754645325885</v>
      </c>
    </row>
    <row r="45" spans="5:8" x14ac:dyDescent="0.25">
      <c r="F45" t="str">
        <f>F44</f>
        <v>D3</v>
      </c>
      <c r="G45">
        <f>400</f>
        <v>400</v>
      </c>
      <c r="H45">
        <f>H44</f>
        <v>22.431754645325885</v>
      </c>
    </row>
    <row r="46" spans="5:8" x14ac:dyDescent="0.25">
      <c r="F46" t="s">
        <v>538</v>
      </c>
    </row>
    <row r="47" spans="5:8" x14ac:dyDescent="0.25">
      <c r="F47" s="8" t="str">
        <f>A25</f>
        <v>WMIN-D1U2</v>
      </c>
      <c r="G47">
        <v>0</v>
      </c>
      <c r="H47" s="3">
        <f>B25</f>
        <v>113.98879234408601</v>
      </c>
    </row>
    <row r="48" spans="5:8" x14ac:dyDescent="0.25">
      <c r="E48" s="4"/>
      <c r="F48" s="8" t="str">
        <f>F47</f>
        <v>WMIN-D1U2</v>
      </c>
      <c r="G48" s="3">
        <f>C25</f>
        <v>227.47999999999996</v>
      </c>
      <c r="H48" s="3">
        <f>H47</f>
        <v>113.98879234408601</v>
      </c>
    </row>
    <row r="49" spans="6:8" x14ac:dyDescent="0.25">
      <c r="F49" s="8" t="str">
        <f>A26</f>
        <v>WMIN-D2U2</v>
      </c>
      <c r="G49" s="3">
        <f>G48</f>
        <v>227.47999999999996</v>
      </c>
      <c r="H49" s="3">
        <f>B26</f>
        <v>119.65629660282524</v>
      </c>
    </row>
    <row r="50" spans="6:8" x14ac:dyDescent="0.25">
      <c r="F50" s="8" t="str">
        <f>F49</f>
        <v>WMIN-D2U2</v>
      </c>
      <c r="G50">
        <f>C26</f>
        <v>392.47999999999996</v>
      </c>
      <c r="H50" s="3">
        <f>H49</f>
        <v>119.65629660282524</v>
      </c>
    </row>
    <row r="51" spans="6:8" x14ac:dyDescent="0.25">
      <c r="F51" s="8" t="str">
        <f>A27</f>
        <v>WMIN-D3U2</v>
      </c>
      <c r="G51">
        <f>G50</f>
        <v>392.47999999999996</v>
      </c>
      <c r="H51" s="3">
        <f>B27</f>
        <v>135.81216887143961</v>
      </c>
    </row>
    <row r="52" spans="6:8" x14ac:dyDescent="0.25">
      <c r="F52" s="8" t="str">
        <f>F51</f>
        <v>WMIN-D3U2</v>
      </c>
      <c r="G52">
        <f>400</f>
        <v>400</v>
      </c>
      <c r="H52" s="3">
        <f>H51</f>
        <v>135.81216887143961</v>
      </c>
    </row>
    <row r="53" spans="6:8" x14ac:dyDescent="0.25">
      <c r="F53" t="s">
        <v>539</v>
      </c>
    </row>
    <row r="54" spans="6:8" x14ac:dyDescent="0.25">
      <c r="F54" s="8" t="str">
        <f>A29</f>
        <v>WMIN-D1U3</v>
      </c>
      <c r="G54">
        <f>0</f>
        <v>0</v>
      </c>
      <c r="H54" s="3">
        <f>B29</f>
        <v>122.59300063536632</v>
      </c>
    </row>
    <row r="55" spans="6:8" x14ac:dyDescent="0.25">
      <c r="F55" s="8" t="str">
        <f>F54</f>
        <v>WMIN-D1U3</v>
      </c>
      <c r="G55">
        <f>C29</f>
        <v>227.47999999999996</v>
      </c>
      <c r="H55" s="3">
        <f>H54</f>
        <v>122.59300063536632</v>
      </c>
    </row>
    <row r="56" spans="6:8" x14ac:dyDescent="0.25">
      <c r="F56" s="8" t="str">
        <f>A30</f>
        <v>WMIN-D2U3</v>
      </c>
      <c r="G56">
        <f>G55</f>
        <v>227.47999999999996</v>
      </c>
      <c r="H56" s="3">
        <f>B30</f>
        <v>128.26050489410554</v>
      </c>
    </row>
    <row r="57" spans="6:8" x14ac:dyDescent="0.25">
      <c r="F57" s="8" t="str">
        <f>A30</f>
        <v>WMIN-D2U3</v>
      </c>
      <c r="G57">
        <f>C30</f>
        <v>392.47999999999996</v>
      </c>
      <c r="H57" s="3">
        <f>H56</f>
        <v>128.26050489410554</v>
      </c>
    </row>
    <row r="58" spans="6:8" x14ac:dyDescent="0.25">
      <c r="F58" s="8" t="str">
        <f>A31</f>
        <v>WMIN-D3U3</v>
      </c>
      <c r="G58">
        <f>G57</f>
        <v>392.47999999999996</v>
      </c>
      <c r="H58" s="3">
        <f>B31</f>
        <v>144.41637716271993</v>
      </c>
    </row>
    <row r="59" spans="6:8" x14ac:dyDescent="0.25">
      <c r="F59" s="8" t="str">
        <f>F58</f>
        <v>WMIN-D3U3</v>
      </c>
      <c r="G59">
        <v>400</v>
      </c>
      <c r="H59" s="3">
        <f>H58</f>
        <v>144.41637716271993</v>
      </c>
    </row>
    <row r="61" spans="6:8" x14ac:dyDescent="0.25">
      <c r="F61" s="8"/>
    </row>
    <row r="67" spans="1:15" ht="15.75" thickBot="1" x14ac:dyDescent="0.3">
      <c r="A67" t="s">
        <v>1813</v>
      </c>
      <c r="B67" s="62"/>
      <c r="C67" s="62"/>
      <c r="D67" s="62"/>
      <c r="E67" s="62"/>
      <c r="F67" s="62"/>
      <c r="G67" s="62"/>
      <c r="H67" s="62"/>
      <c r="I67" s="62"/>
      <c r="J67" s="62"/>
      <c r="K67" s="62"/>
      <c r="L67" s="62"/>
      <c r="M67" s="62"/>
      <c r="N67" s="62"/>
      <c r="O67" s="62"/>
    </row>
    <row r="68" spans="1:15" ht="33.75" x14ac:dyDescent="0.25">
      <c r="B68" s="767" t="s">
        <v>557</v>
      </c>
      <c r="C68" s="765" t="s">
        <v>413</v>
      </c>
      <c r="D68" s="765" t="s">
        <v>507</v>
      </c>
      <c r="E68" s="706" t="s">
        <v>1814</v>
      </c>
      <c r="F68" s="765" t="s">
        <v>559</v>
      </c>
      <c r="G68" s="765" t="s">
        <v>468</v>
      </c>
      <c r="H68" s="765" t="s">
        <v>560</v>
      </c>
      <c r="I68" s="765" t="s">
        <v>561</v>
      </c>
      <c r="J68" s="765" t="s">
        <v>1815</v>
      </c>
      <c r="K68" s="765" t="s">
        <v>563</v>
      </c>
      <c r="L68" s="765" t="s">
        <v>1816</v>
      </c>
      <c r="M68" s="765" t="s">
        <v>1817</v>
      </c>
      <c r="N68" s="765" t="s">
        <v>566</v>
      </c>
      <c r="O68" s="765" t="s">
        <v>567</v>
      </c>
    </row>
    <row r="69" spans="1:15" x14ac:dyDescent="0.25">
      <c r="B69" s="768"/>
      <c r="C69" s="766"/>
      <c r="D69" s="766"/>
      <c r="E69" s="706">
        <v>2010</v>
      </c>
      <c r="F69" s="766"/>
      <c r="G69" s="766"/>
      <c r="H69" s="766"/>
      <c r="I69" s="766"/>
      <c r="J69" s="766"/>
      <c r="K69" s="766"/>
      <c r="L69" s="766"/>
      <c r="M69" s="766"/>
      <c r="N69" s="766"/>
      <c r="O69" s="766"/>
    </row>
    <row r="70" spans="1:15" ht="15.75" thickBot="1" x14ac:dyDescent="0.3">
      <c r="B70" s="707"/>
      <c r="C70" s="708"/>
      <c r="D70" s="708"/>
      <c r="E70" s="708"/>
      <c r="F70" s="708" t="s">
        <v>1818</v>
      </c>
      <c r="G70" s="708" t="s">
        <v>1819</v>
      </c>
      <c r="H70" s="708" t="s">
        <v>1819</v>
      </c>
      <c r="I70" s="708" t="s">
        <v>1819</v>
      </c>
      <c r="J70" s="708" t="s">
        <v>1819</v>
      </c>
      <c r="K70" s="708" t="s">
        <v>1819</v>
      </c>
      <c r="L70" s="708" t="s">
        <v>1819</v>
      </c>
      <c r="M70" s="708"/>
      <c r="N70" s="708"/>
      <c r="O70" s="708"/>
    </row>
    <row r="71" spans="1:15" x14ac:dyDescent="0.25">
      <c r="B71" s="769" t="s">
        <v>58</v>
      </c>
      <c r="C71" s="709" t="s">
        <v>585</v>
      </c>
      <c r="D71" s="710" t="s">
        <v>576</v>
      </c>
      <c r="E71" s="710">
        <v>25</v>
      </c>
      <c r="F71" s="711"/>
      <c r="G71" s="710"/>
      <c r="H71" s="712"/>
      <c r="I71" s="710"/>
      <c r="J71" s="710"/>
      <c r="K71" s="710"/>
      <c r="L71" s="710"/>
      <c r="M71" s="710"/>
      <c r="N71" s="710"/>
      <c r="O71" s="710"/>
    </row>
    <row r="72" spans="1:15" x14ac:dyDescent="0.25">
      <c r="B72" s="770"/>
      <c r="C72" s="709"/>
      <c r="D72" s="710"/>
      <c r="E72" s="710"/>
      <c r="F72" s="711"/>
      <c r="G72" s="710"/>
      <c r="H72" s="712"/>
      <c r="I72" s="710"/>
      <c r="J72" s="710"/>
      <c r="K72" s="710"/>
      <c r="L72" s="710"/>
      <c r="M72" s="710"/>
      <c r="N72" s="710"/>
      <c r="O72" s="710"/>
    </row>
    <row r="73" spans="1:15" x14ac:dyDescent="0.25">
      <c r="B73" s="770"/>
      <c r="C73" s="713" t="s">
        <v>1812</v>
      </c>
      <c r="D73" s="710" t="s">
        <v>578</v>
      </c>
      <c r="E73" s="710">
        <v>29</v>
      </c>
      <c r="F73" s="711">
        <v>0.85</v>
      </c>
      <c r="G73" s="710">
        <v>1759</v>
      </c>
      <c r="H73" s="714">
        <v>4.7</v>
      </c>
      <c r="I73" s="710">
        <v>224</v>
      </c>
      <c r="J73" s="710">
        <v>13</v>
      </c>
      <c r="K73" s="710">
        <v>5</v>
      </c>
      <c r="L73" s="710">
        <v>12</v>
      </c>
      <c r="M73" s="710">
        <v>8.9</v>
      </c>
      <c r="N73" s="710">
        <v>8.89</v>
      </c>
      <c r="O73" s="711"/>
    </row>
    <row r="74" spans="1:15" x14ac:dyDescent="0.25">
      <c r="B74" s="770"/>
      <c r="C74" s="713" t="s">
        <v>1811</v>
      </c>
      <c r="D74" s="710" t="s">
        <v>579</v>
      </c>
      <c r="E74" s="710">
        <v>75</v>
      </c>
      <c r="F74" s="711">
        <v>0.8</v>
      </c>
      <c r="G74" s="710">
        <v>8174</v>
      </c>
      <c r="H74" s="714">
        <v>21.7</v>
      </c>
      <c r="I74" s="710">
        <v>1042</v>
      </c>
      <c r="J74" s="710">
        <v>61</v>
      </c>
      <c r="K74" s="710">
        <v>22</v>
      </c>
      <c r="L74" s="710">
        <v>30</v>
      </c>
      <c r="M74" s="710">
        <v>15.4</v>
      </c>
      <c r="N74" s="710">
        <v>15.4</v>
      </c>
      <c r="O74" s="711"/>
    </row>
    <row r="75" spans="1:15" x14ac:dyDescent="0.25">
      <c r="B75" s="770"/>
      <c r="C75" s="713" t="s">
        <v>580</v>
      </c>
      <c r="D75" s="710" t="s">
        <v>512</v>
      </c>
      <c r="E75" s="710">
        <v>126</v>
      </c>
      <c r="F75" s="711">
        <v>0.87</v>
      </c>
      <c r="G75" s="710">
        <v>1216</v>
      </c>
      <c r="H75" s="714">
        <v>3.2</v>
      </c>
      <c r="I75" s="710">
        <v>155</v>
      </c>
      <c r="J75" s="710">
        <v>9</v>
      </c>
      <c r="K75" s="710">
        <v>3</v>
      </c>
      <c r="L75" s="710">
        <v>55</v>
      </c>
      <c r="M75" s="710">
        <v>1.8</v>
      </c>
      <c r="N75" s="710">
        <v>10.98</v>
      </c>
      <c r="O75" s="711">
        <v>1</v>
      </c>
    </row>
    <row r="76" spans="1:15" x14ac:dyDescent="0.25">
      <c r="B76" s="770"/>
      <c r="C76" s="713" t="s">
        <v>581</v>
      </c>
      <c r="D76" s="710" t="s">
        <v>513</v>
      </c>
      <c r="E76" s="710">
        <v>90</v>
      </c>
      <c r="F76" s="711">
        <v>1</v>
      </c>
      <c r="G76" s="710">
        <v>2562</v>
      </c>
      <c r="H76" s="714">
        <v>6.8</v>
      </c>
      <c r="I76" s="710">
        <v>327</v>
      </c>
      <c r="J76" s="710">
        <v>19</v>
      </c>
      <c r="K76" s="710">
        <v>7</v>
      </c>
      <c r="L76" s="710">
        <v>45</v>
      </c>
      <c r="M76" s="710">
        <v>4.4000000000000004</v>
      </c>
      <c r="N76" s="710">
        <v>13.64</v>
      </c>
      <c r="O76" s="711">
        <v>1</v>
      </c>
    </row>
    <row r="77" spans="1:15" ht="15" customHeight="1" thickBot="1" x14ac:dyDescent="0.3">
      <c r="B77" s="771"/>
      <c r="C77" s="715" t="s">
        <v>584</v>
      </c>
      <c r="D77" s="716" t="s">
        <v>514</v>
      </c>
      <c r="E77" s="716">
        <v>100</v>
      </c>
      <c r="F77" s="717">
        <v>13.82</v>
      </c>
      <c r="G77" s="716">
        <v>20896</v>
      </c>
      <c r="H77" s="718">
        <v>55.4</v>
      </c>
      <c r="I77" s="716">
        <v>2664</v>
      </c>
      <c r="J77" s="716">
        <v>157</v>
      </c>
      <c r="K77" s="716">
        <v>55</v>
      </c>
      <c r="L77" s="716">
        <v>691</v>
      </c>
      <c r="M77" s="716">
        <v>36</v>
      </c>
      <c r="N77" s="716">
        <v>33.67</v>
      </c>
      <c r="O77" s="716">
        <v>3</v>
      </c>
    </row>
    <row r="78" spans="1:15" x14ac:dyDescent="0.25">
      <c r="B78" s="719" t="s">
        <v>1820</v>
      </c>
      <c r="C78" s="713" t="s">
        <v>585</v>
      </c>
      <c r="D78" s="710" t="s">
        <v>586</v>
      </c>
      <c r="E78" s="710">
        <v>400</v>
      </c>
      <c r="F78" s="711"/>
      <c r="G78" s="710"/>
      <c r="H78" s="710"/>
      <c r="I78" s="710"/>
      <c r="J78" s="710"/>
      <c r="K78" s="710"/>
      <c r="L78" s="710"/>
      <c r="M78" s="710"/>
      <c r="N78" s="710"/>
      <c r="O78" s="710"/>
    </row>
    <row r="79" spans="1:15" x14ac:dyDescent="0.25">
      <c r="B79" s="719" t="s">
        <v>1821</v>
      </c>
      <c r="C79" s="713" t="s">
        <v>1588</v>
      </c>
      <c r="D79" s="710" t="s">
        <v>1810</v>
      </c>
      <c r="E79" s="710">
        <v>230</v>
      </c>
      <c r="F79" s="711"/>
      <c r="G79" s="710"/>
      <c r="H79" s="710"/>
      <c r="I79" s="710"/>
      <c r="J79" s="710"/>
      <c r="K79" s="710"/>
      <c r="L79" s="710"/>
      <c r="M79" s="710"/>
      <c r="N79" s="710"/>
      <c r="O79" s="710"/>
    </row>
    <row r="80" spans="1:15" x14ac:dyDescent="0.25">
      <c r="B80" s="720"/>
      <c r="C80" s="713" t="s">
        <v>587</v>
      </c>
      <c r="D80" s="710" t="s">
        <v>515</v>
      </c>
      <c r="E80" s="710">
        <v>55</v>
      </c>
      <c r="F80" s="711">
        <v>0</v>
      </c>
      <c r="G80" s="710">
        <v>1241</v>
      </c>
      <c r="H80" s="714">
        <v>3.3</v>
      </c>
      <c r="I80" s="710">
        <v>158</v>
      </c>
      <c r="J80" s="710">
        <v>9</v>
      </c>
      <c r="K80" s="710">
        <v>3</v>
      </c>
      <c r="L80" s="710">
        <v>0</v>
      </c>
      <c r="M80" s="710">
        <v>3.1</v>
      </c>
      <c r="N80" s="710">
        <v>3.11</v>
      </c>
      <c r="O80" s="711"/>
    </row>
    <row r="81" spans="2:15" x14ac:dyDescent="0.25">
      <c r="B81" s="720"/>
      <c r="C81" s="713" t="s">
        <v>588</v>
      </c>
      <c r="D81" s="710" t="s">
        <v>516</v>
      </c>
      <c r="E81" s="710">
        <v>31</v>
      </c>
      <c r="F81" s="711">
        <v>2.2000000000000002</v>
      </c>
      <c r="G81" s="710">
        <v>1637</v>
      </c>
      <c r="H81" s="714">
        <v>4.3</v>
      </c>
      <c r="I81" s="710">
        <v>209</v>
      </c>
      <c r="J81" s="710">
        <v>12</v>
      </c>
      <c r="K81" s="710">
        <v>4</v>
      </c>
      <c r="L81" s="710">
        <v>34</v>
      </c>
      <c r="M81" s="710">
        <v>8.4</v>
      </c>
      <c r="N81" s="710">
        <v>6.37</v>
      </c>
      <c r="O81" s="711">
        <v>3</v>
      </c>
    </row>
    <row r="82" spans="2:15" x14ac:dyDescent="0.25">
      <c r="B82" s="720"/>
      <c r="C82" s="713" t="s">
        <v>589</v>
      </c>
      <c r="D82" s="710" t="s">
        <v>517</v>
      </c>
      <c r="E82" s="710">
        <v>190</v>
      </c>
      <c r="F82" s="711">
        <v>1.07</v>
      </c>
      <c r="G82" s="710">
        <v>4281</v>
      </c>
      <c r="H82" s="714">
        <v>11.3</v>
      </c>
      <c r="I82" s="710">
        <v>546</v>
      </c>
      <c r="J82" s="710">
        <v>32</v>
      </c>
      <c r="K82" s="710">
        <v>11</v>
      </c>
      <c r="L82" s="710">
        <v>102</v>
      </c>
      <c r="M82" s="710">
        <v>3.6</v>
      </c>
      <c r="N82" s="710">
        <v>8.06</v>
      </c>
      <c r="O82" s="711">
        <v>4</v>
      </c>
    </row>
    <row r="83" spans="2:15" ht="15" customHeight="1" thickBot="1" x14ac:dyDescent="0.3">
      <c r="B83" s="721"/>
      <c r="C83" s="715" t="s">
        <v>584</v>
      </c>
      <c r="D83" s="716" t="s">
        <v>518</v>
      </c>
      <c r="E83" s="716">
        <v>100</v>
      </c>
      <c r="F83" s="717">
        <v>13.82</v>
      </c>
      <c r="G83" s="716">
        <v>14210</v>
      </c>
      <c r="H83" s="718">
        <v>37.700000000000003</v>
      </c>
      <c r="I83" s="716">
        <v>1812</v>
      </c>
      <c r="J83" s="716">
        <v>107</v>
      </c>
      <c r="K83" s="716">
        <v>38</v>
      </c>
      <c r="L83" s="716">
        <v>691</v>
      </c>
      <c r="M83" s="716">
        <v>26</v>
      </c>
      <c r="N83" s="716">
        <v>24.47</v>
      </c>
      <c r="O83" s="717">
        <v>3</v>
      </c>
    </row>
    <row r="84" spans="2:15" x14ac:dyDescent="0.25">
      <c r="B84" s="719" t="s">
        <v>1820</v>
      </c>
      <c r="C84" s="713" t="s">
        <v>585</v>
      </c>
      <c r="D84" s="710" t="s">
        <v>1586</v>
      </c>
      <c r="E84" s="710">
        <v>3523</v>
      </c>
      <c r="F84" s="711"/>
      <c r="G84" s="710"/>
      <c r="H84" s="710"/>
      <c r="I84" s="710"/>
      <c r="J84" s="710"/>
      <c r="K84" s="710"/>
      <c r="L84" s="710"/>
      <c r="M84" s="710"/>
      <c r="N84" s="710"/>
      <c r="O84" s="710"/>
    </row>
    <row r="85" spans="2:15" x14ac:dyDescent="0.25">
      <c r="B85" s="719" t="s">
        <v>529</v>
      </c>
      <c r="C85" s="713" t="s">
        <v>682</v>
      </c>
      <c r="D85" s="711" t="s">
        <v>520</v>
      </c>
      <c r="E85" s="710">
        <v>437</v>
      </c>
      <c r="F85" s="711">
        <v>0</v>
      </c>
      <c r="G85" s="710">
        <v>11947</v>
      </c>
      <c r="H85" s="714">
        <v>31.7</v>
      </c>
      <c r="I85" s="710">
        <v>1523</v>
      </c>
      <c r="J85" s="710">
        <v>90</v>
      </c>
      <c r="K85" s="710">
        <v>32</v>
      </c>
      <c r="L85" s="710">
        <v>0</v>
      </c>
      <c r="M85" s="710">
        <v>3.8</v>
      </c>
      <c r="N85" s="710">
        <v>3.76</v>
      </c>
      <c r="O85" s="711">
        <v>5</v>
      </c>
    </row>
    <row r="86" spans="2:15" x14ac:dyDescent="0.25">
      <c r="B86" s="720"/>
      <c r="C86" s="713" t="s">
        <v>592</v>
      </c>
      <c r="D86" s="710" t="s">
        <v>521</v>
      </c>
      <c r="E86" s="710">
        <v>38</v>
      </c>
      <c r="F86" s="711">
        <v>2.5099999999999998</v>
      </c>
      <c r="G86" s="710">
        <v>1820</v>
      </c>
      <c r="H86" s="714">
        <v>4.8</v>
      </c>
      <c r="I86" s="710">
        <v>232</v>
      </c>
      <c r="J86" s="710">
        <v>14</v>
      </c>
      <c r="K86" s="710">
        <v>5</v>
      </c>
      <c r="L86" s="710">
        <v>48</v>
      </c>
      <c r="M86" s="710">
        <v>7.8</v>
      </c>
      <c r="N86" s="710">
        <v>5.85</v>
      </c>
      <c r="O86" s="711">
        <v>3</v>
      </c>
    </row>
    <row r="87" spans="2:15" ht="24.75" customHeight="1" x14ac:dyDescent="0.25">
      <c r="B87" s="720"/>
      <c r="C87" s="713" t="s">
        <v>593</v>
      </c>
      <c r="D87" s="711" t="s">
        <v>522</v>
      </c>
      <c r="E87" s="710">
        <v>522</v>
      </c>
      <c r="F87" s="711">
        <v>3.35</v>
      </c>
      <c r="G87" s="710">
        <v>21976</v>
      </c>
      <c r="H87" s="714">
        <v>58.2</v>
      </c>
      <c r="I87" s="710">
        <v>2802</v>
      </c>
      <c r="J87" s="710">
        <v>165</v>
      </c>
      <c r="K87" s="710">
        <v>58</v>
      </c>
      <c r="L87" s="710">
        <v>874</v>
      </c>
      <c r="M87" s="710">
        <v>7.5</v>
      </c>
      <c r="N87" s="710">
        <v>7.47</v>
      </c>
      <c r="O87" s="711"/>
    </row>
    <row r="88" spans="2:15" x14ac:dyDescent="0.25">
      <c r="B88" s="720"/>
      <c r="C88" s="722" t="s">
        <v>594</v>
      </c>
      <c r="D88" s="774" t="s">
        <v>523</v>
      </c>
      <c r="E88" s="774">
        <v>289</v>
      </c>
      <c r="F88" s="773">
        <v>1.99</v>
      </c>
      <c r="G88" s="774">
        <v>15671</v>
      </c>
      <c r="H88" s="775">
        <v>41.5</v>
      </c>
      <c r="I88" s="774">
        <v>1998</v>
      </c>
      <c r="J88" s="774">
        <v>118</v>
      </c>
      <c r="K88" s="774">
        <v>42</v>
      </c>
      <c r="L88" s="774">
        <v>287</v>
      </c>
      <c r="M88" s="774">
        <v>8.5</v>
      </c>
      <c r="N88" s="774">
        <v>8.4700000000000006</v>
      </c>
      <c r="O88" s="773"/>
    </row>
    <row r="89" spans="2:15" x14ac:dyDescent="0.25">
      <c r="B89" s="720"/>
      <c r="C89" s="722" t="s">
        <v>1809</v>
      </c>
      <c r="D89" s="774"/>
      <c r="E89" s="774"/>
      <c r="F89" s="773"/>
      <c r="G89" s="774"/>
      <c r="H89" s="775"/>
      <c r="I89" s="774"/>
      <c r="J89" s="774"/>
      <c r="K89" s="774"/>
      <c r="L89" s="774"/>
      <c r="M89" s="774"/>
      <c r="N89" s="774"/>
      <c r="O89" s="773"/>
    </row>
    <row r="90" spans="2:15" ht="15" customHeight="1" x14ac:dyDescent="0.25">
      <c r="B90" s="720"/>
      <c r="C90" s="713" t="s">
        <v>595</v>
      </c>
      <c r="D90" s="710" t="s">
        <v>524</v>
      </c>
      <c r="E90" s="710">
        <v>631</v>
      </c>
      <c r="F90" s="711">
        <v>4.38</v>
      </c>
      <c r="G90" s="710">
        <v>41568</v>
      </c>
      <c r="H90" s="714">
        <v>110.2</v>
      </c>
      <c r="I90" s="710">
        <v>5300</v>
      </c>
      <c r="J90" s="710">
        <v>312</v>
      </c>
      <c r="K90" s="710">
        <v>110</v>
      </c>
      <c r="L90" s="710">
        <v>1382</v>
      </c>
      <c r="M90" s="710">
        <v>11.3</v>
      </c>
      <c r="N90" s="710">
        <v>11.26</v>
      </c>
      <c r="O90" s="711"/>
    </row>
    <row r="91" spans="2:15" ht="15.75" thickBot="1" x14ac:dyDescent="0.3">
      <c r="B91" s="721"/>
      <c r="C91" s="715" t="s">
        <v>584</v>
      </c>
      <c r="D91" s="716" t="s">
        <v>525</v>
      </c>
      <c r="E91" s="716">
        <v>100</v>
      </c>
      <c r="F91" s="717">
        <v>13.6</v>
      </c>
      <c r="G91" s="716">
        <v>7831</v>
      </c>
      <c r="H91" s="718">
        <v>20.8</v>
      </c>
      <c r="I91" s="716">
        <v>998</v>
      </c>
      <c r="J91" s="716">
        <v>59</v>
      </c>
      <c r="K91" s="716">
        <v>21</v>
      </c>
      <c r="L91" s="716">
        <v>680</v>
      </c>
      <c r="M91" s="716">
        <v>18</v>
      </c>
      <c r="N91" s="716">
        <v>15.58</v>
      </c>
      <c r="O91" s="716">
        <v>3</v>
      </c>
    </row>
    <row r="92" spans="2:15" x14ac:dyDescent="0.25">
      <c r="B92" s="719" t="s">
        <v>1822</v>
      </c>
      <c r="C92" s="713" t="s">
        <v>585</v>
      </c>
      <c r="D92" s="710" t="s">
        <v>597</v>
      </c>
      <c r="E92" s="710">
        <v>4131</v>
      </c>
      <c r="F92" s="711"/>
      <c r="G92" s="710"/>
      <c r="H92" s="710"/>
      <c r="I92" s="710"/>
      <c r="J92" s="710"/>
      <c r="K92" s="710"/>
      <c r="L92" s="710"/>
      <c r="M92" s="710"/>
      <c r="N92" s="710"/>
      <c r="O92" s="710">
        <v>0</v>
      </c>
    </row>
    <row r="93" spans="2:15" x14ac:dyDescent="0.25">
      <c r="B93" s="719" t="s">
        <v>1823</v>
      </c>
      <c r="C93" s="713" t="s">
        <v>1809</v>
      </c>
      <c r="D93" s="710" t="s">
        <v>526</v>
      </c>
      <c r="E93" s="710">
        <v>515</v>
      </c>
      <c r="F93" s="711">
        <v>0</v>
      </c>
      <c r="G93" s="710">
        <v>2678</v>
      </c>
      <c r="H93" s="714">
        <v>7.1</v>
      </c>
      <c r="I93" s="710">
        <v>341</v>
      </c>
      <c r="J93" s="710">
        <v>20</v>
      </c>
      <c r="K93" s="710">
        <v>7</v>
      </c>
      <c r="L93" s="710">
        <v>0</v>
      </c>
      <c r="M93" s="710">
        <v>0.7</v>
      </c>
      <c r="N93" s="710">
        <v>0.72</v>
      </c>
      <c r="O93" s="710"/>
    </row>
    <row r="94" spans="2:15" x14ac:dyDescent="0.25">
      <c r="B94" s="720"/>
      <c r="C94" s="713" t="s">
        <v>1808</v>
      </c>
      <c r="D94" s="710" t="s">
        <v>527</v>
      </c>
      <c r="E94" s="710">
        <v>422</v>
      </c>
      <c r="F94" s="711">
        <v>0</v>
      </c>
      <c r="G94" s="710">
        <v>3286</v>
      </c>
      <c r="H94" s="714">
        <v>8.6999999999999993</v>
      </c>
      <c r="I94" s="710">
        <v>419</v>
      </c>
      <c r="J94" s="710">
        <v>25</v>
      </c>
      <c r="K94" s="710">
        <v>9</v>
      </c>
      <c r="L94" s="710">
        <v>0</v>
      </c>
      <c r="M94" s="710">
        <v>1.1000000000000001</v>
      </c>
      <c r="N94" s="710">
        <v>1.07</v>
      </c>
      <c r="O94" s="711"/>
    </row>
    <row r="95" spans="2:15" x14ac:dyDescent="0.25">
      <c r="B95" s="720"/>
      <c r="C95" s="713" t="s">
        <v>600</v>
      </c>
      <c r="D95" s="710" t="s">
        <v>528</v>
      </c>
      <c r="E95" s="710">
        <v>165</v>
      </c>
      <c r="F95" s="711">
        <v>5.26</v>
      </c>
      <c r="G95" s="710">
        <v>4370</v>
      </c>
      <c r="H95" s="714">
        <v>11.6</v>
      </c>
      <c r="I95" s="710">
        <v>557</v>
      </c>
      <c r="J95" s="710">
        <v>33</v>
      </c>
      <c r="K95" s="710">
        <v>12</v>
      </c>
      <c r="L95" s="710">
        <v>434</v>
      </c>
      <c r="M95" s="710">
        <v>6.3</v>
      </c>
      <c r="N95" s="710">
        <v>6.28</v>
      </c>
      <c r="O95" s="711"/>
    </row>
    <row r="96" spans="2:15" ht="15.75" thickBot="1" x14ac:dyDescent="0.3">
      <c r="B96" s="721"/>
      <c r="C96" s="715" t="s">
        <v>584</v>
      </c>
      <c r="D96" s="716" t="s">
        <v>632</v>
      </c>
      <c r="E96" s="716">
        <v>100</v>
      </c>
      <c r="F96" s="717">
        <v>14.1</v>
      </c>
      <c r="G96" s="716">
        <v>11175</v>
      </c>
      <c r="H96" s="718">
        <v>29.6</v>
      </c>
      <c r="I96" s="716">
        <v>1425</v>
      </c>
      <c r="J96" s="716">
        <v>84</v>
      </c>
      <c r="K96" s="716">
        <v>30</v>
      </c>
      <c r="L96" s="716">
        <v>705</v>
      </c>
      <c r="M96" s="716">
        <v>22</v>
      </c>
      <c r="N96" s="716">
        <v>22.43</v>
      </c>
      <c r="O96" s="716"/>
    </row>
    <row r="97" spans="2:15" x14ac:dyDescent="0.25">
      <c r="B97" s="723" t="s">
        <v>601</v>
      </c>
      <c r="C97" s="724"/>
      <c r="D97" s="725"/>
      <c r="E97" s="725"/>
      <c r="F97" s="725"/>
      <c r="G97" s="725"/>
      <c r="H97" s="725"/>
      <c r="I97" s="725"/>
      <c r="J97" s="725"/>
      <c r="K97" s="725"/>
      <c r="L97" s="725"/>
      <c r="M97" s="725"/>
      <c r="N97" s="725"/>
      <c r="O97" s="725"/>
    </row>
    <row r="98" spans="2:15" x14ac:dyDescent="0.25">
      <c r="B98" s="772" t="s">
        <v>603</v>
      </c>
      <c r="C98" s="772"/>
      <c r="D98" s="772"/>
      <c r="E98" s="772"/>
      <c r="F98" s="772"/>
      <c r="G98" s="772"/>
      <c r="H98" s="772"/>
      <c r="I98" s="725"/>
      <c r="J98" s="725"/>
      <c r="K98" s="725"/>
      <c r="L98" s="725"/>
      <c r="M98" s="725"/>
      <c r="N98" s="725"/>
      <c r="O98" s="725"/>
    </row>
    <row r="99" spans="2:15" ht="22.5" customHeight="1" x14ac:dyDescent="0.25">
      <c r="B99" s="772" t="s">
        <v>1824</v>
      </c>
      <c r="C99" s="772"/>
      <c r="D99" s="772"/>
      <c r="E99" s="772"/>
      <c r="F99" s="772"/>
      <c r="G99" s="725"/>
      <c r="H99" s="725"/>
      <c r="I99" s="725"/>
      <c r="J99" s="725"/>
      <c r="K99" s="725"/>
      <c r="L99" s="725"/>
      <c r="M99" s="725"/>
      <c r="N99" s="725"/>
      <c r="O99" s="725"/>
    </row>
    <row r="100" spans="2:15" x14ac:dyDescent="0.25">
      <c r="B100" s="772" t="s">
        <v>1825</v>
      </c>
      <c r="C100" s="772"/>
      <c r="D100" s="725"/>
      <c r="E100" s="725"/>
      <c r="F100" s="725"/>
      <c r="G100" s="725"/>
      <c r="H100" s="725"/>
      <c r="I100" s="725"/>
      <c r="J100" s="725"/>
      <c r="K100" s="725"/>
      <c r="L100" s="725"/>
      <c r="M100" s="725"/>
      <c r="N100" s="725"/>
      <c r="O100" s="725"/>
    </row>
    <row r="101" spans="2:15" x14ac:dyDescent="0.25">
      <c r="B101" s="772" t="s">
        <v>607</v>
      </c>
      <c r="C101" s="772"/>
      <c r="D101" s="772"/>
      <c r="E101" s="725"/>
      <c r="F101" s="725"/>
      <c r="G101" s="725"/>
      <c r="H101" s="725"/>
      <c r="I101" s="725"/>
      <c r="J101" s="725"/>
      <c r="K101" s="725"/>
      <c r="L101" s="725"/>
      <c r="M101" s="725"/>
      <c r="N101" s="725"/>
      <c r="O101" s="725"/>
    </row>
    <row r="102" spans="2:15" x14ac:dyDescent="0.25">
      <c r="B102" s="772" t="s">
        <v>1826</v>
      </c>
      <c r="C102" s="772"/>
      <c r="D102" s="725"/>
      <c r="E102" s="725"/>
      <c r="F102" s="725"/>
      <c r="G102" s="725"/>
      <c r="H102" s="725"/>
      <c r="I102" s="725"/>
      <c r="J102" s="725"/>
      <c r="K102" s="725"/>
      <c r="L102" s="725"/>
      <c r="M102" s="725"/>
      <c r="N102" s="725"/>
      <c r="O102" s="725"/>
    </row>
    <row r="103" spans="2:15" x14ac:dyDescent="0.25">
      <c r="B103" s="772" t="s">
        <v>1827</v>
      </c>
      <c r="C103" s="772"/>
      <c r="D103" s="725"/>
      <c r="E103" s="725"/>
      <c r="F103" s="725"/>
      <c r="G103" s="725"/>
      <c r="H103" s="725"/>
      <c r="I103" s="725"/>
      <c r="J103" s="725"/>
      <c r="K103" s="725"/>
      <c r="L103" s="725"/>
      <c r="M103" s="725"/>
      <c r="N103" s="725"/>
      <c r="O103" s="725"/>
    </row>
    <row r="104" spans="2:15" x14ac:dyDescent="0.25">
      <c r="B104" s="772" t="s">
        <v>610</v>
      </c>
      <c r="C104" s="772"/>
      <c r="D104" s="725"/>
      <c r="E104" s="725"/>
      <c r="F104" s="725"/>
      <c r="G104" s="725"/>
      <c r="H104" s="725"/>
      <c r="I104" s="725"/>
      <c r="J104" s="725"/>
      <c r="K104" s="725"/>
      <c r="L104" s="725"/>
      <c r="M104" s="725"/>
      <c r="N104" s="725"/>
      <c r="O104" s="725"/>
    </row>
    <row r="105" spans="2:15" x14ac:dyDescent="0.25">
      <c r="B105" s="772" t="s">
        <v>611</v>
      </c>
      <c r="C105" s="772"/>
      <c r="D105" s="725"/>
      <c r="E105" s="725"/>
      <c r="F105" s="725"/>
      <c r="G105" s="725"/>
      <c r="H105" s="725"/>
      <c r="I105" s="725"/>
      <c r="J105" s="725"/>
      <c r="K105" s="725"/>
      <c r="L105" s="725"/>
      <c r="M105" s="725"/>
      <c r="N105" s="725"/>
      <c r="O105" s="725"/>
    </row>
  </sheetData>
  <mergeCells count="35">
    <mergeCell ref="B101:D101"/>
    <mergeCell ref="B104:C104"/>
    <mergeCell ref="B105:C105"/>
    <mergeCell ref="B103:C103"/>
    <mergeCell ref="B100:C100"/>
    <mergeCell ref="B102:C102"/>
    <mergeCell ref="O68:O69"/>
    <mergeCell ref="G98:H98"/>
    <mergeCell ref="B99:F99"/>
    <mergeCell ref="B98:F98"/>
    <mergeCell ref="O88:O89"/>
    <mergeCell ref="D88:D89"/>
    <mergeCell ref="E88:E89"/>
    <mergeCell ref="F88:F89"/>
    <mergeCell ref="G88:G89"/>
    <mergeCell ref="H88:H89"/>
    <mergeCell ref="I88:I89"/>
    <mergeCell ref="J88:J89"/>
    <mergeCell ref="K88:K89"/>
    <mergeCell ref="L88:L89"/>
    <mergeCell ref="M88:M89"/>
    <mergeCell ref="N88:N89"/>
    <mergeCell ref="B71:B77"/>
    <mergeCell ref="H68:H69"/>
    <mergeCell ref="I68:I69"/>
    <mergeCell ref="J68:J69"/>
    <mergeCell ref="K68:K69"/>
    <mergeCell ref="G68:G69"/>
    <mergeCell ref="M68:M69"/>
    <mergeCell ref="N68:N69"/>
    <mergeCell ref="L68:L69"/>
    <mergeCell ref="B68:B69"/>
    <mergeCell ref="C68:C69"/>
    <mergeCell ref="D68:D69"/>
    <mergeCell ref="F68:F69"/>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R75"/>
  <sheetViews>
    <sheetView topLeftCell="J40" zoomScale="85" zoomScaleNormal="85" workbookViewId="0">
      <selection activeCell="AF59" sqref="AF59"/>
    </sheetView>
  </sheetViews>
  <sheetFormatPr defaultRowHeight="15" outlineLevelCol="1" x14ac:dyDescent="0.25"/>
  <cols>
    <col min="1" max="1" width="39.42578125" hidden="1" customWidth="1" outlineLevel="1"/>
    <col min="2" max="2" width="40" customWidth="1" collapsed="1"/>
    <col min="4" max="4" width="10" bestFit="1" customWidth="1"/>
    <col min="6" max="6" width="12" customWidth="1"/>
    <col min="7" max="7" width="14.7109375" customWidth="1"/>
    <col min="8" max="8" width="18.7109375" customWidth="1"/>
    <col min="9" max="9" width="14.140625" customWidth="1"/>
    <col min="10" max="10" width="16.7109375" customWidth="1"/>
    <col min="11" max="11" width="14.7109375" customWidth="1"/>
    <col min="18" max="18" width="9.85546875" customWidth="1"/>
    <col min="19" max="19" width="11.28515625" customWidth="1"/>
    <col min="20" max="20" width="13.42578125" customWidth="1"/>
    <col min="21" max="21" width="12.28515625" customWidth="1"/>
    <col min="26" max="26" width="10.7109375" customWidth="1"/>
    <col min="27" max="28" width="13.85546875" customWidth="1"/>
    <col min="29" max="29" width="10.85546875" customWidth="1"/>
    <col min="30" max="30" width="12.140625" customWidth="1"/>
    <col min="31" max="31" width="12.28515625" customWidth="1"/>
    <col min="32" max="32" width="12.7109375" customWidth="1"/>
    <col min="33" max="33" width="2.85546875" customWidth="1"/>
    <col min="34" max="34" width="15.42578125" customWidth="1"/>
    <col min="35" max="35" width="12.85546875" customWidth="1"/>
  </cols>
  <sheetData>
    <row r="1" spans="1:38" x14ac:dyDescent="0.25">
      <c r="B1" s="106" t="s">
        <v>540</v>
      </c>
      <c r="C1" s="106" t="s">
        <v>541</v>
      </c>
      <c r="D1" s="106" t="s">
        <v>20</v>
      </c>
      <c r="E1" s="106" t="s">
        <v>544</v>
      </c>
      <c r="F1" s="106" t="s">
        <v>543</v>
      </c>
      <c r="G1" s="106" t="s">
        <v>546</v>
      </c>
      <c r="H1" s="106" t="s">
        <v>547</v>
      </c>
      <c r="I1" s="106" t="s">
        <v>548</v>
      </c>
      <c r="J1" s="106" t="s">
        <v>549</v>
      </c>
      <c r="K1" s="106" t="s">
        <v>648</v>
      </c>
      <c r="L1" s="106" t="s">
        <v>550</v>
      </c>
      <c r="M1" s="106" t="s">
        <v>551</v>
      </c>
      <c r="O1" t="s">
        <v>677</v>
      </c>
      <c r="S1" t="s">
        <v>1374</v>
      </c>
    </row>
    <row r="2" spans="1:38" x14ac:dyDescent="0.25">
      <c r="B2" s="111">
        <v>0.84629981024667933</v>
      </c>
      <c r="C2" s="106" t="s">
        <v>402</v>
      </c>
      <c r="D2" s="106" t="s">
        <v>402</v>
      </c>
      <c r="E2" s="106" t="s">
        <v>402</v>
      </c>
      <c r="F2" s="106" t="s">
        <v>402</v>
      </c>
      <c r="G2" s="106" t="s">
        <v>223</v>
      </c>
      <c r="H2" s="106" t="s">
        <v>552</v>
      </c>
      <c r="I2" s="115" t="s">
        <v>1375</v>
      </c>
      <c r="J2" s="106" t="s">
        <v>287</v>
      </c>
      <c r="K2" s="106" t="s">
        <v>446</v>
      </c>
      <c r="L2" s="106" t="s">
        <v>553</v>
      </c>
      <c r="M2" s="106"/>
      <c r="O2" t="s">
        <v>676</v>
      </c>
      <c r="S2" t="s">
        <v>118</v>
      </c>
      <c r="T2" t="s">
        <v>395</v>
      </c>
    </row>
    <row r="3" spans="1:38" x14ac:dyDescent="0.25">
      <c r="C3" s="112">
        <v>0.12</v>
      </c>
      <c r="D3" s="113">
        <v>0.08</v>
      </c>
      <c r="E3" s="106">
        <v>0.3</v>
      </c>
      <c r="F3" s="114">
        <f>0.265%</f>
        <v>2.65E-3</v>
      </c>
      <c r="G3" s="106">
        <v>0.5</v>
      </c>
      <c r="H3" s="106">
        <v>13</v>
      </c>
      <c r="I3" s="106">
        <v>2</v>
      </c>
      <c r="J3" s="106">
        <v>18</v>
      </c>
      <c r="K3" s="106">
        <v>300</v>
      </c>
      <c r="L3" s="106">
        <v>35.94</v>
      </c>
      <c r="M3" s="86">
        <f>50%</f>
        <v>0.5</v>
      </c>
      <c r="O3" t="s">
        <v>492</v>
      </c>
      <c r="S3" t="s">
        <v>149</v>
      </c>
      <c r="T3" t="s">
        <v>217</v>
      </c>
    </row>
    <row r="4" spans="1:38" x14ac:dyDescent="0.25">
      <c r="C4" s="106" t="s">
        <v>542</v>
      </c>
      <c r="D4" s="106" t="s">
        <v>545</v>
      </c>
      <c r="F4" s="106" t="s">
        <v>602</v>
      </c>
      <c r="H4" s="106"/>
      <c r="I4" s="106"/>
      <c r="K4" s="106"/>
      <c r="L4" s="106"/>
      <c r="M4" s="106"/>
      <c r="N4" s="106"/>
      <c r="O4" s="106">
        <v>0.02</v>
      </c>
      <c r="S4">
        <f>units!$D$8</f>
        <v>3.5999999999999999E-3</v>
      </c>
      <c r="T4" s="399">
        <f>1/S4/1000</f>
        <v>0.27777777777777779</v>
      </c>
    </row>
    <row r="5" spans="1:38" x14ac:dyDescent="0.25">
      <c r="C5" s="106" t="s">
        <v>211</v>
      </c>
      <c r="D5" s="106" t="s">
        <v>211</v>
      </c>
      <c r="F5" s="114">
        <v>0.05</v>
      </c>
      <c r="H5" s="106"/>
      <c r="I5" s="106"/>
      <c r="K5" s="106"/>
      <c r="L5" s="106"/>
      <c r="M5" s="106"/>
      <c r="N5" s="106"/>
      <c r="O5" s="106"/>
      <c r="S5">
        <f>0.0001/S4</f>
        <v>2.777777777777778E-2</v>
      </c>
      <c r="T5" s="498"/>
    </row>
    <row r="6" spans="1:38" x14ac:dyDescent="0.25">
      <c r="C6" s="106">
        <v>25</v>
      </c>
      <c r="D6" s="106">
        <v>40</v>
      </c>
      <c r="T6" s="499"/>
    </row>
    <row r="7" spans="1:38" ht="15.75" thickBot="1" x14ac:dyDescent="0.3">
      <c r="V7" s="5" t="s">
        <v>638</v>
      </c>
      <c r="W7" s="5"/>
    </row>
    <row r="8" spans="1:38" ht="15.75" thickBot="1" x14ac:dyDescent="0.3">
      <c r="A8" s="5" t="s">
        <v>554</v>
      </c>
      <c r="B8" t="s">
        <v>555</v>
      </c>
      <c r="U8" s="117" t="s">
        <v>568</v>
      </c>
      <c r="V8" s="117" t="s">
        <v>81</v>
      </c>
      <c r="W8" s="421"/>
      <c r="AH8" s="168" t="s">
        <v>646</v>
      </c>
    </row>
    <row r="9" spans="1:38" s="9" customFormat="1" x14ac:dyDescent="0.25">
      <c r="A9" s="528" t="s">
        <v>556</v>
      </c>
      <c r="V9" s="529"/>
      <c r="W9" s="529"/>
      <c r="AE9" s="530" t="s">
        <v>640</v>
      </c>
      <c r="AF9" s="530" t="s">
        <v>641</v>
      </c>
      <c r="AJ9" s="9" t="s">
        <v>640</v>
      </c>
      <c r="AK9" s="9" t="s">
        <v>641</v>
      </c>
    </row>
    <row r="10" spans="1:38" ht="33.75" x14ac:dyDescent="0.25">
      <c r="A10" s="785" t="s">
        <v>557</v>
      </c>
      <c r="B10" s="787" t="s">
        <v>413</v>
      </c>
      <c r="C10" s="787" t="s">
        <v>507</v>
      </c>
      <c r="D10" s="787" t="s">
        <v>558</v>
      </c>
      <c r="E10" s="170" t="s">
        <v>559</v>
      </c>
      <c r="F10" s="170" t="s">
        <v>468</v>
      </c>
      <c r="G10" s="170" t="s">
        <v>560</v>
      </c>
      <c r="H10" s="170" t="s">
        <v>561</v>
      </c>
      <c r="I10" s="170" t="s">
        <v>562</v>
      </c>
      <c r="J10" s="170" t="s">
        <v>563</v>
      </c>
      <c r="K10" s="170" t="s">
        <v>564</v>
      </c>
      <c r="L10" s="170" t="s">
        <v>565</v>
      </c>
      <c r="M10" s="170" t="s">
        <v>566</v>
      </c>
      <c r="N10" s="170" t="s">
        <v>567</v>
      </c>
      <c r="R10" s="421" t="str">
        <f>M10</f>
        <v>Net UWC (R/m3/a)</v>
      </c>
      <c r="V10" t="s">
        <v>637</v>
      </c>
      <c r="Y10" t="s">
        <v>639</v>
      </c>
      <c r="Z10" t="s">
        <v>639</v>
      </c>
      <c r="AA10" t="s">
        <v>639</v>
      </c>
      <c r="AB10" t="s">
        <v>94</v>
      </c>
      <c r="AC10" s="9" t="s">
        <v>492</v>
      </c>
      <c r="AD10" s="9" t="s">
        <v>493</v>
      </c>
      <c r="AE10" s="9" t="s">
        <v>149</v>
      </c>
      <c r="AF10" s="9" t="s">
        <v>149</v>
      </c>
      <c r="AH10" s="9" t="s">
        <v>492</v>
      </c>
      <c r="AI10" s="9" t="s">
        <v>493</v>
      </c>
      <c r="AJ10" s="9" t="s">
        <v>149</v>
      </c>
      <c r="AK10" s="9" t="s">
        <v>149</v>
      </c>
    </row>
    <row r="11" spans="1:38" ht="15.75" thickBot="1" x14ac:dyDescent="0.3">
      <c r="A11" s="786"/>
      <c r="B11" s="788"/>
      <c r="C11" s="788"/>
      <c r="D11" s="788"/>
      <c r="E11" s="171" t="s">
        <v>569</v>
      </c>
      <c r="F11" s="171" t="s">
        <v>570</v>
      </c>
      <c r="G11" s="171" t="s">
        <v>570</v>
      </c>
      <c r="H11" s="171" t="s">
        <v>570</v>
      </c>
      <c r="I11" s="171" t="s">
        <v>570</v>
      </c>
      <c r="J11" s="171" t="s">
        <v>570</v>
      </c>
      <c r="K11" s="171" t="s">
        <v>570</v>
      </c>
      <c r="L11" s="171"/>
      <c r="M11" s="171"/>
      <c r="N11" s="171"/>
      <c r="R11" s="423"/>
      <c r="V11" s="477" t="s">
        <v>636</v>
      </c>
      <c r="W11" s="118" t="s">
        <v>847</v>
      </c>
      <c r="X11" s="477" t="s">
        <v>571</v>
      </c>
      <c r="Y11" s="204" t="s">
        <v>679</v>
      </c>
      <c r="Z11" s="118" t="s">
        <v>572</v>
      </c>
      <c r="AA11" s="118" t="s">
        <v>573</v>
      </c>
      <c r="AB11" s="118" t="s">
        <v>574</v>
      </c>
      <c r="AC11" s="178" t="s">
        <v>575</v>
      </c>
      <c r="AD11" s="178" t="s">
        <v>1381</v>
      </c>
      <c r="AE11" s="178" t="s">
        <v>642</v>
      </c>
      <c r="AF11" s="178" t="s">
        <v>642</v>
      </c>
      <c r="AH11" s="118" t="s">
        <v>643</v>
      </c>
      <c r="AI11" s="118" t="s">
        <v>644</v>
      </c>
      <c r="AJ11" s="118" t="s">
        <v>642</v>
      </c>
      <c r="AK11" s="118" t="s">
        <v>642</v>
      </c>
    </row>
    <row r="12" spans="1:38" s="45" customFormat="1" ht="15.75" thickBot="1" x14ac:dyDescent="0.3">
      <c r="A12" s="776" t="s">
        <v>58</v>
      </c>
      <c r="B12" s="577" t="s">
        <v>585</v>
      </c>
      <c r="C12" s="577" t="s">
        <v>576</v>
      </c>
      <c r="D12" s="577">
        <f>14.7 + 10.4</f>
        <v>25.1</v>
      </c>
      <c r="E12" s="582"/>
      <c r="F12" s="581"/>
      <c r="G12" s="583"/>
      <c r="H12" s="584"/>
      <c r="I12" s="584"/>
      <c r="J12" s="584"/>
      <c r="K12" s="585"/>
      <c r="L12" s="585"/>
      <c r="M12" s="584"/>
      <c r="N12" s="581"/>
      <c r="R12" s="422"/>
      <c r="U12" s="45" t="s">
        <v>669</v>
      </c>
      <c r="V12" s="586">
        <f>$O$4+'Existing Plants by Coal Supply'!U28/100</f>
        <v>0.59624554079696401</v>
      </c>
      <c r="W12" s="205"/>
      <c r="X12" s="400">
        <v>0.98</v>
      </c>
      <c r="Y12" s="172"/>
      <c r="Z12" s="119"/>
      <c r="AA12" s="134">
        <v>100</v>
      </c>
      <c r="AB12" s="134">
        <f t="shared" ref="AB12:AB16" si="0">D12</f>
        <v>25.1</v>
      </c>
      <c r="AC12" s="179"/>
      <c r="AD12" s="179">
        <f t="shared" ref="AD12:AD16" si="1">J12/$D12 +V12</f>
        <v>0.59624554079696401</v>
      </c>
      <c r="AE12" s="179"/>
      <c r="AF12" s="186"/>
      <c r="AH12" s="134">
        <f>AC12+AC44</f>
        <v>0</v>
      </c>
      <c r="AI12" s="173">
        <f>AD12+AD44</f>
        <v>0.59624554079696401</v>
      </c>
      <c r="AJ12" s="247">
        <f>AE12+AE44</f>
        <v>0</v>
      </c>
      <c r="AK12" s="247">
        <f>AF12+AF44</f>
        <v>0</v>
      </c>
    </row>
    <row r="13" spans="1:38" x14ac:dyDescent="0.25">
      <c r="A13" s="777"/>
      <c r="B13" s="120" t="s">
        <v>577</v>
      </c>
      <c r="C13" s="120" t="s">
        <v>578</v>
      </c>
      <c r="D13" s="120">
        <v>28.6</v>
      </c>
      <c r="E13" s="121">
        <v>0.85</v>
      </c>
      <c r="F13" s="120">
        <v>1758.6110056925997</v>
      </c>
      <c r="G13" s="190">
        <f t="shared" ref="G13:G18" si="2">$F$3*F13</f>
        <v>4.6603191650853892</v>
      </c>
      <c r="H13" s="122">
        <f t="shared" ref="H13:H18" si="3">-PMT($C$3,$C$6,$F13)</f>
        <v>224.22285013247455</v>
      </c>
      <c r="I13" s="122">
        <f t="shared" ref="I13:I18" si="4">$F13*$E$3/$D$6</f>
        <v>13.189582542694499</v>
      </c>
      <c r="J13" s="122">
        <f t="shared" ref="J13:J18" si="5">$F$3*$F13</f>
        <v>4.6603191650853892</v>
      </c>
      <c r="K13" s="123">
        <f>E13*D13*$G$3</f>
        <v>12.155000000000001</v>
      </c>
      <c r="L13" s="124">
        <f t="shared" ref="L13:L18" si="6">SUM(H13:K13)/$D13</f>
        <v>8.8890822321767278</v>
      </c>
      <c r="M13" s="125">
        <f t="shared" ref="M13:M17" si="7">L13 +P13</f>
        <v>8.8890822321767278</v>
      </c>
      <c r="N13" s="121"/>
      <c r="P13">
        <v>0</v>
      </c>
      <c r="R13" s="126">
        <f>M13+$M$52</f>
        <v>9.2806597337580055</v>
      </c>
      <c r="T13" s="2"/>
      <c r="U13" s="45" t="s">
        <v>670</v>
      </c>
      <c r="V13" s="394">
        <f>$O$4</f>
        <v>0.02</v>
      </c>
      <c r="X13" s="400">
        <v>0.98</v>
      </c>
      <c r="Y13" s="206">
        <v>2006</v>
      </c>
      <c r="Z13" s="106">
        <v>3</v>
      </c>
      <c r="AA13" s="106">
        <f>$D$6</f>
        <v>40</v>
      </c>
      <c r="AB13" s="106">
        <f t="shared" si="0"/>
        <v>28.6</v>
      </c>
      <c r="AC13" s="179">
        <f>F13/D13</f>
        <v>61.489895303937054</v>
      </c>
      <c r="AD13" s="179">
        <f>J13/$D13 +V13</f>
        <v>0.18294822255543317</v>
      </c>
      <c r="AE13" s="179">
        <f>E13*$S$4</f>
        <v>3.0599999999999998E-3</v>
      </c>
      <c r="AF13" s="180"/>
      <c r="AH13" s="243">
        <f>AC13+$AC$52</f>
        <v>63.944164753652423</v>
      </c>
      <c r="AI13" s="243">
        <f>AD13+$AD$52</f>
        <v>0.37806264380780508</v>
      </c>
      <c r="AJ13" s="244">
        <f>AE13+$AE$52</f>
        <v>3.0599999999999998E-3</v>
      </c>
      <c r="AK13" s="497"/>
    </row>
    <row r="14" spans="1:38" x14ac:dyDescent="0.25">
      <c r="A14" s="777"/>
      <c r="B14" s="120" t="s">
        <v>1631</v>
      </c>
      <c r="C14" s="120" t="s">
        <v>579</v>
      </c>
      <c r="D14" s="120">
        <v>166</v>
      </c>
      <c r="E14" s="121">
        <v>0.8</v>
      </c>
      <c r="F14" s="120">
        <v>8699.9620493358634</v>
      </c>
      <c r="G14" s="188">
        <f t="shared" si="2"/>
        <v>23.05489943074004</v>
      </c>
      <c r="H14" s="122">
        <f t="shared" si="3"/>
        <v>1109.2448986341858</v>
      </c>
      <c r="I14" s="122">
        <f t="shared" si="4"/>
        <v>65.249715370018976</v>
      </c>
      <c r="J14" s="122">
        <f t="shared" si="5"/>
        <v>23.05489943074004</v>
      </c>
      <c r="K14" s="123">
        <f t="shared" ref="K14:K18" si="8">E14*D14*$G$3</f>
        <v>66.400000000000006</v>
      </c>
      <c r="L14" s="124">
        <f t="shared" si="6"/>
        <v>7.6141536953912343</v>
      </c>
      <c r="M14" s="125">
        <f t="shared" si="7"/>
        <v>7.6141536953912343</v>
      </c>
      <c r="N14" s="121"/>
      <c r="O14">
        <f>D14+D16</f>
        <v>256</v>
      </c>
      <c r="P14">
        <v>0</v>
      </c>
      <c r="R14" s="127">
        <f>M14</f>
        <v>7.6141536953912343</v>
      </c>
      <c r="U14" s="45" t="s">
        <v>1632</v>
      </c>
      <c r="V14" s="394">
        <f>$O$4</f>
        <v>0.02</v>
      </c>
      <c r="X14" s="400">
        <v>0.98</v>
      </c>
      <c r="Y14" s="206">
        <v>2010</v>
      </c>
      <c r="Z14" s="106">
        <v>3</v>
      </c>
      <c r="AA14" s="106">
        <f>$D$6</f>
        <v>40</v>
      </c>
      <c r="AB14" s="106">
        <f t="shared" si="0"/>
        <v>166</v>
      </c>
      <c r="AC14" s="179">
        <f>F14/D14</f>
        <v>52.409409935758212</v>
      </c>
      <c r="AD14" s="179">
        <f t="shared" si="1"/>
        <v>0.15888493632975928</v>
      </c>
      <c r="AE14" s="179">
        <f>E14*$S$4</f>
        <v>2.8800000000000002E-3</v>
      </c>
      <c r="AF14" s="180"/>
      <c r="AH14" s="243">
        <f>AC14</f>
        <v>52.409409935758212</v>
      </c>
      <c r="AI14" s="243">
        <f t="shared" ref="AI14:AK14" si="9">AD14</f>
        <v>0.15888493632975928</v>
      </c>
      <c r="AJ14" s="244">
        <f t="shared" si="9"/>
        <v>2.8800000000000002E-3</v>
      </c>
      <c r="AK14" s="243">
        <f t="shared" si="9"/>
        <v>0</v>
      </c>
      <c r="AL14">
        <f>D14-D15</f>
        <v>40</v>
      </c>
    </row>
    <row r="15" spans="1:38" x14ac:dyDescent="0.25">
      <c r="A15" s="777"/>
      <c r="B15" s="120" t="s">
        <v>580</v>
      </c>
      <c r="C15" s="120" t="s">
        <v>512</v>
      </c>
      <c r="D15" s="120">
        <v>126</v>
      </c>
      <c r="E15" s="121">
        <v>0.87</v>
      </c>
      <c r="F15" s="120">
        <v>1216.1328273244783</v>
      </c>
      <c r="G15" s="188">
        <f t="shared" si="2"/>
        <v>3.2227519924098673</v>
      </c>
      <c r="H15" s="122">
        <f t="shared" si="3"/>
        <v>155.05689876822231</v>
      </c>
      <c r="I15" s="122">
        <f t="shared" si="4"/>
        <v>9.1209962049335864</v>
      </c>
      <c r="J15" s="122">
        <f t="shared" si="5"/>
        <v>3.2227519924098673</v>
      </c>
      <c r="K15" s="123">
        <f t="shared" si="8"/>
        <v>54.81</v>
      </c>
      <c r="L15" s="124">
        <f t="shared" si="6"/>
        <v>1.7635765632187759</v>
      </c>
      <c r="M15" s="125">
        <f t="shared" si="7"/>
        <v>10.983576563218776</v>
      </c>
      <c r="N15" s="121">
        <v>1</v>
      </c>
      <c r="P15">
        <v>9.2200000000000006</v>
      </c>
      <c r="R15" s="127">
        <f>M15</f>
        <v>10.983576563218776</v>
      </c>
      <c r="U15" s="45" t="s">
        <v>671</v>
      </c>
      <c r="V15" s="394">
        <f>$O$4</f>
        <v>0.02</v>
      </c>
      <c r="X15" s="400">
        <v>0.9</v>
      </c>
      <c r="Y15" s="169">
        <v>2010</v>
      </c>
      <c r="Z15" s="106">
        <v>9</v>
      </c>
      <c r="AA15" s="106">
        <f>$D$6</f>
        <v>40</v>
      </c>
      <c r="AB15" s="106">
        <f t="shared" si="0"/>
        <v>126</v>
      </c>
      <c r="AC15" s="179">
        <f>F15/D15</f>
        <v>9.6518478359085584</v>
      </c>
      <c r="AD15" s="179">
        <f t="shared" si="1"/>
        <v>4.5577396765157679E-2</v>
      </c>
      <c r="AE15" s="179">
        <f>E15*$S$4</f>
        <v>3.1319999999999998E-3</v>
      </c>
      <c r="AF15" s="180"/>
      <c r="AH15" s="243">
        <f t="shared" ref="AH15:AH18" si="10">AC15</f>
        <v>9.6518478359085584</v>
      </c>
      <c r="AI15" s="243">
        <f t="shared" ref="AI15:AI18" si="11">AD15</f>
        <v>4.5577396765157679E-2</v>
      </c>
      <c r="AJ15" s="244">
        <f t="shared" ref="AJ15:AJ18" si="12">AE15</f>
        <v>3.1319999999999998E-3</v>
      </c>
      <c r="AK15" s="497">
        <f t="shared" ref="AK15:AK18" si="13">AF15</f>
        <v>0</v>
      </c>
    </row>
    <row r="16" spans="1:38" x14ac:dyDescent="0.25">
      <c r="A16" s="777"/>
      <c r="B16" s="534" t="s">
        <v>581</v>
      </c>
      <c r="C16" s="534" t="s">
        <v>513</v>
      </c>
      <c r="D16" s="534">
        <v>90</v>
      </c>
      <c r="E16" s="121">
        <v>1</v>
      </c>
      <c r="F16" s="120">
        <v>2561.7495256166985</v>
      </c>
      <c r="G16" s="188">
        <f t="shared" si="2"/>
        <v>6.7886362428842508</v>
      </c>
      <c r="H16" s="122">
        <f t="shared" si="3"/>
        <v>326.62298717564994</v>
      </c>
      <c r="I16" s="122">
        <f t="shared" si="4"/>
        <v>19.213121442125239</v>
      </c>
      <c r="J16" s="122">
        <f t="shared" si="5"/>
        <v>6.7886362428842508</v>
      </c>
      <c r="K16" s="123">
        <f t="shared" si="8"/>
        <v>45</v>
      </c>
      <c r="L16" s="124">
        <f t="shared" si="6"/>
        <v>4.4180527206739937</v>
      </c>
      <c r="M16" s="125">
        <f t="shared" si="7"/>
        <v>13.638052720673993</v>
      </c>
      <c r="N16" s="121">
        <v>1</v>
      </c>
      <c r="P16">
        <v>9.2199999999999989</v>
      </c>
      <c r="R16" s="127">
        <f>M16+$M$52</f>
        <v>14.029630222255271</v>
      </c>
      <c r="U16" s="45" t="s">
        <v>672</v>
      </c>
      <c r="V16" s="394">
        <f>V15</f>
        <v>0.02</v>
      </c>
      <c r="X16" s="400">
        <v>0.9</v>
      </c>
      <c r="Y16" s="169">
        <v>2010</v>
      </c>
      <c r="Z16" s="106">
        <v>10</v>
      </c>
      <c r="AA16" s="106">
        <f>$D$6</f>
        <v>40</v>
      </c>
      <c r="AB16" s="106">
        <f t="shared" si="0"/>
        <v>90</v>
      </c>
      <c r="AC16" s="179">
        <f>F16/D16</f>
        <v>28.463883617963315</v>
      </c>
      <c r="AD16" s="179">
        <f t="shared" si="1"/>
        <v>9.5429291587602785E-2</v>
      </c>
      <c r="AE16" s="179">
        <f>E16*$S$4</f>
        <v>3.5999999999999999E-3</v>
      </c>
      <c r="AF16" s="180"/>
      <c r="AH16" s="243">
        <f t="shared" si="10"/>
        <v>28.463883617963315</v>
      </c>
      <c r="AI16" s="243">
        <f t="shared" si="11"/>
        <v>9.5429291587602785E-2</v>
      </c>
      <c r="AJ16" s="244">
        <f t="shared" si="12"/>
        <v>3.5999999999999999E-3</v>
      </c>
      <c r="AK16" s="497">
        <f t="shared" si="13"/>
        <v>0</v>
      </c>
    </row>
    <row r="17" spans="1:43" x14ac:dyDescent="0.25">
      <c r="A17" s="777"/>
      <c r="B17" s="120" t="s">
        <v>582</v>
      </c>
      <c r="C17" s="120" t="s">
        <v>583</v>
      </c>
      <c r="D17" s="120">
        <v>100</v>
      </c>
      <c r="E17" s="121">
        <v>2.44</v>
      </c>
      <c r="F17" s="120">
        <v>14469.187855787477</v>
      </c>
      <c r="G17" s="188">
        <f t="shared" si="2"/>
        <v>38.343347817836815</v>
      </c>
      <c r="H17" s="122">
        <f t="shared" si="3"/>
        <v>1844.8210147809998</v>
      </c>
      <c r="I17" s="122">
        <f t="shared" si="4"/>
        <v>108.51890891840608</v>
      </c>
      <c r="J17" s="122">
        <f t="shared" si="5"/>
        <v>38.343347817836815</v>
      </c>
      <c r="K17" s="123">
        <f t="shared" si="8"/>
        <v>122</v>
      </c>
      <c r="L17" s="124">
        <f t="shared" si="6"/>
        <v>21.136832715172428</v>
      </c>
      <c r="M17" s="125">
        <f t="shared" si="7"/>
        <v>26.136832715172428</v>
      </c>
      <c r="N17" s="121">
        <v>2</v>
      </c>
      <c r="P17">
        <v>5</v>
      </c>
      <c r="R17" s="127">
        <f t="shared" ref="R17" si="14">M17+$M$52</f>
        <v>26.528410216753706</v>
      </c>
      <c r="U17" s="45" t="s">
        <v>673</v>
      </c>
      <c r="V17" s="587"/>
      <c r="W17" s="59"/>
      <c r="X17" s="478"/>
      <c r="Y17" s="144"/>
      <c r="Z17" s="144"/>
      <c r="AA17" s="144"/>
      <c r="AB17" s="144"/>
      <c r="AC17" s="179"/>
      <c r="AD17" s="179"/>
      <c r="AE17" s="179"/>
      <c r="AF17" s="207"/>
      <c r="AH17" s="144">
        <f t="shared" si="10"/>
        <v>0</v>
      </c>
      <c r="AI17" s="144">
        <f t="shared" si="11"/>
        <v>0</v>
      </c>
      <c r="AJ17" s="144">
        <f t="shared" si="12"/>
        <v>0</v>
      </c>
      <c r="AK17" s="144">
        <f t="shared" si="13"/>
        <v>0</v>
      </c>
    </row>
    <row r="18" spans="1:43" ht="15.75" thickBot="1" x14ac:dyDescent="0.3">
      <c r="A18" s="778"/>
      <c r="B18" s="128" t="s">
        <v>584</v>
      </c>
      <c r="C18" s="128" t="s">
        <v>514</v>
      </c>
      <c r="D18" s="128">
        <v>100</v>
      </c>
      <c r="E18" s="129">
        <v>13.82</v>
      </c>
      <c r="F18" s="128">
        <v>20895.988614800761</v>
      </c>
      <c r="G18" s="189">
        <f t="shared" si="2"/>
        <v>55.374369829222019</v>
      </c>
      <c r="H18" s="130">
        <f t="shared" si="3"/>
        <v>2664.2379175269152</v>
      </c>
      <c r="I18" s="130">
        <f t="shared" si="4"/>
        <v>156.71991461100569</v>
      </c>
      <c r="J18" s="130">
        <f t="shared" si="5"/>
        <v>55.374369829222019</v>
      </c>
      <c r="K18" s="131">
        <f t="shared" si="8"/>
        <v>691</v>
      </c>
      <c r="L18" s="131">
        <f t="shared" si="6"/>
        <v>35.673322019671424</v>
      </c>
      <c r="M18" s="130">
        <f>L18 +P18</f>
        <v>33.673322019671424</v>
      </c>
      <c r="N18" s="128">
        <v>3</v>
      </c>
      <c r="P18">
        <v>-2</v>
      </c>
      <c r="R18" s="141">
        <f>M18</f>
        <v>33.673322019671424</v>
      </c>
      <c r="U18" s="45" t="s">
        <v>674</v>
      </c>
      <c r="V18" s="479">
        <v>0</v>
      </c>
      <c r="W18" s="208"/>
      <c r="X18" s="479">
        <v>1</v>
      </c>
      <c r="Y18" s="208">
        <v>2020</v>
      </c>
      <c r="Z18" s="208">
        <v>3</v>
      </c>
      <c r="AA18" s="208">
        <f>$D$6</f>
        <v>40</v>
      </c>
      <c r="AB18" s="208"/>
      <c r="AC18" s="209">
        <f>F18/D18</f>
        <v>208.9598861480076</v>
      </c>
      <c r="AD18" s="209">
        <f>J18/$D18 +V18</f>
        <v>0.55374369829222014</v>
      </c>
      <c r="AE18" s="239">
        <f>E18*$S$4</f>
        <v>4.9751999999999998E-2</v>
      </c>
      <c r="AF18" s="209"/>
      <c r="AH18" s="245">
        <f t="shared" si="10"/>
        <v>208.9598861480076</v>
      </c>
      <c r="AI18" s="245">
        <f t="shared" si="11"/>
        <v>0.55374369829222014</v>
      </c>
      <c r="AJ18" s="246">
        <f t="shared" si="12"/>
        <v>4.9751999999999998E-2</v>
      </c>
      <c r="AK18" s="245">
        <f t="shared" si="13"/>
        <v>0</v>
      </c>
    </row>
    <row r="19" spans="1:43" s="45" customFormat="1" x14ac:dyDescent="0.25">
      <c r="A19" s="776" t="s">
        <v>519</v>
      </c>
      <c r="B19" s="577" t="s">
        <v>585</v>
      </c>
      <c r="C19" s="577" t="s">
        <v>586</v>
      </c>
      <c r="D19" s="577">
        <f>630 - 230</f>
        <v>400</v>
      </c>
      <c r="E19" s="568"/>
      <c r="F19" s="577"/>
      <c r="G19" s="578"/>
      <c r="H19" s="579"/>
      <c r="I19" s="579"/>
      <c r="J19" s="579"/>
      <c r="K19" s="580"/>
      <c r="L19" s="580"/>
      <c r="M19" s="579"/>
      <c r="N19" s="577"/>
      <c r="R19" s="133"/>
      <c r="U19" s="45" t="s">
        <v>651</v>
      </c>
      <c r="V19" s="588">
        <f>'Existing Plants by Coal Supply'!U49/100 + $O$4</f>
        <v>1.4202713666517779</v>
      </c>
      <c r="W19" s="134"/>
      <c r="X19" s="400">
        <v>0.95</v>
      </c>
      <c r="Y19" s="172"/>
      <c r="Z19" s="134"/>
      <c r="AA19" s="134"/>
      <c r="AC19" s="181"/>
      <c r="AD19" s="182">
        <f>J19/$D19 +V19</f>
        <v>1.4202713666517779</v>
      </c>
      <c r="AE19" s="240"/>
      <c r="AF19" s="180"/>
      <c r="AH19" s="134"/>
      <c r="AI19" s="134"/>
      <c r="AJ19" s="247"/>
      <c r="AK19" s="247"/>
    </row>
    <row r="20" spans="1:43" s="45" customFormat="1" ht="15.75" thickBot="1" x14ac:dyDescent="0.3">
      <c r="A20" s="777"/>
      <c r="B20" s="247" t="s">
        <v>1588</v>
      </c>
      <c r="C20" s="577" t="s">
        <v>1589</v>
      </c>
      <c r="D20" s="577">
        <v>230</v>
      </c>
      <c r="E20" s="568"/>
      <c r="F20" s="577"/>
      <c r="G20" s="578"/>
      <c r="H20" s="579"/>
      <c r="I20" s="579"/>
      <c r="J20" s="579"/>
      <c r="K20" s="580"/>
      <c r="L20" s="580"/>
      <c r="M20" s="579"/>
      <c r="N20" s="577"/>
      <c r="R20" s="133"/>
      <c r="U20" s="45" t="s">
        <v>1587</v>
      </c>
      <c r="V20" s="588">
        <f>V19-V26</f>
        <v>0.98126833059864704</v>
      </c>
      <c r="W20" s="134"/>
      <c r="X20" s="400"/>
      <c r="Y20" s="172"/>
      <c r="Z20" s="134"/>
      <c r="AA20" s="134"/>
      <c r="AC20" s="181"/>
      <c r="AD20" s="182">
        <f t="shared" ref="AD20:AD37" si="15">J20/$D20 +V20</f>
        <v>0.98126833059864704</v>
      </c>
      <c r="AE20" s="240"/>
      <c r="AF20" s="180"/>
      <c r="AH20" s="134"/>
      <c r="AI20" s="134"/>
      <c r="AJ20" s="247"/>
      <c r="AK20" s="247"/>
    </row>
    <row r="21" spans="1:43" x14ac:dyDescent="0.25">
      <c r="A21" s="777"/>
      <c r="B21" s="135" t="s">
        <v>587</v>
      </c>
      <c r="C21" s="135" t="s">
        <v>515</v>
      </c>
      <c r="D21" s="135">
        <v>55</v>
      </c>
      <c r="E21" s="136">
        <v>0</v>
      </c>
      <c r="F21" s="135">
        <v>1240.6755218216319</v>
      </c>
      <c r="G21" s="190">
        <f>$F$3*F21</f>
        <v>3.2877901328273245</v>
      </c>
      <c r="H21" s="122">
        <f>-PMT($C$3,$C$6,$F21)</f>
        <v>158.18609157565336</v>
      </c>
      <c r="I21" s="122">
        <f>$F21*$E$3/$D$6</f>
        <v>9.3050664136622387</v>
      </c>
      <c r="J21" s="122">
        <f>$F$3*$F21</f>
        <v>3.2877901328273245</v>
      </c>
      <c r="K21" s="137">
        <f t="shared" ref="K21:K25" si="16">E21*D21*$G$3</f>
        <v>0</v>
      </c>
      <c r="L21" s="124">
        <f>SUM(H21:K21)/$D21</f>
        <v>3.1050717840389623</v>
      </c>
      <c r="M21" s="125">
        <f>L21 +P21</f>
        <v>3.1050717840389623</v>
      </c>
      <c r="N21" s="121"/>
      <c r="P21">
        <v>0</v>
      </c>
      <c r="R21" s="126">
        <f>M21+M53</f>
        <v>17.542199494348893</v>
      </c>
      <c r="U21" s="45" t="s">
        <v>652</v>
      </c>
      <c r="V21" s="400">
        <f>$O$4</f>
        <v>0.02</v>
      </c>
      <c r="W21" s="520"/>
      <c r="X21" s="400">
        <v>0.95</v>
      </c>
      <c r="Y21" s="206">
        <v>2010</v>
      </c>
      <c r="Z21" s="106">
        <v>3</v>
      </c>
      <c r="AA21" s="106">
        <f>$D$6</f>
        <v>40</v>
      </c>
      <c r="AB21" s="106">
        <f>D21</f>
        <v>55</v>
      </c>
      <c r="AC21" s="182">
        <f>F21/D21</f>
        <v>22.557736760393308</v>
      </c>
      <c r="AD21" s="182">
        <f t="shared" si="15"/>
        <v>7.9778002415042265E-2</v>
      </c>
      <c r="AE21" s="241">
        <f>E21*$S$4</f>
        <v>0</v>
      </c>
      <c r="AF21" s="180"/>
      <c r="AH21" s="243">
        <f>AC21+AC53</f>
        <v>111.10890690587085</v>
      </c>
      <c r="AI21" s="243">
        <f>AD21+AD53</f>
        <v>0.31443860330055773</v>
      </c>
      <c r="AJ21" s="244">
        <f t="shared" ref="AH21:AJ23" si="17">AE21+AE53</f>
        <v>1.4759999999999999E-3</v>
      </c>
      <c r="AK21" s="224"/>
    </row>
    <row r="22" spans="1:43" x14ac:dyDescent="0.25">
      <c r="A22" s="777"/>
      <c r="B22" s="135" t="s">
        <v>588</v>
      </c>
      <c r="C22" s="135" t="s">
        <v>516</v>
      </c>
      <c r="D22" s="135">
        <v>31</v>
      </c>
      <c r="E22" s="138">
        <v>2.2000000000000002</v>
      </c>
      <c r="F22" s="135">
        <v>1636.7438330170778</v>
      </c>
      <c r="G22" s="190">
        <f>$F$3*F22</f>
        <v>4.337371157495256</v>
      </c>
      <c r="H22" s="122">
        <f>-PMT($C$3,$C$6,$F22)</f>
        <v>208.68478929557546</v>
      </c>
      <c r="I22" s="122">
        <f>$F22*$E$3/$D$6</f>
        <v>12.275578747628083</v>
      </c>
      <c r="J22" s="122">
        <f>$F$3*$F22</f>
        <v>4.337371157495256</v>
      </c>
      <c r="K22" s="123">
        <f t="shared" si="16"/>
        <v>34.1</v>
      </c>
      <c r="L22" s="124">
        <f>SUM(H22:K22)/$D22</f>
        <v>8.3676690064741557</v>
      </c>
      <c r="M22" s="125">
        <f>L22 +P22</f>
        <v>6.3676690064741557</v>
      </c>
      <c r="N22" s="121">
        <v>3</v>
      </c>
      <c r="P22">
        <v>-2</v>
      </c>
      <c r="R22" s="127">
        <f>M22+M54</f>
        <v>8.7432982632736493</v>
      </c>
      <c r="U22" s="45" t="s">
        <v>653</v>
      </c>
      <c r="V22" s="400">
        <f>$O$4</f>
        <v>0.02</v>
      </c>
      <c r="W22" s="520"/>
      <c r="X22" s="400">
        <v>0.95</v>
      </c>
      <c r="Y22" s="206">
        <v>2010</v>
      </c>
      <c r="Z22" s="106">
        <v>2.5</v>
      </c>
      <c r="AA22" s="106">
        <f>$D$6</f>
        <v>40</v>
      </c>
      <c r="AB22" s="106">
        <f>D22</f>
        <v>31</v>
      </c>
      <c r="AC22" s="182">
        <f>F22/D22</f>
        <v>52.798188161841217</v>
      </c>
      <c r="AD22" s="182">
        <f t="shared" si="15"/>
        <v>0.15991519862887921</v>
      </c>
      <c r="AE22" s="241">
        <f>E22*$S$4</f>
        <v>7.92E-3</v>
      </c>
      <c r="AF22" s="180"/>
      <c r="AH22" s="243">
        <f t="shared" si="17"/>
        <v>66.324880128950639</v>
      </c>
      <c r="AI22" s="243">
        <f>AD22+AD54</f>
        <v>0.19576093234171918</v>
      </c>
      <c r="AJ22" s="244">
        <f t="shared" si="17"/>
        <v>9.3959999999999998E-3</v>
      </c>
      <c r="AK22" s="224"/>
    </row>
    <row r="23" spans="1:43" x14ac:dyDescent="0.25">
      <c r="A23" s="777"/>
      <c r="B23" s="535" t="s">
        <v>589</v>
      </c>
      <c r="C23" s="535" t="s">
        <v>517</v>
      </c>
      <c r="D23" s="535">
        <v>190</v>
      </c>
      <c r="E23" s="121">
        <v>1.07</v>
      </c>
      <c r="F23" s="120">
        <v>4280.5844402277044</v>
      </c>
      <c r="G23" s="188">
        <f>$F$3*F23</f>
        <v>11.343548766603417</v>
      </c>
      <c r="H23" s="122">
        <f>-PMT($C$3,$C$6,$F23)</f>
        <v>545.77438689608107</v>
      </c>
      <c r="I23" s="122">
        <f>$F23*$E$3/$D$6</f>
        <v>32.104383301707784</v>
      </c>
      <c r="J23" s="122">
        <f>$F$3*$F23</f>
        <v>11.343548766603417</v>
      </c>
      <c r="K23" s="123">
        <f t="shared" si="16"/>
        <v>101.65</v>
      </c>
      <c r="L23" s="124">
        <f>SUM(H23:K23)/$D23</f>
        <v>3.6361700998125905</v>
      </c>
      <c r="M23" s="125">
        <f>L23 +P23</f>
        <v>8.05617009981259</v>
      </c>
      <c r="N23" s="121">
        <v>4</v>
      </c>
      <c r="P23">
        <v>4.42</v>
      </c>
      <c r="R23" s="127">
        <f>M23+M55</f>
        <v>10.431799356612084</v>
      </c>
      <c r="U23" s="45" t="s">
        <v>654</v>
      </c>
      <c r="V23" s="400">
        <f>$O$4</f>
        <v>0.02</v>
      </c>
      <c r="W23" s="520"/>
      <c r="X23" s="400">
        <v>0.95</v>
      </c>
      <c r="Y23" s="206">
        <v>2010</v>
      </c>
      <c r="Z23" s="106">
        <v>4</v>
      </c>
      <c r="AA23" s="106">
        <f>$D$6</f>
        <v>40</v>
      </c>
      <c r="AB23" s="106">
        <f>D23</f>
        <v>190</v>
      </c>
      <c r="AC23" s="182">
        <f>F23/D23</f>
        <v>22.529391790672129</v>
      </c>
      <c r="AD23" s="182">
        <f t="shared" si="15"/>
        <v>7.9702888245281142E-2</v>
      </c>
      <c r="AE23" s="241">
        <f>E23*$S$4</f>
        <v>3.852E-3</v>
      </c>
      <c r="AF23" s="180"/>
      <c r="AH23" s="243">
        <f t="shared" si="17"/>
        <v>36.056083757781551</v>
      </c>
      <c r="AI23" s="243">
        <f t="shared" si="17"/>
        <v>0.11554862195812111</v>
      </c>
      <c r="AJ23" s="244">
        <f t="shared" si="17"/>
        <v>5.3279999999999994E-3</v>
      </c>
      <c r="AK23" s="224"/>
    </row>
    <row r="24" spans="1:43" x14ac:dyDescent="0.25">
      <c r="A24" s="777"/>
      <c r="B24" s="120" t="s">
        <v>590</v>
      </c>
      <c r="C24" s="120" t="s">
        <v>591</v>
      </c>
      <c r="D24" s="120">
        <v>95</v>
      </c>
      <c r="E24" s="121">
        <v>3.6</v>
      </c>
      <c r="F24" s="120">
        <v>18552.584440227703</v>
      </c>
      <c r="G24" s="188">
        <f>$F$3*F24</f>
        <v>49.164348766603418</v>
      </c>
      <c r="H24" s="122">
        <f>-PMT($C$3,$C$6,$F24)</f>
        <v>2365.4539560173757</v>
      </c>
      <c r="I24" s="122">
        <f>$F24*$E$3/$D$6</f>
        <v>139.14438330170776</v>
      </c>
      <c r="J24" s="122">
        <f>$F$3*$F24</f>
        <v>49.164348766603418</v>
      </c>
      <c r="K24" s="123">
        <f t="shared" si="16"/>
        <v>171</v>
      </c>
      <c r="L24" s="124">
        <f>SUM(H24:K24)/$D24</f>
        <v>28.681712506165127</v>
      </c>
      <c r="M24" s="125">
        <f>L24 +P24</f>
        <v>33.681712506165127</v>
      </c>
      <c r="N24" s="121">
        <v>2</v>
      </c>
      <c r="P24">
        <v>5</v>
      </c>
      <c r="R24" s="127">
        <f>M24+M56</f>
        <v>51.342592076057599</v>
      </c>
      <c r="U24" s="45" t="s">
        <v>655</v>
      </c>
      <c r="V24" s="480"/>
      <c r="W24" s="139"/>
      <c r="X24" s="480"/>
      <c r="Y24" s="139"/>
      <c r="Z24" s="139"/>
      <c r="AA24" s="139"/>
      <c r="AB24" s="139"/>
      <c r="AC24" s="183"/>
      <c r="AD24" s="183">
        <f t="shared" si="15"/>
        <v>0.51751946070108856</v>
      </c>
      <c r="AE24" s="242"/>
      <c r="AF24" s="184"/>
      <c r="AG24" s="140"/>
      <c r="AH24" s="248"/>
      <c r="AI24" s="248"/>
      <c r="AJ24" s="249"/>
      <c r="AK24" s="249"/>
    </row>
    <row r="25" spans="1:43" ht="15.75" thickBot="1" x14ac:dyDescent="0.3">
      <c r="A25" s="778"/>
      <c r="B25" s="128" t="s">
        <v>584</v>
      </c>
      <c r="C25" s="128" t="s">
        <v>518</v>
      </c>
      <c r="D25" s="128">
        <v>100</v>
      </c>
      <c r="E25" s="129">
        <v>13.82</v>
      </c>
      <c r="F25" s="128">
        <v>14210.220113851992</v>
      </c>
      <c r="G25" s="189">
        <f>$F$3*F25</f>
        <v>37.657083301707779</v>
      </c>
      <c r="H25" s="130">
        <f>-PMT($C$3,$C$6,$F25)</f>
        <v>1811.8026355025891</v>
      </c>
      <c r="I25" s="130">
        <f>$F25*$E$3/$D$6</f>
        <v>106.57665085388994</v>
      </c>
      <c r="J25" s="130">
        <f>$F$3*$F25</f>
        <v>37.657083301707779</v>
      </c>
      <c r="K25" s="131">
        <f t="shared" si="16"/>
        <v>691</v>
      </c>
      <c r="L25" s="131">
        <f>SUM(H25:K25)/$D25</f>
        <v>26.47036369658187</v>
      </c>
      <c r="M25" s="130">
        <f>L25 +P25</f>
        <v>24.47036369658187</v>
      </c>
      <c r="N25" s="129">
        <v>3</v>
      </c>
      <c r="P25">
        <v>-2</v>
      </c>
      <c r="R25" s="141">
        <f>M25</f>
        <v>24.47036369658187</v>
      </c>
      <c r="U25" s="45" t="s">
        <v>656</v>
      </c>
      <c r="V25" s="479">
        <v>0</v>
      </c>
      <c r="W25" s="208"/>
      <c r="X25" s="479">
        <v>1</v>
      </c>
      <c r="Y25" s="208">
        <v>2020</v>
      </c>
      <c r="Z25" s="208">
        <v>3</v>
      </c>
      <c r="AA25" s="208">
        <f>$D$6</f>
        <v>40</v>
      </c>
      <c r="AB25" s="208"/>
      <c r="AC25" s="209">
        <f>F25/D25</f>
        <v>142.10220113851992</v>
      </c>
      <c r="AD25" s="209">
        <f t="shared" si="15"/>
        <v>0.37657083301707778</v>
      </c>
      <c r="AE25" s="239">
        <f>E25*$S$4</f>
        <v>4.9751999999999998E-2</v>
      </c>
      <c r="AF25" s="209"/>
      <c r="AH25" s="245">
        <f>AC25</f>
        <v>142.10220113851992</v>
      </c>
      <c r="AI25" s="245">
        <f>AD25</f>
        <v>0.37657083301707778</v>
      </c>
      <c r="AJ25" s="246">
        <f>AE25+AE57</f>
        <v>5.0903999999999998E-2</v>
      </c>
      <c r="AK25" s="245"/>
    </row>
    <row r="26" spans="1:43" ht="15.75" thickBot="1" x14ac:dyDescent="0.3">
      <c r="A26" s="776" t="s">
        <v>529</v>
      </c>
      <c r="B26" s="577" t="s">
        <v>585</v>
      </c>
      <c r="C26" s="577" t="s">
        <v>1586</v>
      </c>
      <c r="D26" s="579">
        <f>2877 + 200</f>
        <v>3077</v>
      </c>
      <c r="E26" s="568"/>
      <c r="F26" s="577"/>
      <c r="G26" s="578"/>
      <c r="H26" s="579"/>
      <c r="I26" s="579"/>
      <c r="J26" s="579"/>
      <c r="K26" s="580"/>
      <c r="L26" s="580"/>
      <c r="M26" s="579"/>
      <c r="N26" s="577"/>
      <c r="R26" s="191"/>
      <c r="U26" s="45" t="s">
        <v>668</v>
      </c>
      <c r="V26" s="588">
        <f>'Existing Plants by Coal Supply'!U55/100 +$O$4</f>
        <v>0.43900303605313085</v>
      </c>
      <c r="W26" s="174"/>
      <c r="X26" s="400">
        <v>0.95</v>
      </c>
      <c r="Y26" s="172"/>
      <c r="Z26" s="144"/>
      <c r="AA26" s="144"/>
      <c r="AB26" s="144">
        <f t="shared" ref="AB26:AB31" si="18">D26</f>
        <v>3077</v>
      </c>
      <c r="AC26" s="213"/>
      <c r="AD26" s="213">
        <f t="shared" si="15"/>
        <v>0.43900303605313085</v>
      </c>
      <c r="AE26" s="235"/>
      <c r="AF26" s="181"/>
      <c r="AH26" s="782" t="s">
        <v>681</v>
      </c>
      <c r="AI26" s="782"/>
      <c r="AJ26" s="782"/>
      <c r="AK26" s="782"/>
    </row>
    <row r="27" spans="1:43" x14ac:dyDescent="0.25">
      <c r="A27" s="777"/>
      <c r="B27" s="533" t="s">
        <v>682</v>
      </c>
      <c r="C27" s="533" t="s">
        <v>520</v>
      </c>
      <c r="D27" s="534">
        <v>437</v>
      </c>
      <c r="E27" s="142">
        <v>0</v>
      </c>
      <c r="F27" s="120">
        <v>11947.214421252373</v>
      </c>
      <c r="G27" s="190">
        <f t="shared" ref="G27:G33" si="19">$F$3*F27</f>
        <v>31.660118216318789</v>
      </c>
      <c r="H27" s="122">
        <f t="shared" ref="H27:H33" si="20">-PMT($C$3,$C$6,$F27)</f>
        <v>1523.2694780173933</v>
      </c>
      <c r="I27" s="122">
        <f t="shared" ref="I27:I33" si="21">$F27*$E$3/$D$6</f>
        <v>89.604108159392794</v>
      </c>
      <c r="J27" s="122">
        <f>$F$3*$F27</f>
        <v>31.660118216318789</v>
      </c>
      <c r="K27" s="123">
        <f t="shared" ref="K27:K33" si="22">E27*D27*$G$3</f>
        <v>0</v>
      </c>
      <c r="L27" s="124">
        <f t="shared" ref="L27:L32" si="23">SUM(H27:K27)/$D27</f>
        <v>3.7632350214945194</v>
      </c>
      <c r="M27" s="125">
        <f t="shared" ref="M27:M32" si="24">L27 +P27</f>
        <v>3.7632350214945194</v>
      </c>
      <c r="N27" s="121">
        <v>5</v>
      </c>
      <c r="P27">
        <v>0</v>
      </c>
      <c r="R27" s="127">
        <f t="shared" ref="R27:R33" si="25">M27</f>
        <v>3.7632350214945194</v>
      </c>
      <c r="U27" s="45" t="s">
        <v>657</v>
      </c>
      <c r="V27" s="400">
        <f>$O$4</f>
        <v>0.02</v>
      </c>
      <c r="W27" s="520"/>
      <c r="X27" s="400">
        <v>0.9</v>
      </c>
      <c r="Y27" s="169">
        <v>2010</v>
      </c>
      <c r="Z27" s="106">
        <v>7</v>
      </c>
      <c r="AA27" s="106">
        <f>$D$6</f>
        <v>40</v>
      </c>
      <c r="AB27" s="106">
        <f t="shared" si="18"/>
        <v>437</v>
      </c>
      <c r="AC27" s="212">
        <f>F27/D27</f>
        <v>27.339163435360121</v>
      </c>
      <c r="AD27" s="212">
        <f t="shared" si="15"/>
        <v>9.244878310370433E-2</v>
      </c>
      <c r="AE27" s="236">
        <v>1E-4</v>
      </c>
      <c r="AF27" s="185"/>
      <c r="AH27" s="783"/>
      <c r="AI27" s="783"/>
      <c r="AJ27" s="783"/>
      <c r="AK27" s="783"/>
      <c r="AM27" s="2"/>
      <c r="AO27" s="2"/>
    </row>
    <row r="28" spans="1:43" x14ac:dyDescent="0.25">
      <c r="A28" s="777"/>
      <c r="B28" s="120" t="s">
        <v>592</v>
      </c>
      <c r="C28" s="120" t="s">
        <v>521</v>
      </c>
      <c r="D28" s="120">
        <v>38</v>
      </c>
      <c r="E28" s="121">
        <v>2.5099999999999998</v>
      </c>
      <c r="F28" s="120">
        <v>1819.5445920303605</v>
      </c>
      <c r="G28" s="188">
        <f t="shared" si="19"/>
        <v>4.8217931688804549</v>
      </c>
      <c r="H28" s="122">
        <f t="shared" si="20"/>
        <v>231.99188055092409</v>
      </c>
      <c r="I28" s="122">
        <f t="shared" si="21"/>
        <v>13.646584440227704</v>
      </c>
      <c r="J28" s="122">
        <f t="shared" ref="J28:J33" si="26">$F$3*$F28</f>
        <v>4.8217931688804549</v>
      </c>
      <c r="K28" s="123">
        <f t="shared" si="22"/>
        <v>47.69</v>
      </c>
      <c r="L28" s="124">
        <f t="shared" si="23"/>
        <v>7.8460594252640066</v>
      </c>
      <c r="M28" s="125">
        <f t="shared" si="24"/>
        <v>5.8460594252640066</v>
      </c>
      <c r="N28" s="121">
        <v>3</v>
      </c>
      <c r="P28">
        <v>-2</v>
      </c>
      <c r="R28" s="127">
        <f t="shared" si="25"/>
        <v>5.8460594252640066</v>
      </c>
      <c r="U28" s="45" t="s">
        <v>658</v>
      </c>
      <c r="V28" s="400">
        <f>$O$4</f>
        <v>0.02</v>
      </c>
      <c r="W28" s="520"/>
      <c r="X28" s="400">
        <v>1</v>
      </c>
      <c r="Y28" s="206">
        <v>2010</v>
      </c>
      <c r="Z28" s="106">
        <v>3</v>
      </c>
      <c r="AA28" s="106">
        <f>$D$6</f>
        <v>40</v>
      </c>
      <c r="AB28" s="106">
        <f t="shared" si="18"/>
        <v>38</v>
      </c>
      <c r="AC28" s="212">
        <f>F28/D28</f>
        <v>47.882752421851592</v>
      </c>
      <c r="AD28" s="212">
        <f t="shared" si="15"/>
        <v>0.1468892939179067</v>
      </c>
      <c r="AE28" s="236">
        <f>E28*$S$4</f>
        <v>9.0359999999999989E-3</v>
      </c>
      <c r="AF28" s="185"/>
      <c r="AH28" s="783"/>
      <c r="AI28" s="783"/>
      <c r="AJ28" s="783"/>
      <c r="AK28" s="783"/>
      <c r="AM28" s="2"/>
      <c r="AO28" s="2"/>
    </row>
    <row r="29" spans="1:43" x14ac:dyDescent="0.25">
      <c r="A29" s="777"/>
      <c r="B29" s="121" t="s">
        <v>593</v>
      </c>
      <c r="C29" s="121" t="s">
        <v>522</v>
      </c>
      <c r="D29" s="120">
        <v>522</v>
      </c>
      <c r="E29" s="121">
        <v>3.35</v>
      </c>
      <c r="F29" s="120">
        <v>21975.867172675524</v>
      </c>
      <c r="G29" s="188">
        <f t="shared" si="19"/>
        <v>58.236048007590135</v>
      </c>
      <c r="H29" s="122">
        <f t="shared" si="20"/>
        <v>2801.9224010538824</v>
      </c>
      <c r="I29" s="122">
        <f t="shared" si="21"/>
        <v>164.81900379506641</v>
      </c>
      <c r="J29" s="122">
        <f t="shared" si="26"/>
        <v>58.236048007590135</v>
      </c>
      <c r="K29" s="123">
        <f t="shared" si="22"/>
        <v>874.35</v>
      </c>
      <c r="L29" s="124">
        <f>SUM(H29:K29)/$D29</f>
        <v>7.4699759633267018</v>
      </c>
      <c r="M29" s="125">
        <f t="shared" si="24"/>
        <v>7.4699759633267018</v>
      </c>
      <c r="N29" s="121"/>
      <c r="P29">
        <v>0</v>
      </c>
      <c r="R29" s="127">
        <f t="shared" si="25"/>
        <v>7.4699759633267018</v>
      </c>
      <c r="U29" s="45" t="s">
        <v>659</v>
      </c>
      <c r="V29" s="400">
        <f>$O$4</f>
        <v>0.02</v>
      </c>
      <c r="W29" s="520"/>
      <c r="X29" s="400">
        <v>0.9</v>
      </c>
      <c r="Y29" s="169">
        <v>2010</v>
      </c>
      <c r="Z29" s="106">
        <v>7</v>
      </c>
      <c r="AA29" s="106">
        <f>$D$6</f>
        <v>40</v>
      </c>
      <c r="AB29" s="106">
        <f t="shared" si="18"/>
        <v>522</v>
      </c>
      <c r="AC29" s="212">
        <f>F29/D29</f>
        <v>42.099362399761539</v>
      </c>
      <c r="AD29" s="212">
        <f t="shared" si="15"/>
        <v>0.13156331035936808</v>
      </c>
      <c r="AE29" s="236">
        <f>E29*$S$4</f>
        <v>1.206E-2</v>
      </c>
      <c r="AF29" s="185"/>
      <c r="AH29" s="783"/>
      <c r="AI29" s="783"/>
      <c r="AJ29" s="783"/>
      <c r="AK29" s="783"/>
    </row>
    <row r="30" spans="1:43" x14ac:dyDescent="0.25">
      <c r="A30" s="777"/>
      <c r="B30" s="531" t="s">
        <v>594</v>
      </c>
      <c r="C30" s="531" t="s">
        <v>523</v>
      </c>
      <c r="D30" s="532">
        <f>517-D35</f>
        <v>289.52000000000004</v>
      </c>
      <c r="E30" s="121">
        <v>1.99</v>
      </c>
      <c r="F30" s="120">
        <v>18616.903225806451</v>
      </c>
      <c r="G30" s="188">
        <f t="shared" si="19"/>
        <v>49.334793548387097</v>
      </c>
      <c r="H30" s="122">
        <f t="shared" si="20"/>
        <v>2373.6545992368501</v>
      </c>
      <c r="I30" s="122">
        <f t="shared" si="21"/>
        <v>139.62677419354839</v>
      </c>
      <c r="J30" s="122">
        <f t="shared" si="26"/>
        <v>49.334793548387097</v>
      </c>
      <c r="K30" s="123">
        <f t="shared" si="22"/>
        <v>288.07240000000002</v>
      </c>
      <c r="L30" s="124">
        <f t="shared" si="23"/>
        <v>9.8462578301284385</v>
      </c>
      <c r="M30" s="125">
        <f t="shared" si="24"/>
        <v>9.8462578301284385</v>
      </c>
      <c r="N30" s="121"/>
      <c r="P30">
        <v>0</v>
      </c>
      <c r="R30" s="127">
        <f t="shared" si="25"/>
        <v>9.8462578301284385</v>
      </c>
      <c r="U30" s="45" t="s">
        <v>660</v>
      </c>
      <c r="V30" s="400">
        <f>$O$4</f>
        <v>0.02</v>
      </c>
      <c r="W30" s="520"/>
      <c r="X30" s="400">
        <v>0.9</v>
      </c>
      <c r="Y30" s="169">
        <v>2010</v>
      </c>
      <c r="Z30" s="106">
        <v>8</v>
      </c>
      <c r="AA30" s="106">
        <f>$D$6</f>
        <v>40</v>
      </c>
      <c r="AB30" s="377">
        <f t="shared" si="18"/>
        <v>289.52000000000004</v>
      </c>
      <c r="AC30" s="212">
        <f>F30/D30</f>
        <v>64.302649992423483</v>
      </c>
      <c r="AD30" s="212">
        <f t="shared" si="15"/>
        <v>0.19040202247992224</v>
      </c>
      <c r="AE30" s="236">
        <f>E30*$S$4</f>
        <v>7.1639999999999994E-3</v>
      </c>
      <c r="AF30" s="185"/>
      <c r="AH30" s="783"/>
      <c r="AI30" s="783"/>
      <c r="AJ30" s="783"/>
      <c r="AK30" s="783"/>
    </row>
    <row r="31" spans="1:43" x14ac:dyDescent="0.25">
      <c r="A31" s="777"/>
      <c r="B31" s="120" t="s">
        <v>595</v>
      </c>
      <c r="C31" s="120" t="s">
        <v>524</v>
      </c>
      <c r="D31" s="120">
        <v>631</v>
      </c>
      <c r="E31" s="121">
        <v>4.38</v>
      </c>
      <c r="F31" s="120">
        <v>41567.70777988615</v>
      </c>
      <c r="G31" s="188">
        <f t="shared" si="19"/>
        <v>110.1544256166983</v>
      </c>
      <c r="H31" s="122">
        <f t="shared" si="20"/>
        <v>5299.8814869859252</v>
      </c>
      <c r="I31" s="122">
        <f t="shared" si="21"/>
        <v>311.7578083491461</v>
      </c>
      <c r="J31" s="122">
        <f t="shared" si="26"/>
        <v>110.1544256166983</v>
      </c>
      <c r="K31" s="123">
        <f t="shared" si="22"/>
        <v>1381.8899999999999</v>
      </c>
      <c r="L31" s="124">
        <f t="shared" si="23"/>
        <v>11.257818892158113</v>
      </c>
      <c r="M31" s="125">
        <f t="shared" si="24"/>
        <v>11.257818892158113</v>
      </c>
      <c r="N31" s="121"/>
      <c r="P31">
        <v>0</v>
      </c>
      <c r="R31" s="127">
        <f t="shared" si="25"/>
        <v>11.257818892158113</v>
      </c>
      <c r="U31" s="45" t="s">
        <v>661</v>
      </c>
      <c r="V31" s="400">
        <f>$O$4</f>
        <v>0.02</v>
      </c>
      <c r="W31" s="520"/>
      <c r="X31" s="400">
        <v>0.8</v>
      </c>
      <c r="Y31" s="169">
        <v>2010</v>
      </c>
      <c r="Z31" s="106">
        <v>10</v>
      </c>
      <c r="AA31" s="106">
        <f>$D$6</f>
        <v>40</v>
      </c>
      <c r="AB31" s="106">
        <f t="shared" si="18"/>
        <v>631</v>
      </c>
      <c r="AC31" s="212">
        <f>F31/D31</f>
        <v>65.875923581436055</v>
      </c>
      <c r="AD31" s="212">
        <f t="shared" si="15"/>
        <v>0.19457119749080554</v>
      </c>
      <c r="AE31" s="236">
        <f>E31*$S$4</f>
        <v>1.5768000000000001E-2</v>
      </c>
      <c r="AF31" s="185"/>
      <c r="AH31" s="783"/>
      <c r="AI31" s="783"/>
      <c r="AJ31" s="783"/>
      <c r="AK31" s="783"/>
    </row>
    <row r="32" spans="1:43" x14ac:dyDescent="0.25">
      <c r="A32" s="777"/>
      <c r="B32" s="120" t="s">
        <v>582</v>
      </c>
      <c r="C32" s="120" t="s">
        <v>596</v>
      </c>
      <c r="D32" s="120">
        <v>650</v>
      </c>
      <c r="E32" s="121">
        <v>4.21</v>
      </c>
      <c r="F32" s="120">
        <v>52253.93548387097</v>
      </c>
      <c r="G32" s="188">
        <f t="shared" si="19"/>
        <v>138.47292903225807</v>
      </c>
      <c r="H32" s="122">
        <f t="shared" si="20"/>
        <v>6662.3751966215159</v>
      </c>
      <c r="I32" s="122">
        <f t="shared" si="21"/>
        <v>391.90451612903223</v>
      </c>
      <c r="J32" s="122">
        <f t="shared" si="26"/>
        <v>138.47292903225807</v>
      </c>
      <c r="K32" s="123">
        <f t="shared" si="22"/>
        <v>1368.25</v>
      </c>
      <c r="L32" s="124">
        <f t="shared" si="23"/>
        <v>13.170773295050472</v>
      </c>
      <c r="M32" s="125">
        <f t="shared" si="24"/>
        <v>18.170773295050473</v>
      </c>
      <c r="N32" s="121">
        <v>2</v>
      </c>
      <c r="P32">
        <v>5</v>
      </c>
      <c r="R32" s="127">
        <f t="shared" si="25"/>
        <v>18.170773295050473</v>
      </c>
      <c r="U32" s="45" t="s">
        <v>662</v>
      </c>
      <c r="V32" s="478"/>
      <c r="W32" s="144"/>
      <c r="X32" s="478"/>
      <c r="Y32" s="144"/>
      <c r="Z32" s="144"/>
      <c r="AA32" s="144"/>
      <c r="AB32" s="144"/>
      <c r="AC32" s="213"/>
      <c r="AD32" s="213">
        <f t="shared" si="15"/>
        <v>0.21303527543424317</v>
      </c>
      <c r="AE32" s="235"/>
      <c r="AF32" s="211"/>
      <c r="AH32" s="783"/>
      <c r="AI32" s="783"/>
      <c r="AJ32" s="783"/>
      <c r="AK32" s="783"/>
      <c r="AP32" t="s">
        <v>495</v>
      </c>
      <c r="AQ32" t="s">
        <v>1372</v>
      </c>
    </row>
    <row r="33" spans="1:44" ht="15.75" thickBot="1" x14ac:dyDescent="0.3">
      <c r="A33" s="778"/>
      <c r="B33" s="128" t="s">
        <v>584</v>
      </c>
      <c r="C33" s="128" t="s">
        <v>525</v>
      </c>
      <c r="D33" s="128">
        <v>100</v>
      </c>
      <c r="E33" s="129">
        <v>13.6</v>
      </c>
      <c r="F33" s="128">
        <v>7830.8121442125239</v>
      </c>
      <c r="G33" s="189">
        <f t="shared" si="19"/>
        <v>20.751652182163188</v>
      </c>
      <c r="H33" s="130">
        <f t="shared" si="20"/>
        <v>998.42831197102373</v>
      </c>
      <c r="I33" s="130">
        <f t="shared" si="21"/>
        <v>58.731091081593924</v>
      </c>
      <c r="J33" s="130">
        <f t="shared" si="26"/>
        <v>20.751652182163188</v>
      </c>
      <c r="K33" s="131">
        <f t="shared" si="22"/>
        <v>680</v>
      </c>
      <c r="L33" s="131">
        <f>SUM(H33:K33)/$D33</f>
        <v>17.57911055234781</v>
      </c>
      <c r="M33" s="130">
        <f>L33 +P33</f>
        <v>15.57911055234781</v>
      </c>
      <c r="N33" s="131">
        <v>3</v>
      </c>
      <c r="P33">
        <v>-2</v>
      </c>
      <c r="R33" s="127">
        <f t="shared" si="25"/>
        <v>15.57911055234781</v>
      </c>
      <c r="U33" s="45" t="s">
        <v>663</v>
      </c>
      <c r="V33" s="479">
        <v>0</v>
      </c>
      <c r="W33" s="208"/>
      <c r="X33" s="479">
        <v>1</v>
      </c>
      <c r="Y33" s="208">
        <v>2020</v>
      </c>
      <c r="Z33" s="208">
        <v>3</v>
      </c>
      <c r="AA33" s="208">
        <f>$D$6</f>
        <v>40</v>
      </c>
      <c r="AB33" s="208"/>
      <c r="AC33" s="214">
        <f>F33/D33</f>
        <v>78.308121442125241</v>
      </c>
      <c r="AD33" s="214">
        <f t="shared" si="15"/>
        <v>0.20751652182163188</v>
      </c>
      <c r="AE33" s="237">
        <f>E33*$S$4</f>
        <v>4.8959999999999997E-2</v>
      </c>
      <c r="AF33" s="210"/>
      <c r="AH33" s="784"/>
      <c r="AI33" s="784"/>
      <c r="AJ33" s="784"/>
      <c r="AK33" s="784"/>
      <c r="AP33" t="s">
        <v>1371</v>
      </c>
      <c r="AQ33">
        <v>39</v>
      </c>
    </row>
    <row r="34" spans="1:44" ht="15.75" thickBot="1" x14ac:dyDescent="0.3">
      <c r="A34" s="776" t="s">
        <v>598</v>
      </c>
      <c r="B34" s="577" t="s">
        <v>585</v>
      </c>
      <c r="C34" s="577" t="s">
        <v>597</v>
      </c>
      <c r="D34" s="577">
        <f xml:space="preserve"> 3843 + 'Non-Energy Water Demand'!$F$68</f>
        <v>4130.5</v>
      </c>
      <c r="E34" s="568"/>
      <c r="F34" s="577"/>
      <c r="G34" s="578"/>
      <c r="H34" s="579"/>
      <c r="I34" s="579"/>
      <c r="J34" s="579"/>
      <c r="K34" s="580"/>
      <c r="L34" s="580"/>
      <c r="M34" s="579"/>
      <c r="N34" s="577">
        <f>'Existing Plants by Coal Supply'!U57</f>
        <v>0</v>
      </c>
      <c r="R34" s="192"/>
      <c r="U34" s="45" t="s">
        <v>664</v>
      </c>
      <c r="V34" s="588">
        <f>'Existing Plants by Coal Supply'!U59/100 +$O$4</f>
        <v>0.17360341555977227</v>
      </c>
      <c r="W34" s="174"/>
      <c r="X34" s="400">
        <v>0.95</v>
      </c>
      <c r="Y34" s="172"/>
      <c r="Z34" s="144"/>
      <c r="AA34" s="144"/>
      <c r="AB34" s="144">
        <f>D34</f>
        <v>4130.5</v>
      </c>
      <c r="AC34" s="175"/>
      <c r="AD34" s="175">
        <f t="shared" si="15"/>
        <v>0.17360341555977227</v>
      </c>
      <c r="AE34" s="176"/>
      <c r="AF34" s="176"/>
      <c r="AH34" s="779" t="s">
        <v>680</v>
      </c>
      <c r="AI34" s="779"/>
      <c r="AJ34" s="779"/>
      <c r="AK34" s="779"/>
      <c r="AP34" t="s">
        <v>1370</v>
      </c>
      <c r="AQ34">
        <v>10.4</v>
      </c>
    </row>
    <row r="35" spans="1:44" x14ac:dyDescent="0.25">
      <c r="A35" s="777"/>
      <c r="B35" s="531" t="s">
        <v>599</v>
      </c>
      <c r="C35" s="531" t="s">
        <v>526</v>
      </c>
      <c r="D35" s="531">
        <f>(1-0.56)*517</f>
        <v>227.47999999999996</v>
      </c>
      <c r="E35" s="142">
        <v>0</v>
      </c>
      <c r="F35" s="120">
        <v>1005.404174573055</v>
      </c>
      <c r="G35" s="190">
        <f>$F$3*F35</f>
        <v>2.6643210626185958</v>
      </c>
      <c r="H35" s="122">
        <f>-PMT($C$3,$C$6,$F35)</f>
        <v>128.18900190441761</v>
      </c>
      <c r="I35" s="122">
        <f>$F35*$E$3/$D$6</f>
        <v>7.5405313092979132</v>
      </c>
      <c r="J35" s="122">
        <f>$F$3*$F35</f>
        <v>2.6643210626185958</v>
      </c>
      <c r="K35" s="137">
        <f t="shared" ref="K35:K37" si="27">E35*D35*$G$3</f>
        <v>0</v>
      </c>
      <c r="L35" s="124">
        <f>SUM(H35:K35)/$D35</f>
        <v>0.60837811797227948</v>
      </c>
      <c r="M35" s="125">
        <f>L35 +P35</f>
        <v>0.60837811797227948</v>
      </c>
      <c r="N35" s="121"/>
      <c r="P35">
        <v>0</v>
      </c>
      <c r="Q35" t="s">
        <v>68</v>
      </c>
      <c r="R35" s="126">
        <f>M35 +$M$57</f>
        <v>4.6833307920885199</v>
      </c>
      <c r="U35" s="45" t="s">
        <v>665</v>
      </c>
      <c r="V35" s="400">
        <v>0.02</v>
      </c>
      <c r="W35" s="520"/>
      <c r="X35" s="400">
        <v>0.9</v>
      </c>
      <c r="Y35" s="206">
        <v>2010</v>
      </c>
      <c r="Z35" s="106">
        <v>8</v>
      </c>
      <c r="AA35" s="106">
        <f>$D$6</f>
        <v>40</v>
      </c>
      <c r="AB35" s="106">
        <f>D35</f>
        <v>227.47999999999996</v>
      </c>
      <c r="AC35" s="108">
        <f>F35/D35</f>
        <v>4.4197475583482291</v>
      </c>
      <c r="AD35" s="108">
        <f t="shared" si="15"/>
        <v>3.1712331029622808E-2</v>
      </c>
      <c r="AE35" s="177">
        <f>E35*$S$4</f>
        <v>0</v>
      </c>
      <c r="AF35" s="177"/>
      <c r="AH35" s="780"/>
      <c r="AI35" s="780"/>
      <c r="AJ35" s="780"/>
      <c r="AK35" s="780"/>
      <c r="AP35" t="s">
        <v>1629</v>
      </c>
      <c r="AQ35">
        <v>14</v>
      </c>
    </row>
    <row r="36" spans="1:44" x14ac:dyDescent="0.25">
      <c r="A36" s="777"/>
      <c r="B36" s="120" t="s">
        <v>600</v>
      </c>
      <c r="C36" s="120" t="s">
        <v>527</v>
      </c>
      <c r="D36" s="120">
        <v>165</v>
      </c>
      <c r="E36" s="121">
        <v>5.26</v>
      </c>
      <c r="F36" s="120">
        <v>4370.2922201138517</v>
      </c>
      <c r="G36" s="188">
        <f>$F$3*F36</f>
        <v>11.581274383301707</v>
      </c>
      <c r="H36" s="122">
        <f>-PMT($C$3,$C$6,$F36)</f>
        <v>557.2121261232428</v>
      </c>
      <c r="I36" s="122">
        <f>$F36*$E$3/$D$6</f>
        <v>32.777191650853887</v>
      </c>
      <c r="J36" s="122">
        <f>$F$3*$F36</f>
        <v>11.581274383301707</v>
      </c>
      <c r="K36" s="123">
        <f t="shared" si="27"/>
        <v>433.95</v>
      </c>
      <c r="L36" s="124">
        <f>SUM(H36:K36)/$D36</f>
        <v>6.2758823767115048</v>
      </c>
      <c r="M36" s="125">
        <f>L36 +P36</f>
        <v>6.2758823767115048</v>
      </c>
      <c r="N36" s="121"/>
      <c r="P36">
        <v>0</v>
      </c>
      <c r="R36" s="127">
        <f t="shared" ref="R36" si="28">M36 +$M$57</f>
        <v>10.350835050827746</v>
      </c>
      <c r="U36" s="45" t="s">
        <v>666</v>
      </c>
      <c r="V36" s="478">
        <v>0.02</v>
      </c>
      <c r="W36" s="144"/>
      <c r="X36" s="478">
        <v>0.95</v>
      </c>
      <c r="Y36" s="206">
        <v>2010</v>
      </c>
      <c r="Z36" s="144">
        <v>7</v>
      </c>
      <c r="AA36" s="144">
        <f>$D$6</f>
        <v>40</v>
      </c>
      <c r="AB36" s="144">
        <f>D36</f>
        <v>165</v>
      </c>
      <c r="AC36" s="175">
        <f>F36/D36</f>
        <v>26.486619515841525</v>
      </c>
      <c r="AD36" s="175">
        <f t="shared" si="15"/>
        <v>9.0189541716980043E-2</v>
      </c>
      <c r="AE36" s="199">
        <f>E36*$S$4</f>
        <v>1.8935999999999998E-2</v>
      </c>
      <c r="AF36" s="176"/>
      <c r="AH36" s="780"/>
      <c r="AI36" s="780"/>
      <c r="AJ36" s="780"/>
      <c r="AK36" s="780"/>
      <c r="AP36" t="s">
        <v>1630</v>
      </c>
      <c r="AQ36">
        <f>AQ33-AQ34</f>
        <v>28.6</v>
      </c>
      <c r="AR36">
        <f>AQ33-AQ36</f>
        <v>10.399999999999999</v>
      </c>
    </row>
    <row r="37" spans="1:44" ht="15.75" thickBot="1" x14ac:dyDescent="0.3">
      <c r="A37" s="778"/>
      <c r="B37" s="128" t="s">
        <v>584</v>
      </c>
      <c r="C37" s="128" t="s">
        <v>528</v>
      </c>
      <c r="D37" s="128">
        <v>100</v>
      </c>
      <c r="E37" s="129">
        <v>14.1</v>
      </c>
      <c r="F37" s="128">
        <v>11174.542694497153</v>
      </c>
      <c r="G37" s="189">
        <f>$F$3*F37</f>
        <v>29.612538140417456</v>
      </c>
      <c r="H37" s="122">
        <f>-PMT($C$3,$C$6,$F37)</f>
        <v>1424.7538561834426</v>
      </c>
      <c r="I37" s="122">
        <f>$F37*$E$3/$D$6</f>
        <v>83.809070208728642</v>
      </c>
      <c r="J37" s="122">
        <f>$F$3*$F37</f>
        <v>29.612538140417456</v>
      </c>
      <c r="K37" s="131">
        <f t="shared" si="27"/>
        <v>705</v>
      </c>
      <c r="L37" s="131">
        <f>SUM(H37:K37)/$D37</f>
        <v>22.431754645325885</v>
      </c>
      <c r="M37" s="130">
        <f>L37 +P37</f>
        <v>22.431754645325885</v>
      </c>
      <c r="N37" s="131"/>
      <c r="P37">
        <v>0</v>
      </c>
      <c r="R37" s="127">
        <f>M37</f>
        <v>22.431754645325885</v>
      </c>
      <c r="U37" s="45" t="s">
        <v>667</v>
      </c>
      <c r="V37" s="479">
        <v>0</v>
      </c>
      <c r="W37" s="208"/>
      <c r="X37" s="479">
        <v>1</v>
      </c>
      <c r="Y37" s="208">
        <v>2010</v>
      </c>
      <c r="Z37" s="208">
        <v>3</v>
      </c>
      <c r="AA37" s="208">
        <f>$D$6</f>
        <v>40</v>
      </c>
      <c r="AB37" s="208"/>
      <c r="AC37" s="214">
        <f>F37/D37</f>
        <v>111.74542694497153</v>
      </c>
      <c r="AD37" s="214">
        <f t="shared" si="15"/>
        <v>0.29612538140417455</v>
      </c>
      <c r="AE37" s="215">
        <f>E37*$S$4</f>
        <v>5.076E-2</v>
      </c>
      <c r="AF37" s="210"/>
      <c r="AH37" s="781"/>
      <c r="AI37" s="781"/>
      <c r="AJ37" s="781"/>
      <c r="AK37" s="781"/>
      <c r="AQ37" s="3"/>
    </row>
    <row r="38" spans="1:44" x14ac:dyDescent="0.25">
      <c r="A38" s="793" t="s">
        <v>601</v>
      </c>
      <c r="B38" s="793"/>
      <c r="C38" s="793"/>
      <c r="D38" s="793"/>
      <c r="E38" s="120"/>
      <c r="F38" s="120"/>
      <c r="G38" s="120"/>
      <c r="H38" s="145"/>
      <c r="I38" s="145"/>
      <c r="J38" s="146"/>
      <c r="K38" s="146"/>
      <c r="L38" s="120"/>
      <c r="M38" s="120"/>
      <c r="N38" s="120"/>
      <c r="O38" s="120"/>
      <c r="P38" s="121"/>
      <c r="Q38" t="s">
        <v>602</v>
      </c>
      <c r="R38" s="126">
        <f>M35+$M$58</f>
        <v>113.98879234408601</v>
      </c>
    </row>
    <row r="39" spans="1:44" x14ac:dyDescent="0.25">
      <c r="A39" s="790" t="s">
        <v>603</v>
      </c>
      <c r="B39" s="790"/>
      <c r="C39" s="790"/>
      <c r="D39" s="790"/>
      <c r="E39" s="790"/>
      <c r="F39" s="440"/>
      <c r="G39" s="147"/>
      <c r="H39" s="148"/>
      <c r="I39" s="148"/>
      <c r="J39" s="147"/>
      <c r="K39" s="147"/>
      <c r="L39" s="147"/>
      <c r="M39" s="147"/>
      <c r="N39" s="147"/>
      <c r="O39" s="147"/>
      <c r="P39" s="121"/>
      <c r="R39" s="127">
        <f>M36+$M$58</f>
        <v>119.65629660282524</v>
      </c>
    </row>
    <row r="40" spans="1:44" ht="15.75" thickBot="1" x14ac:dyDescent="0.3">
      <c r="A40" s="794" t="s">
        <v>604</v>
      </c>
      <c r="B40" s="794"/>
      <c r="C40" s="794"/>
      <c r="D40" s="794"/>
      <c r="E40" s="794"/>
      <c r="G40" s="147"/>
      <c r="H40" s="148"/>
      <c r="I40" s="148"/>
      <c r="J40" s="147"/>
      <c r="K40" s="147"/>
      <c r="L40" s="147"/>
      <c r="M40" s="147"/>
      <c r="N40" s="147"/>
      <c r="O40" s="147"/>
      <c r="P40" s="121"/>
      <c r="R40" s="141">
        <f>M37+$M$58</f>
        <v>135.81216887143961</v>
      </c>
    </row>
    <row r="41" spans="1:44" x14ac:dyDescent="0.25">
      <c r="A41" s="794" t="s">
        <v>605</v>
      </c>
      <c r="B41" s="794"/>
      <c r="C41" s="794"/>
      <c r="D41" s="794"/>
      <c r="E41" s="794"/>
      <c r="F41" s="147"/>
      <c r="G41" s="121"/>
      <c r="H41" s="147"/>
      <c r="I41" s="147"/>
      <c r="J41" s="147"/>
      <c r="K41" s="147"/>
      <c r="L41" s="147"/>
      <c r="M41" s="147"/>
      <c r="N41" s="147"/>
      <c r="O41" s="147"/>
      <c r="P41" s="121"/>
      <c r="Q41" t="s">
        <v>606</v>
      </c>
      <c r="R41" s="126">
        <f>M35+$M$59</f>
        <v>122.59300063536632</v>
      </c>
    </row>
    <row r="42" spans="1:44" x14ac:dyDescent="0.25">
      <c r="A42" s="790" t="s">
        <v>607</v>
      </c>
      <c r="B42" s="790"/>
      <c r="C42" s="790"/>
      <c r="D42" s="790"/>
      <c r="E42" s="790"/>
      <c r="F42" s="121"/>
      <c r="G42" s="147"/>
      <c r="H42" s="147"/>
      <c r="I42" s="147"/>
      <c r="J42" s="147"/>
      <c r="K42" s="147"/>
      <c r="L42" s="147"/>
      <c r="M42" s="147"/>
      <c r="N42" s="147"/>
      <c r="O42" s="147"/>
      <c r="P42" s="121"/>
      <c r="R42" s="127">
        <f>M36+$M$59</f>
        <v>128.26050489410554</v>
      </c>
    </row>
    <row r="43" spans="1:44" ht="15.75" thickBot="1" x14ac:dyDescent="0.3">
      <c r="A43" s="790" t="s">
        <v>608</v>
      </c>
      <c r="B43" s="790"/>
      <c r="C43" s="790"/>
      <c r="D43" s="790"/>
      <c r="E43" s="790"/>
      <c r="F43" s="121"/>
      <c r="G43" s="147"/>
      <c r="H43" s="147"/>
      <c r="I43" s="147"/>
      <c r="J43" s="147"/>
      <c r="K43" s="147"/>
      <c r="L43" s="147"/>
      <c r="M43" s="147"/>
      <c r="N43" s="147"/>
      <c r="O43" s="147"/>
      <c r="P43" s="121"/>
      <c r="R43" s="141">
        <f>M37+$M$59</f>
        <v>144.41637716271993</v>
      </c>
    </row>
    <row r="44" spans="1:44" x14ac:dyDescent="0.25">
      <c r="A44" s="790" t="s">
        <v>609</v>
      </c>
      <c r="B44" s="790"/>
      <c r="C44" s="790"/>
      <c r="D44" s="790"/>
      <c r="E44" s="790"/>
      <c r="F44" s="121"/>
      <c r="G44" s="147"/>
      <c r="H44" s="147"/>
      <c r="I44" s="147"/>
      <c r="J44" s="147"/>
      <c r="K44" s="147"/>
      <c r="L44" s="147"/>
      <c r="M44" s="147"/>
      <c r="N44" s="147"/>
      <c r="O44" s="147"/>
      <c r="P44" s="121"/>
    </row>
    <row r="45" spans="1:44" x14ac:dyDescent="0.25">
      <c r="A45" s="790" t="s">
        <v>610</v>
      </c>
      <c r="B45" s="790"/>
      <c r="C45" s="790"/>
      <c r="D45" s="790"/>
      <c r="E45" s="790"/>
      <c r="F45" s="121"/>
      <c r="G45" s="147"/>
      <c r="H45" s="147"/>
      <c r="I45" s="147"/>
      <c r="J45" s="147"/>
      <c r="K45" s="147"/>
      <c r="L45" s="147"/>
      <c r="M45" s="147"/>
      <c r="N45" s="147"/>
      <c r="O45" s="147"/>
      <c r="P45" s="121"/>
    </row>
    <row r="46" spans="1:44" x14ac:dyDescent="0.25">
      <c r="A46" s="790" t="s">
        <v>611</v>
      </c>
      <c r="B46" s="790"/>
      <c r="C46" s="790"/>
      <c r="D46" s="790"/>
      <c r="E46" s="790"/>
      <c r="F46" s="121"/>
      <c r="G46" s="147"/>
      <c r="H46" s="147"/>
      <c r="I46" s="147"/>
      <c r="J46" s="147"/>
      <c r="K46" s="147"/>
      <c r="L46" s="147"/>
      <c r="M46" s="147"/>
      <c r="N46" s="147"/>
      <c r="O46" s="147"/>
      <c r="P46" s="121"/>
      <c r="AC46" s="81"/>
      <c r="AD46" s="81"/>
    </row>
    <row r="47" spans="1:44" x14ac:dyDescent="0.25">
      <c r="A47" s="149"/>
      <c r="B47" s="790"/>
      <c r="C47" s="790"/>
      <c r="D47" s="790"/>
      <c r="E47" s="790"/>
      <c r="F47" s="476"/>
      <c r="G47" s="147"/>
      <c r="H47" s="147"/>
      <c r="I47" s="147"/>
      <c r="J47" s="147"/>
      <c r="K47" s="147"/>
      <c r="L47" s="147"/>
      <c r="M47" s="147"/>
      <c r="N47" s="147"/>
      <c r="O47" s="147"/>
      <c r="P47" s="121"/>
      <c r="T47" s="8"/>
      <c r="AC47" s="81"/>
      <c r="AD47" s="81"/>
    </row>
    <row r="48" spans="1:44" x14ac:dyDescent="0.25">
      <c r="A48" s="5" t="s">
        <v>612</v>
      </c>
      <c r="N48" s="147"/>
      <c r="AC48" s="81"/>
      <c r="AD48" s="81"/>
    </row>
    <row r="49" spans="1:41" s="151" customFormat="1" x14ac:dyDescent="0.25">
      <c r="A49" s="150" t="s">
        <v>613</v>
      </c>
      <c r="N49" s="147"/>
      <c r="O49" s="147"/>
      <c r="P49" s="147"/>
      <c r="Q49" s="147"/>
      <c r="R49" s="147"/>
      <c r="S49" s="147"/>
      <c r="T49" s="147"/>
      <c r="U49" s="147"/>
      <c r="V49" s="147"/>
      <c r="W49" s="147"/>
      <c r="X49" s="147"/>
      <c r="Y49" s="147"/>
      <c r="Z49" s="147"/>
      <c r="AA49" s="147"/>
      <c r="AB49" s="147"/>
      <c r="AC49" s="81"/>
      <c r="AD49" s="81"/>
      <c r="AE49" s="147"/>
      <c r="AF49" s="147"/>
      <c r="AG49" s="147"/>
      <c r="AH49" s="147"/>
      <c r="AI49" s="147"/>
      <c r="AJ49" s="147"/>
      <c r="AK49" s="147"/>
      <c r="AL49" s="147"/>
      <c r="AM49" s="147"/>
      <c r="AN49" s="147"/>
      <c r="AO49" s="147"/>
    </row>
    <row r="50" spans="1:41" ht="29.25" customHeight="1" thickBot="1" x14ac:dyDescent="0.3">
      <c r="A50" s="791" t="s">
        <v>330</v>
      </c>
      <c r="B50" s="791" t="s">
        <v>614</v>
      </c>
      <c r="C50" s="787" t="s">
        <v>507</v>
      </c>
      <c r="D50" s="787" t="s">
        <v>615</v>
      </c>
      <c r="E50" s="116" t="s">
        <v>616</v>
      </c>
      <c r="F50" s="116" t="s">
        <v>617</v>
      </c>
      <c r="G50" s="787" t="s">
        <v>618</v>
      </c>
      <c r="H50" s="787" t="s">
        <v>619</v>
      </c>
      <c r="I50" s="116" t="s">
        <v>620</v>
      </c>
      <c r="J50" s="116" t="s">
        <v>621</v>
      </c>
      <c r="K50" s="116" t="s">
        <v>563</v>
      </c>
      <c r="L50" s="116" t="s">
        <v>564</v>
      </c>
      <c r="M50" s="787" t="s">
        <v>565</v>
      </c>
      <c r="N50" s="147"/>
      <c r="AC50" s="81"/>
      <c r="AD50" s="81"/>
      <c r="AE50" s="81"/>
      <c r="AF50" s="81"/>
    </row>
    <row r="51" spans="1:41" ht="15.75" thickBot="1" x14ac:dyDescent="0.3">
      <c r="A51" s="792"/>
      <c r="B51" s="792"/>
      <c r="C51" s="788"/>
      <c r="D51" s="788"/>
      <c r="E51" s="116" t="s">
        <v>570</v>
      </c>
      <c r="F51" s="116" t="s">
        <v>622</v>
      </c>
      <c r="G51" s="788"/>
      <c r="H51" s="788"/>
      <c r="I51" s="116" t="s">
        <v>570</v>
      </c>
      <c r="J51" s="116" t="s">
        <v>570</v>
      </c>
      <c r="K51" s="116" t="s">
        <v>570</v>
      </c>
      <c r="L51" s="116" t="s">
        <v>570</v>
      </c>
      <c r="M51" s="788"/>
      <c r="V51" s="168" t="s">
        <v>647</v>
      </c>
      <c r="W51" s="526"/>
      <c r="AC51" s="81"/>
      <c r="AD51" s="81"/>
      <c r="AE51" s="81"/>
    </row>
    <row r="52" spans="1:41" ht="15.75" thickBot="1" x14ac:dyDescent="0.3">
      <c r="A52" s="152" t="s">
        <v>511</v>
      </c>
      <c r="B52" s="153" t="s">
        <v>623</v>
      </c>
      <c r="C52" s="154" t="s">
        <v>578</v>
      </c>
      <c r="D52" s="154">
        <v>30</v>
      </c>
      <c r="E52" s="155">
        <v>73.628083491461098</v>
      </c>
      <c r="F52" s="156">
        <f t="shared" ref="F52:F57" si="29">$F$3*E52</f>
        <v>0.19511442125237191</v>
      </c>
      <c r="G52" s="154">
        <v>0</v>
      </c>
      <c r="H52" s="157"/>
      <c r="I52" s="158">
        <v>11</v>
      </c>
      <c r="J52" s="159">
        <f t="shared" ref="J52:J60" si="30">$E52*$E$3/$D$6</f>
        <v>0.55221062618595818</v>
      </c>
      <c r="K52" s="159">
        <f>F52</f>
        <v>0.19511442125237191</v>
      </c>
      <c r="L52" s="158">
        <f>G52*D52*$G$3</f>
        <v>0</v>
      </c>
      <c r="M52" s="159">
        <f>SUM(I52:L52)/D52</f>
        <v>0.39157750158127769</v>
      </c>
      <c r="V52" s="159"/>
      <c r="W52" s="159"/>
      <c r="X52" s="159"/>
      <c r="Y52" s="159"/>
      <c r="Z52" s="159"/>
      <c r="AA52" s="159">
        <f>$D$6</f>
        <v>40</v>
      </c>
      <c r="AB52" s="159"/>
      <c r="AC52" s="200">
        <f>E52/D52</f>
        <v>2.4542694497153699</v>
      </c>
      <c r="AD52" s="200">
        <f t="shared" ref="AD52" si="31">K52</f>
        <v>0.19511442125237191</v>
      </c>
      <c r="AE52" s="200">
        <f t="shared" ref="AE52:AE57" si="32">G52*$S$4</f>
        <v>0</v>
      </c>
      <c r="AF52" s="200"/>
    </row>
    <row r="53" spans="1:41" x14ac:dyDescent="0.25">
      <c r="A53" s="776" t="s">
        <v>519</v>
      </c>
      <c r="B53" s="121" t="s">
        <v>624</v>
      </c>
      <c r="C53" s="120" t="s">
        <v>515</v>
      </c>
      <c r="D53" s="120">
        <v>30</v>
      </c>
      <c r="E53" s="124">
        <v>2656.5351043643263</v>
      </c>
      <c r="F53" s="125">
        <f t="shared" si="29"/>
        <v>7.0398180265654648</v>
      </c>
      <c r="G53" s="120">
        <v>0.41</v>
      </c>
      <c r="H53" s="147"/>
      <c r="I53" s="160">
        <v>400</v>
      </c>
      <c r="J53" s="161">
        <f t="shared" si="30"/>
        <v>19.924013282732446</v>
      </c>
      <c r="K53" s="161">
        <f t="shared" ref="K53:K60" si="33">F53</f>
        <v>7.0398180265654648</v>
      </c>
      <c r="L53" s="160">
        <f t="shared" ref="L53:L60" si="34">G53*D53*$G$3</f>
        <v>6.1499999999999995</v>
      </c>
      <c r="M53" s="161">
        <f t="shared" ref="M53:M56" si="35">SUM(I53:L53)/D53</f>
        <v>14.43712771030993</v>
      </c>
      <c r="V53" s="161"/>
      <c r="W53" s="161"/>
      <c r="X53" s="161"/>
      <c r="Y53" s="161"/>
      <c r="Z53" s="161"/>
      <c r="AA53" s="161">
        <f t="shared" ref="AA53:AA56" si="36">$D$6</f>
        <v>40</v>
      </c>
      <c r="AB53" s="161"/>
      <c r="AC53" s="201">
        <f t="shared" ref="AC53:AC60" si="37">E53/D53</f>
        <v>88.551170145477542</v>
      </c>
      <c r="AD53" s="201">
        <f>K53/$D53</f>
        <v>0.23466060088551549</v>
      </c>
      <c r="AE53" s="201">
        <f t="shared" si="32"/>
        <v>1.4759999999999999E-3</v>
      </c>
      <c r="AF53" s="201"/>
    </row>
    <row r="54" spans="1:41" x14ac:dyDescent="0.25">
      <c r="A54" s="789"/>
      <c r="B54" s="121" t="s">
        <v>625</v>
      </c>
      <c r="C54" s="121" t="s">
        <v>516</v>
      </c>
      <c r="D54" s="120">
        <v>30</v>
      </c>
      <c r="E54" s="124">
        <v>405.80075901328274</v>
      </c>
      <c r="F54" s="125">
        <f t="shared" si="29"/>
        <v>1.0753720113851992</v>
      </c>
      <c r="G54" s="120">
        <v>0.41</v>
      </c>
      <c r="H54" s="147"/>
      <c r="I54" s="160">
        <v>61</v>
      </c>
      <c r="J54" s="161">
        <f t="shared" si="30"/>
        <v>3.0435056925996204</v>
      </c>
      <c r="K54" s="161">
        <f t="shared" si="33"/>
        <v>1.0753720113851992</v>
      </c>
      <c r="L54" s="160">
        <f t="shared" si="34"/>
        <v>6.1499999999999995</v>
      </c>
      <c r="M54" s="161">
        <f t="shared" si="35"/>
        <v>2.3756292567994941</v>
      </c>
      <c r="V54" s="161"/>
      <c r="W54" s="161"/>
      <c r="X54" s="161"/>
      <c r="Y54" s="161"/>
      <c r="Z54" s="161"/>
      <c r="AA54" s="161">
        <f t="shared" si="36"/>
        <v>40</v>
      </c>
      <c r="AB54" s="161"/>
      <c r="AC54" s="201">
        <f t="shared" si="37"/>
        <v>13.526691967109425</v>
      </c>
      <c r="AD54" s="201">
        <f t="shared" ref="AD54:AD56" si="38">K54/$D54</f>
        <v>3.5845733712839972E-2</v>
      </c>
      <c r="AE54" s="201">
        <f t="shared" si="32"/>
        <v>1.4759999999999999E-3</v>
      </c>
      <c r="AF54" s="201"/>
    </row>
    <row r="55" spans="1:41" x14ac:dyDescent="0.25">
      <c r="A55" s="789"/>
      <c r="B55" s="149" t="s">
        <v>626</v>
      </c>
      <c r="C55" s="121" t="s">
        <v>517</v>
      </c>
      <c r="D55" s="120">
        <v>30</v>
      </c>
      <c r="E55" s="124">
        <v>405.80075901328274</v>
      </c>
      <c r="F55" s="125">
        <f t="shared" si="29"/>
        <v>1.0753720113851992</v>
      </c>
      <c r="G55" s="120">
        <v>0.41</v>
      </c>
      <c r="H55" s="147"/>
      <c r="I55" s="160">
        <v>61</v>
      </c>
      <c r="J55" s="161">
        <f t="shared" si="30"/>
        <v>3.0435056925996204</v>
      </c>
      <c r="K55" s="161">
        <f t="shared" si="33"/>
        <v>1.0753720113851992</v>
      </c>
      <c r="L55" s="160">
        <f t="shared" si="34"/>
        <v>6.1499999999999995</v>
      </c>
      <c r="M55" s="161">
        <f t="shared" si="35"/>
        <v>2.3756292567994941</v>
      </c>
      <c r="V55" s="161"/>
      <c r="W55" s="161"/>
      <c r="X55" s="161"/>
      <c r="Y55" s="161"/>
      <c r="Z55" s="161"/>
      <c r="AA55" s="161">
        <f t="shared" si="36"/>
        <v>40</v>
      </c>
      <c r="AB55" s="161"/>
      <c r="AC55" s="201">
        <f t="shared" si="37"/>
        <v>13.526691967109425</v>
      </c>
      <c r="AD55" s="201">
        <f t="shared" si="38"/>
        <v>3.5845733712839972E-2</v>
      </c>
      <c r="AE55" s="201">
        <f t="shared" si="32"/>
        <v>1.4759999999999999E-3</v>
      </c>
      <c r="AF55" s="201"/>
    </row>
    <row r="56" spans="1:41" ht="15.75" thickBot="1" x14ac:dyDescent="0.3">
      <c r="A56" s="778"/>
      <c r="B56" s="129" t="s">
        <v>627</v>
      </c>
      <c r="C56" s="128" t="s">
        <v>591</v>
      </c>
      <c r="D56" s="128">
        <v>30</v>
      </c>
      <c r="E56" s="162">
        <v>3165.1612903225805</v>
      </c>
      <c r="F56" s="130">
        <f t="shared" si="29"/>
        <v>8.3876774193548389</v>
      </c>
      <c r="G56" s="128">
        <v>1.38</v>
      </c>
      <c r="H56" s="163"/>
      <c r="I56" s="164">
        <v>477</v>
      </c>
      <c r="J56" s="165">
        <f t="shared" si="30"/>
        <v>23.738709677419354</v>
      </c>
      <c r="K56" s="165">
        <f t="shared" si="33"/>
        <v>8.3876774193548389</v>
      </c>
      <c r="L56" s="164">
        <f t="shared" si="34"/>
        <v>20.7</v>
      </c>
      <c r="M56" s="165">
        <f t="shared" si="35"/>
        <v>17.660879569892472</v>
      </c>
      <c r="V56" s="165"/>
      <c r="W56" s="165"/>
      <c r="X56" s="165"/>
      <c r="Y56" s="165"/>
      <c r="Z56" s="165"/>
      <c r="AA56" s="165">
        <f t="shared" si="36"/>
        <v>40</v>
      </c>
      <c r="AB56" s="165"/>
      <c r="AC56" s="202">
        <f t="shared" si="37"/>
        <v>105.50537634408602</v>
      </c>
      <c r="AD56" s="202">
        <f t="shared" si="38"/>
        <v>0.27958924731182794</v>
      </c>
      <c r="AE56" s="202">
        <f t="shared" si="32"/>
        <v>4.9679999999999993E-3</v>
      </c>
      <c r="AF56" s="202"/>
    </row>
    <row r="57" spans="1:41" x14ac:dyDescent="0.25">
      <c r="A57" s="776" t="s">
        <v>598</v>
      </c>
      <c r="B57" s="187" t="s">
        <v>628</v>
      </c>
      <c r="C57" s="120" t="s">
        <v>526</v>
      </c>
      <c r="D57" s="120">
        <v>0.27</v>
      </c>
      <c r="E57" s="124">
        <v>5.6194307400379504</v>
      </c>
      <c r="F57" s="125">
        <f t="shared" si="29"/>
        <v>1.4891491461100569E-2</v>
      </c>
      <c r="G57" s="120">
        <v>0.32</v>
      </c>
      <c r="H57" s="147"/>
      <c r="I57" s="160">
        <v>1</v>
      </c>
      <c r="J57" s="161">
        <f t="shared" si="30"/>
        <v>4.214573055028463E-2</v>
      </c>
      <c r="K57" s="161">
        <f t="shared" si="33"/>
        <v>1.4891491461100569E-2</v>
      </c>
      <c r="L57" s="160">
        <f t="shared" si="34"/>
        <v>4.3200000000000002E-2</v>
      </c>
      <c r="M57" s="161">
        <f>SUM(I57:L57)/D57</f>
        <v>4.0749526741162407</v>
      </c>
      <c r="U57" t="s">
        <v>650</v>
      </c>
      <c r="V57" s="510"/>
      <c r="W57" s="510"/>
      <c r="X57" s="161">
        <v>0.98</v>
      </c>
      <c r="Y57" s="161"/>
      <c r="Z57" s="161"/>
      <c r="AA57" s="161">
        <v>20</v>
      </c>
      <c r="AB57" s="161"/>
      <c r="AC57" s="201">
        <f t="shared" si="37"/>
        <v>20.812706444585</v>
      </c>
      <c r="AD57" s="201">
        <f t="shared" ref="AD57:AD59" si="39">K57/$D57 +V57</f>
        <v>5.5153672078150251E-2</v>
      </c>
      <c r="AE57" s="203">
        <f t="shared" si="32"/>
        <v>1.152E-3</v>
      </c>
      <c r="AF57" s="203"/>
    </row>
    <row r="58" spans="1:41" x14ac:dyDescent="0.25">
      <c r="A58" s="789"/>
      <c r="B58" s="121" t="s">
        <v>629</v>
      </c>
      <c r="C58" s="120" t="s">
        <v>527</v>
      </c>
      <c r="D58" s="120">
        <v>1.4999999999999999E-2</v>
      </c>
      <c r="E58" s="124">
        <v>1.269449715370019</v>
      </c>
      <c r="F58" s="125">
        <f>$F$5*E58</f>
        <v>6.3472485768500952E-2</v>
      </c>
      <c r="G58" s="147"/>
      <c r="H58" s="197">
        <f>$H$3 * $M$3 * ($I$3*$K$3*$D$58/$L$3)</f>
        <v>1.6277128547579298</v>
      </c>
      <c r="I58" s="160">
        <v>0</v>
      </c>
      <c r="J58" s="161">
        <f t="shared" si="30"/>
        <v>9.5208728652751429E-3</v>
      </c>
      <c r="K58" s="161">
        <f t="shared" si="33"/>
        <v>6.3472485768500952E-2</v>
      </c>
      <c r="L58" s="198">
        <f>H58</f>
        <v>1.6277128547579298</v>
      </c>
      <c r="M58" s="161">
        <f>SUM(I58:L58)/D58</f>
        <v>113.38041422611373</v>
      </c>
      <c r="U58" t="s">
        <v>645</v>
      </c>
      <c r="V58" s="510"/>
      <c r="W58" s="510"/>
      <c r="X58" s="161">
        <v>0.98</v>
      </c>
      <c r="Y58" s="161"/>
      <c r="Z58" s="161"/>
      <c r="AA58" s="161">
        <v>10</v>
      </c>
      <c r="AB58" s="161"/>
      <c r="AC58" s="201">
        <f>E58/D58</f>
        <v>84.629981024667941</v>
      </c>
      <c r="AD58" s="201">
        <f t="shared" si="39"/>
        <v>4.2314990512333974</v>
      </c>
      <c r="AE58" s="201"/>
      <c r="AF58" s="201">
        <f>$AF$67</f>
        <v>0.3</v>
      </c>
    </row>
    <row r="59" spans="1:41" x14ac:dyDescent="0.25">
      <c r="A59" s="789"/>
      <c r="B59" s="121" t="s">
        <v>630</v>
      </c>
      <c r="C59" s="120" t="s">
        <v>528</v>
      </c>
      <c r="D59" s="120">
        <v>3</v>
      </c>
      <c r="E59" s="124">
        <v>2266.3908918406073</v>
      </c>
      <c r="F59" s="125">
        <f>$F$3*E59</f>
        <v>6.0059358633776094</v>
      </c>
      <c r="G59" s="120">
        <v>1.3</v>
      </c>
      <c r="H59" s="147"/>
      <c r="I59" s="160">
        <v>341</v>
      </c>
      <c r="J59" s="161">
        <f t="shared" si="30"/>
        <v>16.997931688804552</v>
      </c>
      <c r="K59" s="161">
        <f t="shared" si="33"/>
        <v>6.0059358633776094</v>
      </c>
      <c r="L59" s="160">
        <f t="shared" si="34"/>
        <v>1.9500000000000002</v>
      </c>
      <c r="M59" s="161">
        <f t="shared" ref="M59:M60" si="40">SUM(I59:L59)/D59</f>
        <v>121.98462251739404</v>
      </c>
      <c r="U59" t="s">
        <v>649</v>
      </c>
      <c r="V59" s="510"/>
      <c r="W59" s="510"/>
      <c r="X59" s="161">
        <v>0.98</v>
      </c>
      <c r="Y59" s="161"/>
      <c r="Z59" s="161">
        <v>5</v>
      </c>
      <c r="AA59" s="161">
        <v>20</v>
      </c>
      <c r="AB59" s="161"/>
      <c r="AC59" s="201">
        <f>E59/D59</f>
        <v>755.46363061353577</v>
      </c>
      <c r="AD59" s="201">
        <f t="shared" si="39"/>
        <v>2.0019786211258697</v>
      </c>
      <c r="AE59" s="203">
        <f>G59*$S$4</f>
        <v>4.6800000000000001E-3</v>
      </c>
      <c r="AF59" s="201"/>
    </row>
    <row r="60" spans="1:41" ht="15.75" thickBot="1" x14ac:dyDescent="0.3">
      <c r="A60" s="128"/>
      <c r="B60" s="129" t="s">
        <v>631</v>
      </c>
      <c r="C60" s="128" t="s">
        <v>632</v>
      </c>
      <c r="D60" s="128">
        <v>0.1</v>
      </c>
      <c r="E60" s="162">
        <v>2.6235294117647059</v>
      </c>
      <c r="F60" s="130">
        <f>$F$3*E60</f>
        <v>6.9523529411764703E-3</v>
      </c>
      <c r="G60" s="128">
        <v>4.01</v>
      </c>
      <c r="H60" s="163"/>
      <c r="I60" s="164">
        <v>0</v>
      </c>
      <c r="J60" s="165">
        <f t="shared" si="30"/>
        <v>1.9676470588235292E-2</v>
      </c>
      <c r="K60" s="165">
        <f t="shared" si="33"/>
        <v>6.9523529411764703E-3</v>
      </c>
      <c r="L60" s="164">
        <f t="shared" si="34"/>
        <v>0.20050000000000001</v>
      </c>
      <c r="M60" s="165">
        <f t="shared" si="40"/>
        <v>2.2712882352941177</v>
      </c>
      <c r="U60" s="45" t="s">
        <v>678</v>
      </c>
      <c r="V60" s="511">
        <f>O4</f>
        <v>0.02</v>
      </c>
      <c r="W60" s="511"/>
      <c r="X60" s="165">
        <v>0.95</v>
      </c>
      <c r="Y60" s="165"/>
      <c r="Z60" s="165"/>
      <c r="AA60" s="165">
        <v>20</v>
      </c>
      <c r="AB60" s="165"/>
      <c r="AC60" s="202">
        <f t="shared" si="37"/>
        <v>26.235294117647058</v>
      </c>
      <c r="AD60" s="202">
        <f>K60/$D60 +V60</f>
        <v>8.9523529411764696E-2</v>
      </c>
      <c r="AE60" s="250">
        <f>G60*$S$4</f>
        <v>1.4435999999999999E-2</v>
      </c>
      <c r="AF60" s="202"/>
    </row>
    <row r="61" spans="1:41" x14ac:dyDescent="0.25">
      <c r="A61" s="166" t="s">
        <v>633</v>
      </c>
      <c r="AC61" s="81"/>
      <c r="AD61" s="81"/>
      <c r="AE61" s="81"/>
    </row>
    <row r="62" spans="1:41" x14ac:dyDescent="0.25">
      <c r="A62" s="167" t="s">
        <v>634</v>
      </c>
      <c r="AC62" s="81"/>
      <c r="AD62" s="81"/>
    </row>
    <row r="63" spans="1:41" x14ac:dyDescent="0.25">
      <c r="A63" s="167" t="s">
        <v>635</v>
      </c>
      <c r="AC63" s="81"/>
      <c r="AD63" t="s">
        <v>1377</v>
      </c>
    </row>
    <row r="64" spans="1:41" x14ac:dyDescent="0.25">
      <c r="AE64" t="s">
        <v>1378</v>
      </c>
      <c r="AF64">
        <f>$K$3*$J$3*$M$3</f>
        <v>2700</v>
      </c>
    </row>
    <row r="65" spans="2:32" x14ac:dyDescent="0.25">
      <c r="AE65" t="s">
        <v>1379</v>
      </c>
      <c r="AF65">
        <f>$I$3*AF64</f>
        <v>5400</v>
      </c>
    </row>
    <row r="66" spans="2:32" x14ac:dyDescent="0.25">
      <c r="AD66" t="s">
        <v>1380</v>
      </c>
      <c r="AE66" t="s">
        <v>1376</v>
      </c>
      <c r="AF66">
        <f>AF65/$J$3</f>
        <v>300</v>
      </c>
    </row>
    <row r="67" spans="2:32" x14ac:dyDescent="0.25">
      <c r="AE67" t="s">
        <v>149</v>
      </c>
      <c r="AF67">
        <f>AF66/1000</f>
        <v>0.3</v>
      </c>
    </row>
    <row r="68" spans="2:32" x14ac:dyDescent="0.25">
      <c r="B68" t="s">
        <v>1604</v>
      </c>
      <c r="C68" t="s">
        <v>94</v>
      </c>
      <c r="D68" t="s">
        <v>1605</v>
      </c>
      <c r="E68" t="s">
        <v>1615</v>
      </c>
      <c r="F68" t="s">
        <v>1606</v>
      </c>
      <c r="H68" t="s">
        <v>1611</v>
      </c>
      <c r="I68" t="s">
        <v>1608</v>
      </c>
      <c r="J68" t="s">
        <v>1609</v>
      </c>
    </row>
    <row r="69" spans="2:32" x14ac:dyDescent="0.25">
      <c r="B69" t="s">
        <v>1624</v>
      </c>
      <c r="C69">
        <v>130</v>
      </c>
      <c r="D69" t="s">
        <v>1614</v>
      </c>
      <c r="E69" t="s">
        <v>1586</v>
      </c>
      <c r="F69">
        <f>C69/D27</f>
        <v>0.2974828375286041</v>
      </c>
      <c r="H69" s="87" t="s">
        <v>1612</v>
      </c>
      <c r="I69" s="3">
        <f>D26+C69 +C70+C71</f>
        <v>3523.01</v>
      </c>
      <c r="J69" t="s">
        <v>1610</v>
      </c>
      <c r="U69" s="568"/>
    </row>
    <row r="70" spans="2:32" x14ac:dyDescent="0.25">
      <c r="B70" t="s">
        <v>1613</v>
      </c>
      <c r="C70">
        <v>126.01</v>
      </c>
      <c r="E70" t="s">
        <v>1616</v>
      </c>
    </row>
    <row r="71" spans="2:32" x14ac:dyDescent="0.25">
      <c r="B71" t="s">
        <v>1618</v>
      </c>
      <c r="C71">
        <v>190</v>
      </c>
      <c r="E71" t="s">
        <v>1617</v>
      </c>
    </row>
    <row r="72" spans="2:32" x14ac:dyDescent="0.25">
      <c r="B72" t="s">
        <v>1625</v>
      </c>
      <c r="E72" t="s">
        <v>1623</v>
      </c>
      <c r="F72">
        <f>200/D35</f>
        <v>0.87919817126780386</v>
      </c>
    </row>
    <row r="73" spans="2:32" x14ac:dyDescent="0.25">
      <c r="B73" t="s">
        <v>1626</v>
      </c>
      <c r="C73" t="s">
        <v>1627</v>
      </c>
      <c r="E73" t="s">
        <v>1628</v>
      </c>
      <c r="F73">
        <f>(AQ36-AQ35)/AQ36</f>
        <v>0.51048951048951052</v>
      </c>
    </row>
    <row r="74" spans="2:32" x14ac:dyDescent="0.25">
      <c r="B74" t="s">
        <v>1633</v>
      </c>
      <c r="C74" t="s">
        <v>1634</v>
      </c>
      <c r="F74">
        <f>-(2*D14)/D13</f>
        <v>-11.608391608391608</v>
      </c>
      <c r="G74">
        <v>-11.7</v>
      </c>
      <c r="I74" s="81">
        <f>G74*D13</f>
        <v>-334.62</v>
      </c>
    </row>
    <row r="75" spans="2:32" x14ac:dyDescent="0.25">
      <c r="B75" t="s">
        <v>1636</v>
      </c>
      <c r="F75">
        <f>-D18/(D14+D16)</f>
        <v>-0.390625</v>
      </c>
    </row>
  </sheetData>
  <mergeCells count="29">
    <mergeCell ref="A45:E45"/>
    <mergeCell ref="A38:D38"/>
    <mergeCell ref="A39:E39"/>
    <mergeCell ref="A34:A37"/>
    <mergeCell ref="A40:E40"/>
    <mergeCell ref="A41:E41"/>
    <mergeCell ref="A42:E42"/>
    <mergeCell ref="A43:E43"/>
    <mergeCell ref="A44:E44"/>
    <mergeCell ref="H50:H51"/>
    <mergeCell ref="M50:M51"/>
    <mergeCell ref="A53:A56"/>
    <mergeCell ref="A57:A59"/>
    <mergeCell ref="A46:E46"/>
    <mergeCell ref="A50:A51"/>
    <mergeCell ref="B50:B51"/>
    <mergeCell ref="C50:C51"/>
    <mergeCell ref="D50:D51"/>
    <mergeCell ref="G50:G51"/>
    <mergeCell ref="B47:E47"/>
    <mergeCell ref="A26:A33"/>
    <mergeCell ref="AH34:AK37"/>
    <mergeCell ref="AH26:AK33"/>
    <mergeCell ref="A19:A25"/>
    <mergeCell ref="A10:A11"/>
    <mergeCell ref="B10:B11"/>
    <mergeCell ref="C10:C11"/>
    <mergeCell ref="D10:D11"/>
    <mergeCell ref="A12:A18"/>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BA117"/>
  <sheetViews>
    <sheetView topLeftCell="A7" zoomScaleNormal="100" workbookViewId="0">
      <selection activeCell="E21" sqref="E21"/>
    </sheetView>
  </sheetViews>
  <sheetFormatPr defaultRowHeight="15" outlineLevelCol="1" x14ac:dyDescent="0.25"/>
  <cols>
    <col min="1" max="1" width="29" customWidth="1" outlineLevel="1"/>
    <col min="2" max="2" width="29.85546875" customWidth="1" outlineLevel="1"/>
    <col min="3" max="3" width="40" customWidth="1"/>
    <col min="4" max="4" width="15.5703125" customWidth="1"/>
    <col min="5" max="5" width="10.42578125" bestFit="1" customWidth="1"/>
    <col min="6" max="6" width="10" customWidth="1"/>
    <col min="8" max="8" width="12" customWidth="1"/>
    <col min="9" max="9" width="14.7109375" customWidth="1"/>
    <col min="10" max="10" width="18.7109375" customWidth="1"/>
    <col min="11" max="11" width="14.140625" customWidth="1"/>
    <col min="12" max="12" width="16.7109375" customWidth="1"/>
    <col min="13" max="13" width="14.7109375" customWidth="1"/>
    <col min="20" max="20" width="9.85546875" customWidth="1"/>
    <col min="21" max="21" width="11.28515625" customWidth="1"/>
    <col min="22" max="22" width="13.42578125" customWidth="1"/>
    <col min="23" max="23" width="12.28515625" customWidth="1"/>
    <col min="28" max="28" width="10.7109375" customWidth="1"/>
    <col min="29" max="31" width="13.85546875" customWidth="1"/>
    <col min="32" max="32" width="10.85546875" customWidth="1"/>
    <col min="33" max="33" width="12.140625" customWidth="1"/>
    <col min="34" max="34" width="12.28515625" customWidth="1"/>
    <col min="35" max="36" width="12.7109375" customWidth="1"/>
    <col min="37" max="37" width="2.85546875" customWidth="1"/>
    <col min="38" max="38" width="15.42578125" customWidth="1"/>
    <col min="39" max="39" width="12.85546875" customWidth="1"/>
  </cols>
  <sheetData>
    <row r="1" spans="1:41" x14ac:dyDescent="0.25">
      <c r="D1" s="605" t="s">
        <v>541</v>
      </c>
      <c r="E1" s="605" t="s">
        <v>20</v>
      </c>
      <c r="F1" s="605"/>
      <c r="G1" s="605" t="s">
        <v>544</v>
      </c>
      <c r="H1" s="605" t="s">
        <v>543</v>
      </c>
      <c r="I1" s="605" t="s">
        <v>546</v>
      </c>
      <c r="J1" s="605" t="s">
        <v>547</v>
      </c>
      <c r="K1" s="605" t="s">
        <v>548</v>
      </c>
      <c r="L1" s="605" t="s">
        <v>549</v>
      </c>
      <c r="M1" s="605" t="s">
        <v>648</v>
      </c>
      <c r="N1" s="605" t="s">
        <v>550</v>
      </c>
      <c r="O1" s="605" t="s">
        <v>551</v>
      </c>
      <c r="Q1" t="s">
        <v>677</v>
      </c>
      <c r="U1" t="s">
        <v>1790</v>
      </c>
    </row>
    <row r="2" spans="1:41" x14ac:dyDescent="0.25">
      <c r="C2" s="54" t="s">
        <v>1639</v>
      </c>
      <c r="D2" s="605" t="s">
        <v>402</v>
      </c>
      <c r="E2" s="605" t="s">
        <v>402</v>
      </c>
      <c r="F2" s="605"/>
      <c r="G2" s="605" t="s">
        <v>402</v>
      </c>
      <c r="H2" s="605" t="s">
        <v>402</v>
      </c>
      <c r="I2" s="605" t="s">
        <v>223</v>
      </c>
      <c r="J2" s="605" t="s">
        <v>552</v>
      </c>
      <c r="K2" s="115" t="s">
        <v>1375</v>
      </c>
      <c r="L2" s="605" t="s">
        <v>287</v>
      </c>
      <c r="M2" s="605" t="s">
        <v>446</v>
      </c>
      <c r="N2" s="605" t="s">
        <v>553</v>
      </c>
      <c r="O2" s="605"/>
      <c r="Q2" t="s">
        <v>676</v>
      </c>
      <c r="T2" t="s">
        <v>1791</v>
      </c>
      <c r="U2" t="s">
        <v>118</v>
      </c>
      <c r="V2" t="s">
        <v>395</v>
      </c>
      <c r="AH2">
        <f>G19*$U$4</f>
        <v>4.9751999999999998E-2</v>
      </c>
    </row>
    <row r="3" spans="1:41" x14ac:dyDescent="0.25">
      <c r="C3" s="26" t="e">
        <f>[3]WATClimate!D2</f>
        <v>#REF!</v>
      </c>
      <c r="D3" s="112">
        <v>0.125</v>
      </c>
      <c r="E3" s="113">
        <v>0.08</v>
      </c>
      <c r="F3" s="113"/>
      <c r="G3" s="86">
        <v>0.3</v>
      </c>
      <c r="H3" s="114">
        <f>0.265%</f>
        <v>2.65E-3</v>
      </c>
      <c r="I3" s="605">
        <v>0.5</v>
      </c>
      <c r="J3" s="605">
        <v>13</v>
      </c>
      <c r="K3" s="605">
        <v>2</v>
      </c>
      <c r="L3" s="605">
        <v>18</v>
      </c>
      <c r="M3" s="605">
        <v>300</v>
      </c>
      <c r="N3" s="605">
        <v>35.94</v>
      </c>
      <c r="O3" s="86">
        <f>50%</f>
        <v>0.5</v>
      </c>
      <c r="Q3" t="s">
        <v>492</v>
      </c>
      <c r="T3" t="s">
        <v>1792</v>
      </c>
      <c r="U3" t="s">
        <v>149</v>
      </c>
      <c r="V3" t="s">
        <v>217</v>
      </c>
    </row>
    <row r="4" spans="1:41" x14ac:dyDescent="0.25">
      <c r="D4" s="605" t="s">
        <v>542</v>
      </c>
      <c r="E4" s="605" t="s">
        <v>545</v>
      </c>
      <c r="F4" s="605"/>
      <c r="H4" s="605" t="s">
        <v>602</v>
      </c>
      <c r="J4" s="605"/>
      <c r="K4" s="605"/>
      <c r="M4" s="605"/>
      <c r="N4" s="605"/>
      <c r="O4" s="605"/>
      <c r="P4" s="605"/>
      <c r="Q4" s="605">
        <v>0.02</v>
      </c>
      <c r="U4">
        <f>units!$D$8</f>
        <v>3.5999999999999999E-3</v>
      </c>
      <c r="V4" s="399">
        <f>1/U4/1000</f>
        <v>0.27777777777777779</v>
      </c>
    </row>
    <row r="5" spans="1:41" x14ac:dyDescent="0.25">
      <c r="D5" s="605" t="s">
        <v>211</v>
      </c>
      <c r="E5" s="605" t="s">
        <v>211</v>
      </c>
      <c r="F5" s="605"/>
      <c r="H5" s="114">
        <v>0.05</v>
      </c>
      <c r="J5" s="605"/>
      <c r="K5" s="605"/>
      <c r="M5" s="605"/>
      <c r="N5" s="605"/>
      <c r="O5" s="605"/>
      <c r="P5" s="605"/>
      <c r="Q5" s="605"/>
      <c r="U5">
        <f>0.0001/U4</f>
        <v>2.777777777777778E-2</v>
      </c>
      <c r="V5" s="498"/>
    </row>
    <row r="6" spans="1:41" x14ac:dyDescent="0.25">
      <c r="D6" s="605">
        <v>25</v>
      </c>
      <c r="E6" s="605">
        <v>40</v>
      </c>
      <c r="F6" s="605"/>
      <c r="V6" s="499"/>
    </row>
    <row r="7" spans="1:41" ht="15.75" thickBot="1" x14ac:dyDescent="0.3">
      <c r="Y7" s="5"/>
    </row>
    <row r="8" spans="1:41" ht="15.75" thickBot="1" x14ac:dyDescent="0.3">
      <c r="A8" s="5" t="s">
        <v>554</v>
      </c>
      <c r="B8" s="5"/>
      <c r="C8" t="s">
        <v>555</v>
      </c>
      <c r="V8" s="117" t="s">
        <v>568</v>
      </c>
      <c r="Y8" s="5"/>
      <c r="AF8" s="613" t="s">
        <v>646</v>
      </c>
      <c r="AG8" s="613"/>
      <c r="AH8" s="613"/>
      <c r="AI8" s="613"/>
    </row>
    <row r="9" spans="1:41" s="9" customFormat="1" ht="15.75" thickBot="1" x14ac:dyDescent="0.3">
      <c r="A9" s="528" t="s">
        <v>556</v>
      </c>
      <c r="B9" s="528"/>
      <c r="V9" s="117" t="s">
        <v>81</v>
      </c>
      <c r="X9" s="614"/>
      <c r="Y9" s="614"/>
      <c r="Z9" s="615"/>
      <c r="AA9" s="615"/>
      <c r="AB9" s="615"/>
      <c r="AC9" s="615"/>
      <c r="AD9" s="615"/>
      <c r="AE9" s="615"/>
      <c r="AF9" s="615"/>
      <c r="AG9" s="615"/>
      <c r="AH9" s="615" t="s">
        <v>834</v>
      </c>
      <c r="AI9" s="616" t="s">
        <v>836</v>
      </c>
      <c r="AJ9"/>
      <c r="AN9" s="9" t="s">
        <v>640</v>
      </c>
      <c r="AO9" s="9" t="s">
        <v>641</v>
      </c>
    </row>
    <row r="10" spans="1:41" ht="33.75" x14ac:dyDescent="0.25">
      <c r="A10" s="785" t="s">
        <v>557</v>
      </c>
      <c r="B10" s="421"/>
      <c r="C10" s="787" t="s">
        <v>413</v>
      </c>
      <c r="D10" s="787" t="s">
        <v>507</v>
      </c>
      <c r="E10" s="787" t="s">
        <v>1640</v>
      </c>
      <c r="F10" s="787" t="s">
        <v>1641</v>
      </c>
      <c r="G10" s="610" t="s">
        <v>559</v>
      </c>
      <c r="H10" s="610" t="s">
        <v>468</v>
      </c>
      <c r="I10" s="610" t="s">
        <v>560</v>
      </c>
      <c r="J10" s="610" t="s">
        <v>561</v>
      </c>
      <c r="K10" s="610" t="s">
        <v>562</v>
      </c>
      <c r="L10" s="610" t="s">
        <v>563</v>
      </c>
      <c r="M10" s="610" t="s">
        <v>564</v>
      </c>
      <c r="N10" s="610" t="s">
        <v>565</v>
      </c>
      <c r="O10" s="610" t="s">
        <v>566</v>
      </c>
      <c r="P10" s="610" t="s">
        <v>567</v>
      </c>
      <c r="T10" s="421" t="str">
        <f>O10</f>
        <v>Net UWC (R/m3/a)</v>
      </c>
      <c r="V10" s="617" t="s">
        <v>1642</v>
      </c>
      <c r="X10" t="s">
        <v>492</v>
      </c>
      <c r="AA10" t="s">
        <v>639</v>
      </c>
      <c r="AB10" t="s">
        <v>639</v>
      </c>
      <c r="AC10" t="s">
        <v>639</v>
      </c>
      <c r="AD10" t="s">
        <v>94</v>
      </c>
      <c r="AF10" s="9" t="s">
        <v>492</v>
      </c>
      <c r="AG10" s="9" t="s">
        <v>1643</v>
      </c>
      <c r="AH10" s="9" t="s">
        <v>149</v>
      </c>
      <c r="AI10" s="9" t="s">
        <v>149</v>
      </c>
      <c r="AJ10" s="596" t="s">
        <v>1644</v>
      </c>
      <c r="AL10" s="9" t="s">
        <v>492</v>
      </c>
      <c r="AM10" s="9" t="s">
        <v>493</v>
      </c>
      <c r="AN10" s="9" t="s">
        <v>149</v>
      </c>
      <c r="AO10" s="9" t="s">
        <v>149</v>
      </c>
    </row>
    <row r="11" spans="1:41" ht="15.75" thickBot="1" x14ac:dyDescent="0.3">
      <c r="A11" s="786"/>
      <c r="B11" s="611"/>
      <c r="C11" s="788"/>
      <c r="D11" s="788"/>
      <c r="E11" s="788"/>
      <c r="F11" s="788"/>
      <c r="G11" s="611" t="s">
        <v>569</v>
      </c>
      <c r="H11" s="611" t="s">
        <v>570</v>
      </c>
      <c r="I11" s="611" t="s">
        <v>570</v>
      </c>
      <c r="J11" s="611" t="s">
        <v>570</v>
      </c>
      <c r="K11" s="611" t="s">
        <v>570</v>
      </c>
      <c r="L11" s="611" t="s">
        <v>570</v>
      </c>
      <c r="M11" s="611" t="s">
        <v>570</v>
      </c>
      <c r="N11" s="611"/>
      <c r="O11" s="611"/>
      <c r="P11" s="611"/>
      <c r="T11" s="423"/>
      <c r="V11" s="111">
        <v>0.84629981024667933</v>
      </c>
      <c r="X11" s="477" t="s">
        <v>636</v>
      </c>
      <c r="Y11" s="118" t="s">
        <v>847</v>
      </c>
      <c r="Z11" s="477" t="s">
        <v>571</v>
      </c>
      <c r="AA11" s="204" t="s">
        <v>679</v>
      </c>
      <c r="AB11" s="118" t="s">
        <v>572</v>
      </c>
      <c r="AC11" s="118" t="s">
        <v>573</v>
      </c>
      <c r="AD11" s="118" t="s">
        <v>574</v>
      </c>
      <c r="AE11" s="118" t="s">
        <v>1645</v>
      </c>
      <c r="AF11" s="118" t="s">
        <v>730</v>
      </c>
      <c r="AG11" s="178" t="s">
        <v>644</v>
      </c>
      <c r="AH11" t="s">
        <v>842</v>
      </c>
      <c r="AI11" t="s">
        <v>842</v>
      </c>
      <c r="AL11" s="118" t="s">
        <v>643</v>
      </c>
      <c r="AM11" s="118" t="s">
        <v>644</v>
      </c>
      <c r="AN11" s="118" t="s">
        <v>642</v>
      </c>
      <c r="AO11" s="118" t="s">
        <v>642</v>
      </c>
    </row>
    <row r="12" spans="1:41" s="45" customFormat="1" ht="15.75" thickBot="1" x14ac:dyDescent="0.3">
      <c r="A12" s="776" t="s">
        <v>58</v>
      </c>
      <c r="B12" s="608"/>
      <c r="C12" s="577" t="s">
        <v>585</v>
      </c>
      <c r="D12" s="577" t="s">
        <v>576</v>
      </c>
      <c r="E12" s="580">
        <f xml:space="preserve"> (14.7 + 10.4)</f>
        <v>25.1</v>
      </c>
      <c r="F12" s="580">
        <f>E12*INDEX([3]WATClimate!$B$6:$B$9,MATCH('TechWATv5 (supwat5)'!D12,[3]WATClimate!$A$6:$A$9,1))</f>
        <v>24.598000000000003</v>
      </c>
      <c r="G12" s="726"/>
      <c r="H12" s="585"/>
      <c r="I12" s="727"/>
      <c r="J12" s="584"/>
      <c r="K12" s="584"/>
      <c r="L12" s="584"/>
      <c r="M12" s="585"/>
      <c r="N12" s="585"/>
      <c r="O12" s="584"/>
      <c r="P12" s="581"/>
      <c r="T12" s="422"/>
      <c r="V12" s="605" t="s">
        <v>1646</v>
      </c>
      <c r="W12" s="45" t="s">
        <v>669</v>
      </c>
      <c r="X12" s="586">
        <f>$Q$4+'Existing Plants by Coal Supply'!U28/100</f>
        <v>0.59624554079696401</v>
      </c>
      <c r="Y12" s="205"/>
      <c r="Z12" s="400">
        <v>0.98</v>
      </c>
      <c r="AA12" s="172"/>
      <c r="AB12" s="119"/>
      <c r="AC12" s="134">
        <v>100</v>
      </c>
      <c r="AD12" s="134">
        <f>E12</f>
        <v>25.1</v>
      </c>
      <c r="AE12" s="134"/>
      <c r="AF12" s="613"/>
      <c r="AG12" s="613">
        <f>L12/$E12 +X12</f>
        <v>0.59624554079696401</v>
      </c>
      <c r="AH12" s="613"/>
      <c r="AI12" s="618"/>
      <c r="AJ12" s="3">
        <f>E12/F12</f>
        <v>1.0204081632653061</v>
      </c>
      <c r="AL12" s="134"/>
      <c r="AM12" s="173"/>
      <c r="AN12" s="247"/>
      <c r="AO12" s="247"/>
    </row>
    <row r="13" spans="1:41" s="45" customFormat="1" ht="15.75" thickBot="1" x14ac:dyDescent="0.3">
      <c r="A13" s="777"/>
      <c r="B13" s="608"/>
      <c r="C13" s="577"/>
      <c r="D13" s="577"/>
      <c r="E13" s="580"/>
      <c r="F13" s="580"/>
      <c r="G13" s="726"/>
      <c r="H13" s="585"/>
      <c r="I13" s="727"/>
      <c r="J13" s="584"/>
      <c r="K13" s="584"/>
      <c r="L13" s="584"/>
      <c r="M13" s="585"/>
      <c r="N13" s="585"/>
      <c r="O13" s="584"/>
      <c r="P13" s="581"/>
      <c r="T13" s="133"/>
      <c r="V13" s="605">
        <v>1E-3</v>
      </c>
      <c r="W13" t="s">
        <v>1647</v>
      </c>
      <c r="X13" s="586"/>
      <c r="Y13" s="205"/>
      <c r="Z13" s="400"/>
      <c r="AA13" s="172"/>
      <c r="AB13" s="119"/>
      <c r="AC13" s="134">
        <v>100</v>
      </c>
      <c r="AD13" s="134">
        <v>40</v>
      </c>
      <c r="AE13" s="134"/>
      <c r="AF13" s="613"/>
      <c r="AG13" s="613"/>
      <c r="AH13" s="613"/>
      <c r="AI13" s="618"/>
      <c r="AJ13" s="3">
        <f>AJ12</f>
        <v>1.0204081632653061</v>
      </c>
      <c r="AL13" s="134"/>
      <c r="AM13" s="173"/>
      <c r="AN13" s="247"/>
      <c r="AO13" s="247"/>
    </row>
    <row r="14" spans="1:41" x14ac:dyDescent="0.25">
      <c r="A14" s="777"/>
      <c r="B14" s="608"/>
      <c r="C14" s="120" t="s">
        <v>577</v>
      </c>
      <c r="D14" s="619" t="s">
        <v>578</v>
      </c>
      <c r="E14" s="728">
        <v>28.6</v>
      </c>
      <c r="F14" s="728">
        <f>E14*INDEX([3]WATClimate!$B$6:$B$9,MATCH('TechWATv5 (supwat5)'!D14,[3]WATClimate!$A$6:$A$9,1))</f>
        <v>28.028000000000002</v>
      </c>
      <c r="G14" s="729">
        <v>0.85</v>
      </c>
      <c r="H14" s="123">
        <v>1758.6110056925997</v>
      </c>
      <c r="I14" s="730">
        <f t="shared" ref="I14:I19" si="0">$H$3*H14</f>
        <v>4.6603191650853892</v>
      </c>
      <c r="J14" s="122">
        <f t="shared" ref="J14:J19" si="1">-PMT($D$3,$D$6,$H14)</f>
        <v>232.03718733126547</v>
      </c>
      <c r="K14" s="122">
        <f t="shared" ref="K14:K19" si="2">$H14*$G$3/$E$6</f>
        <v>13.189582542694499</v>
      </c>
      <c r="L14" s="122">
        <f t="shared" ref="L14:L19" si="3">$H$3*$H14</f>
        <v>4.6603191650853892</v>
      </c>
      <c r="M14" s="123">
        <f t="shared" ref="M14:M19" si="4">G14*E14*$I$3</f>
        <v>12.155000000000001</v>
      </c>
      <c r="N14" s="124">
        <f t="shared" ref="N14:N19" si="5">SUM(J14:M14)/$E14</f>
        <v>9.1623108055610256</v>
      </c>
      <c r="O14" s="125">
        <f t="shared" ref="O14:O19" si="6">N14 +R14</f>
        <v>9.1623108055610256</v>
      </c>
      <c r="P14" s="121"/>
      <c r="R14">
        <v>0</v>
      </c>
      <c r="T14" s="126">
        <f>O14+$O$58</f>
        <v>9.5538883071423033</v>
      </c>
      <c r="W14" s="45" t="s">
        <v>670</v>
      </c>
      <c r="X14" s="394">
        <f>$Q$4</f>
        <v>0.02</v>
      </c>
      <c r="Z14" s="400">
        <v>0.98</v>
      </c>
      <c r="AA14" s="605">
        <v>2006</v>
      </c>
      <c r="AB14" s="605">
        <v>3</v>
      </c>
      <c r="AC14" s="605">
        <v>100</v>
      </c>
      <c r="AD14" s="605">
        <f>E14</f>
        <v>28.6</v>
      </c>
      <c r="AE14">
        <f>$V$13+AD14</f>
        <v>28.601000000000003</v>
      </c>
      <c r="AF14" s="613">
        <f>H14/E14+ $AF$58</f>
        <v>63.944164753652423</v>
      </c>
      <c r="AG14" s="613">
        <f>L14/$E14 +X14 +$AG$58</f>
        <v>0.37806264380780508</v>
      </c>
      <c r="AH14" s="621">
        <f>G14*$U$4 + $AH$58 -0.0001</f>
        <v>2.96E-3</v>
      </c>
      <c r="AI14" s="622"/>
      <c r="AJ14" s="3">
        <f t="shared" ref="AJ14:AJ36" si="7">E14/F14</f>
        <v>1.0204081632653061</v>
      </c>
      <c r="AL14" s="243"/>
      <c r="AM14" s="243"/>
      <c r="AN14" s="244"/>
      <c r="AO14" s="605"/>
    </row>
    <row r="15" spans="1:41" x14ac:dyDescent="0.25">
      <c r="A15" s="777"/>
      <c r="B15" s="135" t="s">
        <v>1648</v>
      </c>
      <c r="C15" s="120" t="s">
        <v>1631</v>
      </c>
      <c r="D15" s="619" t="s">
        <v>579</v>
      </c>
      <c r="E15" s="728">
        <v>75</v>
      </c>
      <c r="F15" s="731">
        <f>E15</f>
        <v>75</v>
      </c>
      <c r="G15" s="729">
        <v>0.8</v>
      </c>
      <c r="H15" s="123">
        <v>8173.7787555494733</v>
      </c>
      <c r="I15" s="732">
        <f t="shared" si="0"/>
        <v>21.660513702206103</v>
      </c>
      <c r="J15" s="122">
        <f t="shared" si="1"/>
        <v>1078.4764943278622</v>
      </c>
      <c r="K15" s="122">
        <f>$H15*$G$3/$E$6</f>
        <v>61.303340666621047</v>
      </c>
      <c r="L15" s="122">
        <f t="shared" si="3"/>
        <v>21.660513702206103</v>
      </c>
      <c r="M15" s="123">
        <f t="shared" si="4"/>
        <v>30</v>
      </c>
      <c r="N15" s="124">
        <f t="shared" si="5"/>
        <v>15.885871315955859</v>
      </c>
      <c r="O15" s="125">
        <f t="shared" si="6"/>
        <v>15.885871315955859</v>
      </c>
      <c r="P15" s="121"/>
      <c r="Q15">
        <f>E15+E17</f>
        <v>165</v>
      </c>
      <c r="R15">
        <v>0</v>
      </c>
      <c r="T15" s="127">
        <f>O15</f>
        <v>15.885871315955859</v>
      </c>
      <c r="V15" t="s">
        <v>1797</v>
      </c>
      <c r="W15" s="45" t="s">
        <v>1632</v>
      </c>
      <c r="X15" s="394">
        <f>$Q$4</f>
        <v>0.02</v>
      </c>
      <c r="Z15" s="400">
        <v>0.98</v>
      </c>
      <c r="AA15" s="605">
        <v>2010</v>
      </c>
      <c r="AB15" s="605">
        <v>6</v>
      </c>
      <c r="AC15" s="605">
        <v>100</v>
      </c>
      <c r="AD15" s="605">
        <f>E15</f>
        <v>75</v>
      </c>
      <c r="AE15">
        <f>2*AD15</f>
        <v>150</v>
      </c>
      <c r="AF15" s="613">
        <f>H15/E15</f>
        <v>108.98371674065964</v>
      </c>
      <c r="AG15" s="613">
        <f>L15/$E15 +X15</f>
        <v>0.30880684936274805</v>
      </c>
      <c r="AH15" s="621">
        <f>G15*$U$4 + 0.0002</f>
        <v>3.0800000000000003E-3</v>
      </c>
      <c r="AI15" s="622"/>
      <c r="AJ15" s="3">
        <f t="shared" si="7"/>
        <v>1</v>
      </c>
      <c r="AL15" s="243"/>
      <c r="AM15" s="243"/>
      <c r="AN15" s="244"/>
      <c r="AO15" s="243"/>
    </row>
    <row r="16" spans="1:41" x14ac:dyDescent="0.25">
      <c r="A16" s="777"/>
      <c r="B16" s="623" t="s">
        <v>1649</v>
      </c>
      <c r="C16" s="623" t="s">
        <v>580</v>
      </c>
      <c r="D16" s="619" t="s">
        <v>512</v>
      </c>
      <c r="E16" s="728">
        <v>126</v>
      </c>
      <c r="F16" s="728">
        <f>E16*INDEX([3]WATClimate!$B$6:$B$9,MATCH('TechWATv5 (supwat5)'!D16,[3]WATClimate!$A$6:$A$9,1))</f>
        <v>123.48</v>
      </c>
      <c r="G16" s="729">
        <v>0.87</v>
      </c>
      <c r="H16" s="123">
        <v>1216.1328273244783</v>
      </c>
      <c r="I16" s="732">
        <f t="shared" si="0"/>
        <v>3.2227519924098673</v>
      </c>
      <c r="J16" s="122">
        <f t="shared" si="1"/>
        <v>160.46074985323796</v>
      </c>
      <c r="K16" s="122">
        <f t="shared" si="2"/>
        <v>9.1209962049335864</v>
      </c>
      <c r="L16" s="122">
        <f t="shared" si="3"/>
        <v>3.2227519924098673</v>
      </c>
      <c r="M16" s="123">
        <f t="shared" si="4"/>
        <v>54.81</v>
      </c>
      <c r="N16" s="124">
        <f t="shared" si="5"/>
        <v>1.8064642702427096</v>
      </c>
      <c r="O16" s="125">
        <f t="shared" si="6"/>
        <v>11.026464270242711</v>
      </c>
      <c r="P16" s="121">
        <v>1</v>
      </c>
      <c r="R16">
        <v>9.2200000000000006</v>
      </c>
      <c r="T16" s="127">
        <f>O16</f>
        <v>11.026464270242711</v>
      </c>
      <c r="W16" s="45" t="s">
        <v>671</v>
      </c>
      <c r="X16" s="394">
        <f>$Q$4</f>
        <v>0.02</v>
      </c>
      <c r="Z16" s="400">
        <v>0.9</v>
      </c>
      <c r="AA16" s="605">
        <v>2010</v>
      </c>
      <c r="AB16" s="605">
        <v>9</v>
      </c>
      <c r="AC16" s="605">
        <v>100</v>
      </c>
      <c r="AD16" s="605">
        <f>E16</f>
        <v>126</v>
      </c>
      <c r="AE16">
        <f>$V$13+AD16</f>
        <v>126.001</v>
      </c>
      <c r="AF16" s="613">
        <f>H16/E16</f>
        <v>9.6518478359085584</v>
      </c>
      <c r="AG16" s="613">
        <f>L16/$E16 +X16</f>
        <v>4.5577396765157679E-2</v>
      </c>
      <c r="AH16" s="621">
        <f>G16*$U$4</f>
        <v>3.1319999999999998E-3</v>
      </c>
      <c r="AI16" s="622"/>
      <c r="AJ16" s="3">
        <f t="shared" si="7"/>
        <v>1.0204081632653061</v>
      </c>
      <c r="AL16" s="243"/>
      <c r="AM16" s="243"/>
      <c r="AN16" s="244"/>
      <c r="AO16" s="605"/>
    </row>
    <row r="17" spans="1:45" x14ac:dyDescent="0.25">
      <c r="A17" s="777"/>
      <c r="B17" s="533" t="s">
        <v>682</v>
      </c>
      <c r="C17" s="533" t="s">
        <v>581</v>
      </c>
      <c r="D17" s="619" t="s">
        <v>513</v>
      </c>
      <c r="E17" s="728">
        <v>90</v>
      </c>
      <c r="F17" s="728">
        <f>E17*INDEX([3]WATClimate!$B$6:$B$9,MATCH('TechWATv5 (supwat5)'!D17,[3]WATClimate!$A$6:$A$9,1))</f>
        <v>88.2</v>
      </c>
      <c r="G17" s="729">
        <v>1</v>
      </c>
      <c r="H17" s="123">
        <v>2561.7495256166985</v>
      </c>
      <c r="I17" s="732">
        <f t="shared" si="0"/>
        <v>6.7886362428842508</v>
      </c>
      <c r="J17" s="122">
        <f t="shared" si="1"/>
        <v>338.00604718563068</v>
      </c>
      <c r="K17" s="122">
        <f t="shared" si="2"/>
        <v>19.213121442125239</v>
      </c>
      <c r="L17" s="122">
        <f t="shared" si="3"/>
        <v>6.7886362428842508</v>
      </c>
      <c r="M17" s="123">
        <f t="shared" si="4"/>
        <v>45</v>
      </c>
      <c r="N17" s="124">
        <f t="shared" si="5"/>
        <v>4.5445311652293352</v>
      </c>
      <c r="O17" s="125">
        <f t="shared" si="6"/>
        <v>13.764531165229334</v>
      </c>
      <c r="P17" s="121">
        <v>1</v>
      </c>
      <c r="R17">
        <v>9.2199999999999989</v>
      </c>
      <c r="T17" s="127">
        <f>O17+$O$58</f>
        <v>14.156108666810612</v>
      </c>
      <c r="W17" s="45" t="s">
        <v>672</v>
      </c>
      <c r="X17" s="394">
        <f>X16</f>
        <v>0.02</v>
      </c>
      <c r="Z17" s="400">
        <v>0.9</v>
      </c>
      <c r="AA17" s="605">
        <v>2010</v>
      </c>
      <c r="AB17" s="605">
        <v>10</v>
      </c>
      <c r="AC17" s="605">
        <v>100</v>
      </c>
      <c r="AD17" s="605">
        <f>E17</f>
        <v>90</v>
      </c>
      <c r="AE17">
        <f>$V$13+AD17</f>
        <v>90.001000000000005</v>
      </c>
      <c r="AF17" s="613">
        <f>H17/E17</f>
        <v>28.463883617963315</v>
      </c>
      <c r="AG17" s="613">
        <f>L17/$E17 +X17</f>
        <v>9.5429291587602785E-2</v>
      </c>
      <c r="AH17" s="621">
        <f>G17*$U$4</f>
        <v>3.5999999999999999E-3</v>
      </c>
      <c r="AI17" s="622"/>
      <c r="AJ17" s="3">
        <f t="shared" si="7"/>
        <v>1.0204081632653061</v>
      </c>
      <c r="AL17" s="243"/>
      <c r="AM17" s="243"/>
      <c r="AN17" s="244"/>
      <c r="AO17" s="605"/>
    </row>
    <row r="18" spans="1:45" x14ac:dyDescent="0.25">
      <c r="A18" s="777"/>
      <c r="B18" s="608"/>
      <c r="C18" s="662" t="s">
        <v>582</v>
      </c>
      <c r="D18" s="619" t="s">
        <v>583</v>
      </c>
      <c r="E18" s="728">
        <v>100</v>
      </c>
      <c r="F18" s="728">
        <f>E18*INDEX([3]WATClimate!$B$6:$B$9,MATCH('TechWATv5 (supwat5)'!D18,[3]WATClimate!$A$6:$A$9,1))</f>
        <v>98</v>
      </c>
      <c r="G18" s="729">
        <v>2.44</v>
      </c>
      <c r="H18" s="123">
        <v>14469.187855787477</v>
      </c>
      <c r="I18" s="732">
        <f t="shared" si="0"/>
        <v>38.343347817836815</v>
      </c>
      <c r="J18" s="122">
        <f t="shared" si="1"/>
        <v>1909.1144330137852</v>
      </c>
      <c r="K18" s="122">
        <f t="shared" si="2"/>
        <v>108.51890891840608</v>
      </c>
      <c r="L18" s="122">
        <f t="shared" si="3"/>
        <v>38.343347817836815</v>
      </c>
      <c r="M18" s="123">
        <f t="shared" si="4"/>
        <v>122</v>
      </c>
      <c r="N18" s="124">
        <f t="shared" si="5"/>
        <v>21.779766897500281</v>
      </c>
      <c r="O18" s="125">
        <f t="shared" si="6"/>
        <v>26.779766897500281</v>
      </c>
      <c r="P18" s="121">
        <v>2</v>
      </c>
      <c r="R18">
        <v>5</v>
      </c>
      <c r="T18" s="127">
        <f>O18+$O$58</f>
        <v>27.171344399081558</v>
      </c>
      <c r="W18" s="45" t="s">
        <v>673</v>
      </c>
      <c r="X18" s="587"/>
      <c r="Y18" s="59"/>
      <c r="Z18" s="478"/>
      <c r="AA18" s="144"/>
      <c r="AB18" s="144"/>
      <c r="AC18" s="144"/>
      <c r="AD18" s="144">
        <v>0</v>
      </c>
      <c r="AE18" s="144"/>
      <c r="AF18" s="613"/>
      <c r="AG18" s="613"/>
      <c r="AH18" s="624"/>
      <c r="AI18" s="625"/>
      <c r="AJ18" s="3">
        <f t="shared" si="7"/>
        <v>1.0204081632653061</v>
      </c>
      <c r="AL18" s="144"/>
      <c r="AM18" s="144"/>
      <c r="AN18" s="144"/>
      <c r="AO18" s="144"/>
    </row>
    <row r="19" spans="1:45" ht="15.75" thickBot="1" x14ac:dyDescent="0.3">
      <c r="A19" s="777"/>
      <c r="B19" s="692"/>
      <c r="C19" s="135" t="s">
        <v>584</v>
      </c>
      <c r="D19" s="581" t="s">
        <v>514</v>
      </c>
      <c r="E19" s="585">
        <v>100</v>
      </c>
      <c r="F19" s="585">
        <f>E19</f>
        <v>100</v>
      </c>
      <c r="G19" s="726">
        <v>13.82</v>
      </c>
      <c r="H19" s="663">
        <v>20895.988614800761</v>
      </c>
      <c r="I19" s="730">
        <f t="shared" si="0"/>
        <v>55.374369829222019</v>
      </c>
      <c r="J19" s="122">
        <f t="shared" si="1"/>
        <v>2757.0886392667353</v>
      </c>
      <c r="K19" s="122">
        <f t="shared" si="2"/>
        <v>156.71991461100569</v>
      </c>
      <c r="L19" s="122">
        <f t="shared" si="3"/>
        <v>55.374369829222019</v>
      </c>
      <c r="M19" s="663">
        <f t="shared" si="4"/>
        <v>691</v>
      </c>
      <c r="N19" s="663">
        <f t="shared" si="5"/>
        <v>36.60182923706963</v>
      </c>
      <c r="O19" s="122">
        <f t="shared" si="6"/>
        <v>34.60182923706963</v>
      </c>
      <c r="P19" s="135">
        <v>3</v>
      </c>
      <c r="R19">
        <v>-2</v>
      </c>
      <c r="T19" s="132">
        <f>O19</f>
        <v>34.60182923706963</v>
      </c>
      <c r="W19" s="119" t="s">
        <v>674</v>
      </c>
      <c r="X19" s="478">
        <v>0</v>
      </c>
      <c r="Y19" s="144"/>
      <c r="Z19" s="478">
        <v>1</v>
      </c>
      <c r="AA19" s="144">
        <v>2025</v>
      </c>
      <c r="AB19" s="144">
        <v>10</v>
      </c>
      <c r="AC19" s="144">
        <f>$E$6</f>
        <v>40</v>
      </c>
      <c r="AD19" s="144">
        <v>-1</v>
      </c>
      <c r="AE19" s="144"/>
      <c r="AF19" s="629">
        <f>H19/E19</f>
        <v>208.9598861480076</v>
      </c>
      <c r="AG19" s="629">
        <f>L19/$E19 +X19</f>
        <v>0.55374369829222014</v>
      </c>
      <c r="AH19" s="699">
        <f>G19*$U$4</f>
        <v>4.9751999999999998E-2</v>
      </c>
      <c r="AI19" s="629"/>
      <c r="AJ19" s="702">
        <f t="shared" si="7"/>
        <v>1</v>
      </c>
      <c r="AK19" s="59"/>
      <c r="AL19" s="174"/>
      <c r="AM19" s="174"/>
      <c r="AN19" s="700"/>
      <c r="AO19" s="174"/>
    </row>
    <row r="20" spans="1:45" ht="15.75" thickBot="1" x14ac:dyDescent="0.3">
      <c r="A20" s="778"/>
      <c r="B20" s="693"/>
      <c r="C20" s="128" t="s">
        <v>1796</v>
      </c>
      <c r="D20" s="626" t="s">
        <v>1795</v>
      </c>
      <c r="E20" s="733">
        <v>15</v>
      </c>
      <c r="F20" s="733">
        <v>15</v>
      </c>
      <c r="G20" s="733"/>
      <c r="H20" s="733"/>
      <c r="I20" s="733"/>
      <c r="J20" s="626"/>
      <c r="K20" s="626"/>
      <c r="L20" s="626"/>
      <c r="M20" s="626"/>
      <c r="N20" s="626"/>
      <c r="O20" s="626"/>
      <c r="P20" s="128"/>
      <c r="T20" s="698"/>
      <c r="V20" t="s">
        <v>1797</v>
      </c>
      <c r="W20" s="701" t="str">
        <f>W19&amp;"B"</f>
        <v>WMIN-A6B</v>
      </c>
      <c r="X20" s="479">
        <v>0</v>
      </c>
      <c r="Y20" s="208"/>
      <c r="Z20" s="479">
        <v>1</v>
      </c>
      <c r="AA20" s="208">
        <f>AA19</f>
        <v>2025</v>
      </c>
      <c r="AB20" s="208">
        <v>10</v>
      </c>
      <c r="AC20" s="208">
        <v>40</v>
      </c>
      <c r="AD20" s="208">
        <v>-1</v>
      </c>
      <c r="AE20" s="208"/>
      <c r="AF20" s="627">
        <f>AF19*1.2</f>
        <v>250.75186337760911</v>
      </c>
      <c r="AG20" s="627">
        <v>0.55374369829222014</v>
      </c>
      <c r="AH20" s="628">
        <v>4.9751999999999998E-2</v>
      </c>
      <c r="AI20" s="627"/>
      <c r="AJ20" s="702"/>
      <c r="AL20" s="245"/>
      <c r="AM20" s="245"/>
      <c r="AN20" s="246"/>
      <c r="AO20" s="245"/>
    </row>
    <row r="21" spans="1:45" s="45" customFormat="1" x14ac:dyDescent="0.25">
      <c r="A21" s="776" t="s">
        <v>519</v>
      </c>
      <c r="B21" s="608"/>
      <c r="C21" s="577" t="s">
        <v>585</v>
      </c>
      <c r="D21" s="577" t="s">
        <v>586</v>
      </c>
      <c r="E21" s="580">
        <f>630 - 230</f>
        <v>400</v>
      </c>
      <c r="F21" s="580">
        <f>E21*INDEX([3]WATClimate!$B$6:$B$9,MATCH('TechWATv5 (supwat5)'!D21,[3]WATClimate!$A$6:$A$9,1))</f>
        <v>398</v>
      </c>
      <c r="G21" s="734"/>
      <c r="H21" s="580"/>
      <c r="I21" s="580"/>
      <c r="J21" s="579"/>
      <c r="K21" s="579"/>
      <c r="L21" s="579"/>
      <c r="M21" s="580"/>
      <c r="N21" s="580"/>
      <c r="O21" s="579"/>
      <c r="P21" s="577"/>
      <c r="T21" s="133"/>
      <c r="W21" s="45" t="s">
        <v>651</v>
      </c>
      <c r="X21" s="588">
        <f>'Existing Plants by Coal Supply'!U49/100 + $Q$4</f>
        <v>1.4202713666517779</v>
      </c>
      <c r="Y21" s="134"/>
      <c r="Z21" s="400">
        <v>0.95</v>
      </c>
      <c r="AA21" s="172"/>
      <c r="AB21" s="134"/>
      <c r="AC21" s="134">
        <v>100</v>
      </c>
      <c r="AD21" s="144">
        <f>E21</f>
        <v>400</v>
      </c>
      <c r="AF21" s="629"/>
      <c r="AG21" s="630">
        <f>L21/$E21 +X21</f>
        <v>1.4202713666517779</v>
      </c>
      <c r="AH21" s="631"/>
      <c r="AI21" s="622"/>
      <c r="AJ21" s="3">
        <f t="shared" si="7"/>
        <v>1.0050251256281406</v>
      </c>
      <c r="AL21" s="134"/>
      <c r="AM21" s="134"/>
      <c r="AN21" s="247"/>
      <c r="AO21" s="247"/>
    </row>
    <row r="22" spans="1:45" s="45" customFormat="1" ht="15.75" thickBot="1" x14ac:dyDescent="0.3">
      <c r="A22" s="777"/>
      <c r="B22" s="623" t="s">
        <v>1649</v>
      </c>
      <c r="C22" s="623" t="s">
        <v>1588</v>
      </c>
      <c r="D22" s="577" t="s">
        <v>1589</v>
      </c>
      <c r="E22" s="580">
        <v>230</v>
      </c>
      <c r="F22" s="580">
        <f>E22*INDEX([3]WATClimate!$B$6:$B$9,MATCH('TechWATv5 (supwat5)'!D22,[3]WATClimate!$A$6:$A$9,1))</f>
        <v>228.85</v>
      </c>
      <c r="G22" s="734"/>
      <c r="H22" s="580"/>
      <c r="I22" s="580"/>
      <c r="J22" s="579"/>
      <c r="K22" s="579"/>
      <c r="L22" s="579"/>
      <c r="M22" s="580"/>
      <c r="N22" s="580"/>
      <c r="O22" s="579"/>
      <c r="P22" s="577"/>
      <c r="T22" s="133"/>
      <c r="W22" s="45" t="s">
        <v>1587</v>
      </c>
      <c r="X22" s="588">
        <f>X21-X28</f>
        <v>0.98126833059864704</v>
      </c>
      <c r="Y22" s="134"/>
      <c r="Z22" s="400"/>
      <c r="AA22" s="172"/>
      <c r="AB22" s="134"/>
      <c r="AC22" s="134">
        <v>100</v>
      </c>
      <c r="AD22" s="144">
        <f>E22</f>
        <v>230</v>
      </c>
      <c r="AF22" s="629"/>
      <c r="AG22" s="630">
        <f>L22/$E22 +X22</f>
        <v>0.98126833059864704</v>
      </c>
      <c r="AH22" s="631"/>
      <c r="AI22" s="622"/>
      <c r="AJ22" s="3">
        <f t="shared" si="7"/>
        <v>1.0050251256281408</v>
      </c>
      <c r="AL22" s="134"/>
      <c r="AM22" s="134"/>
      <c r="AN22" s="247"/>
      <c r="AO22" s="247"/>
    </row>
    <row r="23" spans="1:45" x14ac:dyDescent="0.25">
      <c r="A23" s="777"/>
      <c r="B23" s="608"/>
      <c r="C23" s="135" t="s">
        <v>587</v>
      </c>
      <c r="D23" s="581" t="s">
        <v>515</v>
      </c>
      <c r="E23" s="585">
        <v>55</v>
      </c>
      <c r="F23" s="585">
        <f>E23*INDEX([3]WATClimate!$B$6:$B$9,MATCH('TechWATv5 (supwat5)'!D23,[3]WATClimate!$A$6:$A$9,1))</f>
        <v>54.725000000000001</v>
      </c>
      <c r="G23" s="735">
        <v>0</v>
      </c>
      <c r="H23" s="123">
        <v>1240.6755218216319</v>
      </c>
      <c r="I23" s="730">
        <f>$H$3*H23</f>
        <v>3.2877901328273245</v>
      </c>
      <c r="J23" s="122">
        <f>-PMT($D$3,$D$6,$H23)</f>
        <v>163.69899741464639</v>
      </c>
      <c r="K23" s="122">
        <f>$H23*$G$3/$E$6</f>
        <v>9.3050664136622387</v>
      </c>
      <c r="L23" s="122">
        <f>$H$3*$H23</f>
        <v>3.2877901328273245</v>
      </c>
      <c r="M23" s="137">
        <f>G23*E23*$I$3</f>
        <v>0</v>
      </c>
      <c r="N23" s="124">
        <f>SUM(J23:M23)/$E23</f>
        <v>3.2053064356570173</v>
      </c>
      <c r="O23" s="125">
        <f>N23 +R23</f>
        <v>3.2053064356570173</v>
      </c>
      <c r="P23" s="121"/>
      <c r="R23">
        <v>0</v>
      </c>
      <c r="T23" s="126">
        <f>O23+O59</f>
        <v>17.642434145966948</v>
      </c>
      <c r="W23" s="45" t="s">
        <v>652</v>
      </c>
      <c r="X23" s="400">
        <f>$Q$4</f>
        <v>0.02</v>
      </c>
      <c r="Y23" s="605"/>
      <c r="Z23" s="400">
        <v>0.95</v>
      </c>
      <c r="AA23" s="605">
        <v>2010</v>
      </c>
      <c r="AB23" s="605">
        <v>3</v>
      </c>
      <c r="AC23" s="605">
        <v>100</v>
      </c>
      <c r="AD23" s="605">
        <f>E23</f>
        <v>55</v>
      </c>
      <c r="AE23">
        <f>$V$13+AD23</f>
        <v>55.000999999999998</v>
      </c>
      <c r="AF23" s="630">
        <f>H23/E23 +$AF$59</f>
        <v>111.10890690587085</v>
      </c>
      <c r="AG23" s="630">
        <f>L23/$E23 +X23 +$AG$59</f>
        <v>0.31443860330055773</v>
      </c>
      <c r="AH23" s="632">
        <f>G23*$U$4+$AH$59</f>
        <v>1.4759999999999999E-3</v>
      </c>
      <c r="AI23" s="622"/>
      <c r="AJ23" s="3">
        <f t="shared" si="7"/>
        <v>1.0050251256281406</v>
      </c>
      <c r="AL23" s="243"/>
      <c r="AM23" s="243"/>
      <c r="AN23" s="244"/>
      <c r="AO23" s="605"/>
    </row>
    <row r="24" spans="1:45" x14ac:dyDescent="0.25">
      <c r="A24" s="777"/>
      <c r="B24" s="608"/>
      <c r="C24" s="135" t="s">
        <v>588</v>
      </c>
      <c r="D24" s="581" t="s">
        <v>516</v>
      </c>
      <c r="E24" s="585">
        <v>31</v>
      </c>
      <c r="F24" s="585">
        <f>E24*INDEX([3]WATClimate!$B$6:$B$9,MATCH('TechWATv5 (supwat5)'!D24,[3]WATClimate!$A$6:$A$9,1))</f>
        <v>30.844999999999999</v>
      </c>
      <c r="G24" s="726">
        <v>2.2000000000000002</v>
      </c>
      <c r="H24" s="123">
        <v>1636.7438330170778</v>
      </c>
      <c r="I24" s="730">
        <f>$H$3*H24</f>
        <v>4.337371157495256</v>
      </c>
      <c r="J24" s="122">
        <f>-PMT($D$3,$D$6,$H24)</f>
        <v>215.95761323323742</v>
      </c>
      <c r="K24" s="122">
        <f>$H24*$G$3/$E$6</f>
        <v>12.275578747628083</v>
      </c>
      <c r="L24" s="122">
        <f>$H$3*$H24</f>
        <v>4.337371157495256</v>
      </c>
      <c r="M24" s="123">
        <f>G24*E24*$I$3</f>
        <v>34.1</v>
      </c>
      <c r="N24" s="124">
        <f>SUM(J24:M24)/$E24</f>
        <v>8.6022762302697018</v>
      </c>
      <c r="O24" s="125">
        <f>N24 +R24</f>
        <v>6.6022762302697018</v>
      </c>
      <c r="P24" s="121">
        <v>3</v>
      </c>
      <c r="R24">
        <v>-2</v>
      </c>
      <c r="T24" s="127">
        <f>O24+O60</f>
        <v>8.9779054870691954</v>
      </c>
      <c r="W24" s="45" t="s">
        <v>653</v>
      </c>
      <c r="X24" s="400">
        <f>$Q$4</f>
        <v>0.02</v>
      </c>
      <c r="Y24" s="605"/>
      <c r="Z24" s="400">
        <v>0.95</v>
      </c>
      <c r="AA24" s="605">
        <v>2010</v>
      </c>
      <c r="AB24" s="605">
        <v>2.5</v>
      </c>
      <c r="AC24" s="605">
        <v>100</v>
      </c>
      <c r="AD24" s="605">
        <f>E24</f>
        <v>31</v>
      </c>
      <c r="AE24">
        <f>$V$13+AD24</f>
        <v>31.001000000000001</v>
      </c>
      <c r="AF24" s="630">
        <f>H24/E24+$AF$60</f>
        <v>66.324880128950639</v>
      </c>
      <c r="AG24" s="630">
        <f t="shared" ref="AG24:AG40" si="8">L24/$E24 +X24</f>
        <v>0.15991519862887921</v>
      </c>
      <c r="AH24" s="632">
        <f>G24*$U$4</f>
        <v>7.92E-3</v>
      </c>
      <c r="AI24" s="622"/>
      <c r="AJ24" s="3">
        <f t="shared" si="7"/>
        <v>1.0050251256281408</v>
      </c>
      <c r="AL24" s="243"/>
      <c r="AM24" s="243"/>
      <c r="AN24" s="244"/>
      <c r="AO24" s="605"/>
    </row>
    <row r="25" spans="1:45" x14ac:dyDescent="0.25">
      <c r="A25" s="777"/>
      <c r="B25" s="623" t="s">
        <v>1649</v>
      </c>
      <c r="C25" s="623" t="s">
        <v>589</v>
      </c>
      <c r="D25" s="619" t="s">
        <v>517</v>
      </c>
      <c r="E25" s="728">
        <v>190</v>
      </c>
      <c r="F25" s="728">
        <f>E25*INDEX([3]WATClimate!$B$6:$B$9,MATCH('TechWATv5 (supwat5)'!D25,[3]WATClimate!$A$6:$A$9,1))</f>
        <v>189.05</v>
      </c>
      <c r="G25" s="729">
        <v>1.07</v>
      </c>
      <c r="H25" s="123">
        <v>4280.5844402277044</v>
      </c>
      <c r="I25" s="732">
        <f>$H$3*H25</f>
        <v>11.343548766603417</v>
      </c>
      <c r="J25" s="122">
        <f>-PMT($D$3,$D$6,$H25)</f>
        <v>564.79504019323417</v>
      </c>
      <c r="K25" s="122">
        <f>$H25*$G$3/$E$6</f>
        <v>32.104383301707784</v>
      </c>
      <c r="L25" s="122">
        <f>$H$3*$H25</f>
        <v>11.343548766603417</v>
      </c>
      <c r="M25" s="123">
        <f>G25*E25*$I$3</f>
        <v>101.65</v>
      </c>
      <c r="N25" s="124">
        <f>SUM(J25:M25)/$E25</f>
        <v>3.7362788013765544</v>
      </c>
      <c r="O25" s="125">
        <f>N25 +R25</f>
        <v>8.1562788013765548</v>
      </c>
      <c r="P25" s="121">
        <v>4</v>
      </c>
      <c r="R25">
        <v>4.42</v>
      </c>
      <c r="T25" s="127">
        <f>O25+O61</f>
        <v>10.531908058176048</v>
      </c>
      <c r="W25" s="45" t="s">
        <v>654</v>
      </c>
      <c r="X25" s="400">
        <f>$Q$4</f>
        <v>0.02</v>
      </c>
      <c r="Y25" s="605"/>
      <c r="Z25" s="400">
        <v>0.95</v>
      </c>
      <c r="AA25" s="605">
        <v>2010</v>
      </c>
      <c r="AB25" s="605">
        <v>4</v>
      </c>
      <c r="AC25" s="605">
        <v>100</v>
      </c>
      <c r="AD25" s="605">
        <f>E25</f>
        <v>190</v>
      </c>
      <c r="AE25">
        <f>$V$13+AD25</f>
        <v>190.001</v>
      </c>
      <c r="AF25" s="630">
        <f>H25/E25</f>
        <v>22.529391790672129</v>
      </c>
      <c r="AG25" s="630">
        <f t="shared" si="8"/>
        <v>7.9702888245281142E-2</v>
      </c>
      <c r="AH25" s="632">
        <f>G25*$U$4</f>
        <v>3.852E-3</v>
      </c>
      <c r="AI25" s="622"/>
      <c r="AJ25" s="3">
        <f t="shared" si="7"/>
        <v>1.0050251256281406</v>
      </c>
      <c r="AL25" s="243"/>
      <c r="AM25" s="243"/>
      <c r="AN25" s="244"/>
      <c r="AO25" s="605"/>
    </row>
    <row r="26" spans="1:45" x14ac:dyDescent="0.25">
      <c r="A26" s="777"/>
      <c r="B26" s="608"/>
      <c r="C26" s="662" t="s">
        <v>590</v>
      </c>
      <c r="D26" s="619" t="s">
        <v>591</v>
      </c>
      <c r="E26" s="728">
        <v>95</v>
      </c>
      <c r="F26" s="728">
        <f>E26*INDEX([3]WATClimate!$B$6:$B$9,MATCH('TechWATv5 (supwat5)'!D26,[3]WATClimate!$A$6:$A$9,1))</f>
        <v>94.525000000000006</v>
      </c>
      <c r="G26" s="729">
        <v>3.6</v>
      </c>
      <c r="H26" s="123">
        <v>18552.584440227703</v>
      </c>
      <c r="I26" s="732">
        <f>$H$3*H26</f>
        <v>49.164348766603418</v>
      </c>
      <c r="J26" s="122">
        <f>-PMT($D$3,$D$6,$H26)</f>
        <v>2447.8918290067377</v>
      </c>
      <c r="K26" s="122">
        <f>$H26*$G$3/$E$6</f>
        <v>139.14438330170776</v>
      </c>
      <c r="L26" s="122">
        <f>$H$3*$H26</f>
        <v>49.164348766603418</v>
      </c>
      <c r="M26" s="123">
        <f>G26*E26*$I$3</f>
        <v>171</v>
      </c>
      <c r="N26" s="124">
        <f>SUM(J26:M26)/$E26</f>
        <v>29.549479590263672</v>
      </c>
      <c r="O26" s="125">
        <f>N26 +R26</f>
        <v>34.549479590263672</v>
      </c>
      <c r="P26" s="121">
        <v>2</v>
      </c>
      <c r="R26">
        <v>5</v>
      </c>
      <c r="T26" s="127">
        <f>O26+O62</f>
        <v>52.210359160156145</v>
      </c>
      <c r="W26" s="45" t="s">
        <v>655</v>
      </c>
      <c r="X26" s="480"/>
      <c r="Y26" s="139"/>
      <c r="Z26" s="480"/>
      <c r="AA26" s="139"/>
      <c r="AB26" s="139"/>
      <c r="AC26" s="139"/>
      <c r="AD26" s="139">
        <v>0</v>
      </c>
      <c r="AE26" s="139"/>
      <c r="AF26" s="633"/>
      <c r="AG26" s="633">
        <f t="shared" si="8"/>
        <v>0.51751946070108856</v>
      </c>
      <c r="AH26" s="634"/>
      <c r="AI26" s="635"/>
      <c r="AJ26" s="3">
        <f t="shared" si="7"/>
        <v>1.0050251256281406</v>
      </c>
      <c r="AK26" s="140"/>
      <c r="AL26" s="248"/>
      <c r="AM26" s="248"/>
      <c r="AN26" s="249"/>
      <c r="AO26" s="249"/>
    </row>
    <row r="27" spans="1:45" ht="15.75" thickBot="1" x14ac:dyDescent="0.3">
      <c r="A27" s="778"/>
      <c r="B27" s="609"/>
      <c r="C27" s="128" t="s">
        <v>584</v>
      </c>
      <c r="D27" s="626" t="s">
        <v>518</v>
      </c>
      <c r="E27" s="733">
        <v>100</v>
      </c>
      <c r="F27" s="733">
        <f>E27*INDEX([3]WATClimate!$B$6:$B$9,MATCH('TechWATv5 (supwat5)'!D27,[3]WATClimate!$A$6:$A$9,1))</f>
        <v>99.5</v>
      </c>
      <c r="G27" s="736">
        <v>13.82</v>
      </c>
      <c r="H27" s="131">
        <v>14210.220113851992</v>
      </c>
      <c r="I27" s="737">
        <f>$H$3*H27</f>
        <v>37.657083301707779</v>
      </c>
      <c r="J27" s="130">
        <f>-PMT($D$3,$D$6,$H27)</f>
        <v>1874.9453380554755</v>
      </c>
      <c r="K27" s="130">
        <f>$H27*$G$3/$E$6</f>
        <v>106.57665085388994</v>
      </c>
      <c r="L27" s="130">
        <f>$H$3*$H27</f>
        <v>37.657083301707779</v>
      </c>
      <c r="M27" s="131">
        <f>G27*E27*$I$3</f>
        <v>691</v>
      </c>
      <c r="N27" s="131">
        <f>SUM(J27:M27)/$E27</f>
        <v>27.101790722110735</v>
      </c>
      <c r="O27" s="130">
        <f>N27 +R27</f>
        <v>25.101790722110735</v>
      </c>
      <c r="P27" s="129">
        <v>3</v>
      </c>
      <c r="R27">
        <v>-2</v>
      </c>
      <c r="T27" s="141">
        <f>O27</f>
        <v>25.101790722110735</v>
      </c>
      <c r="W27" s="45" t="s">
        <v>656</v>
      </c>
      <c r="X27" s="479">
        <v>0</v>
      </c>
      <c r="Y27" s="208"/>
      <c r="Z27" s="479">
        <v>1</v>
      </c>
      <c r="AA27" s="208">
        <v>2020</v>
      </c>
      <c r="AB27" s="208">
        <v>10</v>
      </c>
      <c r="AC27" s="208">
        <f>$E$6</f>
        <v>40</v>
      </c>
      <c r="AD27" s="208">
        <v>-1</v>
      </c>
      <c r="AE27" s="208"/>
      <c r="AF27" s="627">
        <f>H27/E27</f>
        <v>142.10220113851992</v>
      </c>
      <c r="AG27" s="627">
        <f t="shared" si="8"/>
        <v>0.37657083301707778</v>
      </c>
      <c r="AH27" s="636">
        <f>G27*$U$4</f>
        <v>4.9751999999999998E-2</v>
      </c>
      <c r="AI27" s="627"/>
      <c r="AJ27" s="3">
        <f t="shared" si="7"/>
        <v>1.0050251256281406</v>
      </c>
      <c r="AL27" s="245"/>
      <c r="AM27" s="245"/>
      <c r="AN27" s="246"/>
      <c r="AO27" s="245"/>
    </row>
    <row r="28" spans="1:45" ht="15.75" thickBot="1" x14ac:dyDescent="0.3">
      <c r="A28" s="776" t="s">
        <v>1806</v>
      </c>
      <c r="B28" s="623" t="s">
        <v>1649</v>
      </c>
      <c r="C28" s="637" t="s">
        <v>585</v>
      </c>
      <c r="D28" s="577" t="s">
        <v>1586</v>
      </c>
      <c r="E28" s="580">
        <f>2877 + 200 +E16+E25+E73</f>
        <v>3523</v>
      </c>
      <c r="F28" s="580">
        <f>E28*INDEX([3]WATClimate!$B$6:$B$9,MATCH('TechWATv5 (supwat5)'!D28,[3]WATClimate!$A$6:$A$9,1))</f>
        <v>3523</v>
      </c>
      <c r="G28" s="734"/>
      <c r="H28" s="580"/>
      <c r="I28" s="580"/>
      <c r="J28" s="579"/>
      <c r="K28" s="579"/>
      <c r="L28" s="579"/>
      <c r="M28" s="580"/>
      <c r="N28" s="580"/>
      <c r="O28" s="579"/>
      <c r="P28" s="577"/>
      <c r="T28" s="191"/>
      <c r="W28" s="45" t="s">
        <v>668</v>
      </c>
      <c r="X28" s="588">
        <f>'Existing Plants by Coal Supply'!U55/100 +$Q$4</f>
        <v>0.43900303605313085</v>
      </c>
      <c r="Y28" s="174"/>
      <c r="Z28" s="400">
        <v>0.95</v>
      </c>
      <c r="AA28" s="172"/>
      <c r="AB28" s="144"/>
      <c r="AC28" s="134">
        <v>100</v>
      </c>
      <c r="AD28" s="144">
        <f t="shared" ref="AD28:AD33" si="9">E28</f>
        <v>3523</v>
      </c>
      <c r="AE28" s="144"/>
      <c r="AF28" s="638"/>
      <c r="AG28" s="638">
        <f t="shared" si="8"/>
        <v>0.43900303605313085</v>
      </c>
      <c r="AH28" s="639"/>
      <c r="AI28" s="640"/>
      <c r="AJ28" s="3">
        <f t="shared" si="7"/>
        <v>1</v>
      </c>
      <c r="AL28" s="782" t="s">
        <v>681</v>
      </c>
      <c r="AM28" s="782"/>
      <c r="AN28" s="782"/>
      <c r="AO28" s="782"/>
    </row>
    <row r="29" spans="1:45" x14ac:dyDescent="0.25">
      <c r="A29" s="777"/>
      <c r="B29" s="608"/>
      <c r="C29" s="533" t="s">
        <v>682</v>
      </c>
      <c r="D29" s="620" t="s">
        <v>520</v>
      </c>
      <c r="E29" s="728">
        <v>437</v>
      </c>
      <c r="F29" s="728">
        <f>E29*INDEX([3]WATClimate!$B$6:$B$9,MATCH('TechWATv5 (supwat5)'!D29,[3]WATClimate!$A$6:$A$9,1))</f>
        <v>437</v>
      </c>
      <c r="G29" s="738">
        <v>0</v>
      </c>
      <c r="H29" s="123">
        <v>11947.214421252373</v>
      </c>
      <c r="I29" s="730">
        <f t="shared" ref="I29:I35" si="10">$H$3*H29</f>
        <v>31.660118216318789</v>
      </c>
      <c r="J29" s="122">
        <f t="shared" ref="J29:J35" si="11">-PMT($D$3,$D$6,$H29)</f>
        <v>1576.3565801518164</v>
      </c>
      <c r="K29" s="122">
        <f t="shared" ref="K29:K35" si="12">$H29*$G$3/$E$6</f>
        <v>89.604108159392794</v>
      </c>
      <c r="L29" s="122">
        <f t="shared" ref="L29:L35" si="13">$H$3*$H29</f>
        <v>31.660118216318789</v>
      </c>
      <c r="M29" s="123">
        <f t="shared" ref="M29:M35" si="14">G29*E29*$I$3</f>
        <v>0</v>
      </c>
      <c r="N29" s="124">
        <f t="shared" ref="N29:N35" si="15">SUM(J29:M29)/$E29</f>
        <v>3.8847158044108192</v>
      </c>
      <c r="O29" s="125">
        <f t="shared" ref="O29:O35" si="16">N29 +R29</f>
        <v>3.8847158044108192</v>
      </c>
      <c r="P29" s="121">
        <v>5</v>
      </c>
      <c r="R29">
        <v>0</v>
      </c>
      <c r="T29" s="127">
        <f t="shared" ref="T29:T35" si="17">O29</f>
        <v>3.8847158044108192</v>
      </c>
      <c r="W29" s="45" t="s">
        <v>657</v>
      </c>
      <c r="X29" s="400">
        <f>$Q$4</f>
        <v>0.02</v>
      </c>
      <c r="Y29" s="605"/>
      <c r="Z29" s="400">
        <v>0.9</v>
      </c>
      <c r="AA29" s="605">
        <v>2010</v>
      </c>
      <c r="AB29" s="605">
        <v>7</v>
      </c>
      <c r="AC29" s="605">
        <v>100</v>
      </c>
      <c r="AD29" s="605">
        <f t="shared" si="9"/>
        <v>437</v>
      </c>
      <c r="AE29">
        <f>$V$13+AD29</f>
        <v>437.00099999999998</v>
      </c>
      <c r="AF29" s="641">
        <f>H29/E29</f>
        <v>27.339163435360121</v>
      </c>
      <c r="AG29" s="641">
        <f t="shared" si="8"/>
        <v>9.244878310370433E-2</v>
      </c>
      <c r="AH29" s="642">
        <v>1E-4</v>
      </c>
      <c r="AI29" s="643"/>
      <c r="AJ29" s="3">
        <f t="shared" si="7"/>
        <v>1</v>
      </c>
      <c r="AL29" s="783"/>
      <c r="AM29" s="783"/>
      <c r="AN29" s="783"/>
      <c r="AO29" s="783"/>
      <c r="AQ29" s="2"/>
      <c r="AS29" s="2"/>
    </row>
    <row r="30" spans="1:45" x14ac:dyDescent="0.25">
      <c r="A30" s="777"/>
      <c r="C30" s="120" t="s">
        <v>592</v>
      </c>
      <c r="D30" s="619" t="s">
        <v>521</v>
      </c>
      <c r="E30" s="728">
        <v>38</v>
      </c>
      <c r="F30" s="728">
        <f>E30*INDEX([3]WATClimate!$B$6:$B$9,MATCH('TechWATv5 (supwat5)'!D30,[3]WATClimate!$A$6:$A$9,1))</f>
        <v>38</v>
      </c>
      <c r="G30" s="729">
        <v>2.5099999999999998</v>
      </c>
      <c r="H30" s="123">
        <f>1819.54459203036 -0</f>
        <v>1819.54459203036</v>
      </c>
      <c r="I30" s="732">
        <f t="shared" si="10"/>
        <v>4.8217931688804541</v>
      </c>
      <c r="J30" s="122">
        <f t="shared" si="11"/>
        <v>240.07697438027938</v>
      </c>
      <c r="K30" s="122">
        <f t="shared" si="12"/>
        <v>13.646584440227699</v>
      </c>
      <c r="L30" s="122">
        <f t="shared" si="13"/>
        <v>4.8217931688804541</v>
      </c>
      <c r="M30" s="123">
        <f t="shared" si="14"/>
        <v>47.69</v>
      </c>
      <c r="N30" s="124">
        <f t="shared" si="15"/>
        <v>8.0588250523523044</v>
      </c>
      <c r="O30" s="125">
        <f t="shared" si="16"/>
        <v>6.0588250523523044</v>
      </c>
      <c r="P30" s="121">
        <v>3</v>
      </c>
      <c r="R30">
        <v>-2</v>
      </c>
      <c r="T30" s="127">
        <f t="shared" si="17"/>
        <v>6.0588250523523044</v>
      </c>
      <c r="W30" s="45" t="s">
        <v>658</v>
      </c>
      <c r="X30" s="400">
        <f>$Q$4</f>
        <v>0.02</v>
      </c>
      <c r="Y30" s="605"/>
      <c r="Z30" s="400">
        <v>1</v>
      </c>
      <c r="AA30" s="605">
        <v>2010</v>
      </c>
      <c r="AB30" s="605">
        <v>3</v>
      </c>
      <c r="AC30" s="605">
        <v>100</v>
      </c>
      <c r="AD30" s="605">
        <f t="shared" si="9"/>
        <v>38</v>
      </c>
      <c r="AE30">
        <f>$V$13+AD30</f>
        <v>38.000999999999998</v>
      </c>
      <c r="AF30" s="641">
        <f>H30/E30</f>
        <v>47.882752421851578</v>
      </c>
      <c r="AG30" s="641">
        <f t="shared" si="8"/>
        <v>0.14688929391790667</v>
      </c>
      <c r="AH30" s="644">
        <f>G30*$U$4</f>
        <v>9.0359999999999989E-3</v>
      </c>
      <c r="AI30" s="643"/>
      <c r="AJ30" s="3">
        <f t="shared" si="7"/>
        <v>1</v>
      </c>
      <c r="AL30" s="783"/>
      <c r="AM30" s="783"/>
      <c r="AN30" s="783"/>
      <c r="AO30" s="783"/>
      <c r="AQ30" s="2"/>
      <c r="AS30" s="2"/>
    </row>
    <row r="31" spans="1:45" x14ac:dyDescent="0.25">
      <c r="A31" s="777"/>
      <c r="B31" s="608"/>
      <c r="C31" s="121" t="s">
        <v>593</v>
      </c>
      <c r="D31" s="620" t="s">
        <v>522</v>
      </c>
      <c r="E31" s="728">
        <v>522</v>
      </c>
      <c r="F31" s="728">
        <f>E31*INDEX([3]WATClimate!$B$6:$B$9,MATCH('TechWATv5 (supwat5)'!D31,[3]WATClimate!$A$6:$A$9,1))</f>
        <v>522</v>
      </c>
      <c r="G31" s="739">
        <v>3.35</v>
      </c>
      <c r="H31" s="123">
        <v>21975.867172675524</v>
      </c>
      <c r="I31" s="732">
        <f t="shared" si="10"/>
        <v>58.236048007590135</v>
      </c>
      <c r="J31" s="122">
        <f t="shared" si="11"/>
        <v>2899.5715319687056</v>
      </c>
      <c r="K31" s="122">
        <f t="shared" si="12"/>
        <v>164.81900379506641</v>
      </c>
      <c r="L31" s="122">
        <f t="shared" si="13"/>
        <v>58.236048007590135</v>
      </c>
      <c r="M31" s="123">
        <f t="shared" si="14"/>
        <v>874.35</v>
      </c>
      <c r="N31" s="124">
        <f t="shared" si="15"/>
        <v>7.657043263929812</v>
      </c>
      <c r="O31" s="125">
        <f t="shared" si="16"/>
        <v>7.657043263929812</v>
      </c>
      <c r="P31" s="121"/>
      <c r="R31">
        <v>0</v>
      </c>
      <c r="T31" s="127">
        <f t="shared" si="17"/>
        <v>7.657043263929812</v>
      </c>
      <c r="W31" s="45" t="s">
        <v>659</v>
      </c>
      <c r="X31" s="400">
        <f>$Q$4</f>
        <v>0.02</v>
      </c>
      <c r="Y31" s="605"/>
      <c r="Z31" s="400">
        <v>0.9</v>
      </c>
      <c r="AA31" s="605">
        <v>2010</v>
      </c>
      <c r="AB31" s="605">
        <v>7</v>
      </c>
      <c r="AC31" s="605">
        <v>100</v>
      </c>
      <c r="AD31" s="605">
        <f t="shared" si="9"/>
        <v>522</v>
      </c>
      <c r="AE31">
        <f>$V$13+AD31</f>
        <v>522.00099999999998</v>
      </c>
      <c r="AF31" s="641">
        <f>H31/E31</f>
        <v>42.099362399761539</v>
      </c>
      <c r="AG31" s="641">
        <f t="shared" si="8"/>
        <v>0.13156331035936808</v>
      </c>
      <c r="AH31" s="644">
        <f>G31*$U$4</f>
        <v>1.206E-2</v>
      </c>
      <c r="AI31" s="643"/>
      <c r="AJ31" s="3">
        <f t="shared" si="7"/>
        <v>1</v>
      </c>
      <c r="AL31" s="783"/>
      <c r="AM31" s="783"/>
      <c r="AN31" s="783"/>
      <c r="AO31" s="783"/>
    </row>
    <row r="32" spans="1:45" x14ac:dyDescent="0.25">
      <c r="A32" s="777"/>
      <c r="B32" s="531" t="s">
        <v>1807</v>
      </c>
      <c r="C32" s="531" t="s">
        <v>594</v>
      </c>
      <c r="D32" s="619" t="s">
        <v>523</v>
      </c>
      <c r="E32" s="740">
        <f>0.56*E37</f>
        <v>288.59600000000006</v>
      </c>
      <c r="F32" s="740">
        <f>E32*INDEX([3]WATClimate!$B$6:$B$9,MATCH('TechWATv5 (supwat5)'!D32,[3]WATClimate!$A$6:$A$9,1))</f>
        <v>288.59600000000006</v>
      </c>
      <c r="G32" s="739">
        <v>1.99</v>
      </c>
      <c r="H32" s="123">
        <f>18616.9032258065- (1.1*H37)</f>
        <v>15671.331013806501</v>
      </c>
      <c r="I32" s="732">
        <f t="shared" si="10"/>
        <v>41.529027186587228</v>
      </c>
      <c r="J32" s="122">
        <f t="shared" si="11"/>
        <v>2067.7293377615251</v>
      </c>
      <c r="K32" s="122">
        <f t="shared" si="12"/>
        <v>117.53498260354874</v>
      </c>
      <c r="L32" s="122">
        <f t="shared" si="13"/>
        <v>41.529027186587228</v>
      </c>
      <c r="M32" s="123">
        <f t="shared" si="14"/>
        <v>287.15302000000008</v>
      </c>
      <c r="N32" s="124">
        <f t="shared" si="15"/>
        <v>8.7109536083371246</v>
      </c>
      <c r="O32" s="125">
        <f t="shared" si="16"/>
        <v>8.7109536083371246</v>
      </c>
      <c r="P32" s="121"/>
      <c r="R32">
        <v>0</v>
      </c>
      <c r="T32" s="127">
        <f t="shared" si="17"/>
        <v>8.7109536083371246</v>
      </c>
      <c r="W32" s="45" t="s">
        <v>660</v>
      </c>
      <c r="X32" s="400">
        <f>$Q$4</f>
        <v>0.02</v>
      </c>
      <c r="Y32" s="605"/>
      <c r="Z32" s="400">
        <v>0.9</v>
      </c>
      <c r="AA32" s="605">
        <v>2010</v>
      </c>
      <c r="AB32" s="605">
        <v>8</v>
      </c>
      <c r="AC32" s="605">
        <v>100</v>
      </c>
      <c r="AD32" s="377">
        <f t="shared" si="9"/>
        <v>288.59600000000006</v>
      </c>
      <c r="AE32">
        <f>$V$13+AD32</f>
        <v>288.59700000000004</v>
      </c>
      <c r="AF32" s="641">
        <f>H32/E32</f>
        <v>54.301968890097221</v>
      </c>
      <c r="AG32" s="641">
        <f t="shared" si="8"/>
        <v>0.16390021755875764</v>
      </c>
      <c r="AH32" s="644">
        <f>G32*$U$4</f>
        <v>7.1639999999999994E-3</v>
      </c>
      <c r="AI32" s="643"/>
      <c r="AJ32" s="3">
        <f t="shared" si="7"/>
        <v>1</v>
      </c>
      <c r="AL32" s="783"/>
      <c r="AM32" s="783"/>
      <c r="AN32" s="783"/>
      <c r="AO32" s="783"/>
    </row>
    <row r="33" spans="1:53" x14ac:dyDescent="0.25">
      <c r="A33" s="777"/>
      <c r="B33" s="608"/>
      <c r="C33" s="120" t="s">
        <v>595</v>
      </c>
      <c r="D33" s="120" t="s">
        <v>524</v>
      </c>
      <c r="E33" s="123">
        <v>631</v>
      </c>
      <c r="F33" s="123">
        <f>E33*INDEX([3]WATClimate!$B$6:$B$9,MATCH('TechWATv5 (supwat5)'!D33,[3]WATClimate!$A$6:$A$9,1))</f>
        <v>631</v>
      </c>
      <c r="G33" s="739">
        <v>4.38</v>
      </c>
      <c r="H33" s="123">
        <v>41567.70777988615</v>
      </c>
      <c r="I33" s="732">
        <f t="shared" si="10"/>
        <v>110.1544256166983</v>
      </c>
      <c r="J33" s="122">
        <f t="shared" si="11"/>
        <v>5484.5863956447383</v>
      </c>
      <c r="K33" s="122">
        <f t="shared" si="12"/>
        <v>311.7578083491461</v>
      </c>
      <c r="L33" s="122">
        <f t="shared" si="13"/>
        <v>110.1544256166983</v>
      </c>
      <c r="M33" s="123">
        <f t="shared" si="14"/>
        <v>1381.8899999999999</v>
      </c>
      <c r="N33" s="124">
        <f t="shared" si="15"/>
        <v>11.550536655484283</v>
      </c>
      <c r="O33" s="125">
        <f t="shared" si="16"/>
        <v>11.550536655484283</v>
      </c>
      <c r="P33" s="121"/>
      <c r="R33">
        <v>0</v>
      </c>
      <c r="T33" s="127">
        <f t="shared" si="17"/>
        <v>11.550536655484283</v>
      </c>
      <c r="W33" s="45" t="s">
        <v>661</v>
      </c>
      <c r="X33" s="400">
        <f>$Q$4</f>
        <v>0.02</v>
      </c>
      <c r="Y33" s="605"/>
      <c r="Z33" s="400">
        <v>0.8</v>
      </c>
      <c r="AA33" s="605">
        <v>2010</v>
      </c>
      <c r="AB33" s="605">
        <v>10</v>
      </c>
      <c r="AC33" s="605">
        <v>100</v>
      </c>
      <c r="AD33" s="605">
        <f t="shared" si="9"/>
        <v>631</v>
      </c>
      <c r="AE33">
        <f>$V$13+AD33</f>
        <v>631.00099999999998</v>
      </c>
      <c r="AF33" s="641">
        <f>H33/E33</f>
        <v>65.875923581436055</v>
      </c>
      <c r="AG33" s="641">
        <f t="shared" si="8"/>
        <v>0.19457119749080554</v>
      </c>
      <c r="AH33" s="644">
        <f>G33*$U$4</f>
        <v>1.5768000000000001E-2</v>
      </c>
      <c r="AI33" s="643"/>
      <c r="AJ33" s="3">
        <f t="shared" si="7"/>
        <v>1</v>
      </c>
      <c r="AL33" s="783"/>
      <c r="AM33" s="783"/>
      <c r="AN33" s="783"/>
      <c r="AO33" s="783"/>
      <c r="AU33">
        <f>AU35-AU36</f>
        <v>28.6</v>
      </c>
    </row>
    <row r="34" spans="1:53" x14ac:dyDescent="0.25">
      <c r="A34" s="777"/>
      <c r="B34" s="608"/>
      <c r="C34" s="662" t="s">
        <v>582</v>
      </c>
      <c r="D34" s="120" t="s">
        <v>596</v>
      </c>
      <c r="E34" s="123">
        <v>650</v>
      </c>
      <c r="F34" s="123">
        <f>E34*INDEX([3]WATClimate!$B$6:$B$9,MATCH('TechWATv5 (supwat5)'!D34,[3]WATClimate!$A$6:$A$9,1))</f>
        <v>650</v>
      </c>
      <c r="G34" s="739">
        <v>4.21</v>
      </c>
      <c r="H34" s="123">
        <v>52253.93548387097</v>
      </c>
      <c r="I34" s="732">
        <f t="shared" si="10"/>
        <v>138.47292903225807</v>
      </c>
      <c r="J34" s="122">
        <f t="shared" si="11"/>
        <v>6894.5640493655701</v>
      </c>
      <c r="K34" s="122">
        <f t="shared" si="12"/>
        <v>391.90451612903223</v>
      </c>
      <c r="L34" s="122">
        <f t="shared" si="13"/>
        <v>138.47292903225807</v>
      </c>
      <c r="M34" s="123">
        <f t="shared" si="14"/>
        <v>1368.25</v>
      </c>
      <c r="N34" s="124">
        <f t="shared" si="15"/>
        <v>13.52798691465671</v>
      </c>
      <c r="O34" s="125">
        <f t="shared" si="16"/>
        <v>18.527986914656708</v>
      </c>
      <c r="P34" s="121">
        <v>2</v>
      </c>
      <c r="R34">
        <v>5</v>
      </c>
      <c r="T34" s="127">
        <f t="shared" si="17"/>
        <v>18.527986914656708</v>
      </c>
      <c r="W34" s="45" t="s">
        <v>662</v>
      </c>
      <c r="X34" s="478"/>
      <c r="Y34" s="144"/>
      <c r="Z34" s="478"/>
      <c r="AA34" s="144"/>
      <c r="AB34" s="144"/>
      <c r="AC34" s="144"/>
      <c r="AD34" s="144">
        <v>0</v>
      </c>
      <c r="AE34" s="144"/>
      <c r="AF34" s="638"/>
      <c r="AG34" s="638">
        <f t="shared" si="8"/>
        <v>0.21303527543424317</v>
      </c>
      <c r="AH34" s="645"/>
      <c r="AI34" s="646"/>
      <c r="AJ34" s="3">
        <f t="shared" si="7"/>
        <v>1</v>
      </c>
      <c r="AL34" s="783"/>
      <c r="AM34" s="783"/>
      <c r="AN34" s="783"/>
      <c r="AO34" s="783"/>
      <c r="AT34" t="s">
        <v>495</v>
      </c>
      <c r="AU34" t="s">
        <v>1372</v>
      </c>
    </row>
    <row r="35" spans="1:53" ht="15.75" thickBot="1" x14ac:dyDescent="0.3">
      <c r="A35" s="778"/>
      <c r="B35" s="609"/>
      <c r="C35" s="128" t="s">
        <v>584</v>
      </c>
      <c r="D35" s="128" t="s">
        <v>525</v>
      </c>
      <c r="E35" s="131">
        <v>100</v>
      </c>
      <c r="F35" s="131">
        <f>E35*INDEX([3]WATClimate!$B$6:$B$9,MATCH('TechWATv5 (supwat5)'!D35,[3]WATClimate!$A$6:$A$9,1))</f>
        <v>100</v>
      </c>
      <c r="G35" s="741">
        <v>13.6</v>
      </c>
      <c r="H35" s="131">
        <v>7830.8121442125239</v>
      </c>
      <c r="I35" s="737">
        <f t="shared" si="10"/>
        <v>20.751652182163188</v>
      </c>
      <c r="J35" s="130">
        <f t="shared" si="11"/>
        <v>1033.2242995073143</v>
      </c>
      <c r="K35" s="130">
        <f t="shared" si="12"/>
        <v>58.731091081593924</v>
      </c>
      <c r="L35" s="130">
        <f t="shared" si="13"/>
        <v>20.751652182163188</v>
      </c>
      <c r="M35" s="131">
        <f t="shared" si="14"/>
        <v>680</v>
      </c>
      <c r="N35" s="131">
        <f t="shared" si="15"/>
        <v>17.927070427710714</v>
      </c>
      <c r="O35" s="130">
        <f t="shared" si="16"/>
        <v>15.927070427710714</v>
      </c>
      <c r="P35" s="131">
        <v>3</v>
      </c>
      <c r="R35">
        <v>-2</v>
      </c>
      <c r="T35" s="127">
        <f t="shared" si="17"/>
        <v>15.927070427710714</v>
      </c>
      <c r="W35" s="45" t="s">
        <v>663</v>
      </c>
      <c r="X35" s="479">
        <v>0</v>
      </c>
      <c r="Y35" s="208"/>
      <c r="Z35" s="479">
        <v>1</v>
      </c>
      <c r="AA35" s="208">
        <v>2020</v>
      </c>
      <c r="AB35" s="208">
        <v>10</v>
      </c>
      <c r="AC35" s="208">
        <f>$E$6</f>
        <v>40</v>
      </c>
      <c r="AD35" s="208">
        <v>-1</v>
      </c>
      <c r="AE35" s="208"/>
      <c r="AF35" s="647">
        <f>H35/E35</f>
        <v>78.308121442125241</v>
      </c>
      <c r="AG35" s="647">
        <f t="shared" si="8"/>
        <v>0.20751652182163188</v>
      </c>
      <c r="AH35" s="648">
        <f>G35*$U$4</f>
        <v>4.8959999999999997E-2</v>
      </c>
      <c r="AI35" s="649"/>
      <c r="AJ35" s="3">
        <f t="shared" si="7"/>
        <v>1</v>
      </c>
      <c r="AL35" s="784"/>
      <c r="AM35" s="784"/>
      <c r="AN35" s="784"/>
      <c r="AO35" s="784"/>
      <c r="AT35" t="s">
        <v>1371</v>
      </c>
      <c r="AU35">
        <v>39</v>
      </c>
    </row>
    <row r="36" spans="1:53" ht="15.75" thickBot="1" x14ac:dyDescent="0.3">
      <c r="A36" s="776" t="s">
        <v>598</v>
      </c>
      <c r="B36" s="608"/>
      <c r="C36" s="577" t="s">
        <v>585</v>
      </c>
      <c r="D36" s="577" t="s">
        <v>597</v>
      </c>
      <c r="E36" s="580">
        <f xml:space="preserve"> 3843 + 'Non-Energy Water Demand'!$F$68</f>
        <v>4130.5</v>
      </c>
      <c r="F36" s="580">
        <f>E36*INDEX([3]WATClimate!$B$6:$B$9,MATCH('TechWATv5 (supwat5)'!D36,[3]WATClimate!$A$6:$A$9,1))</f>
        <v>4130.5</v>
      </c>
      <c r="G36" s="734"/>
      <c r="H36" s="580"/>
      <c r="I36" s="580"/>
      <c r="J36" s="579"/>
      <c r="K36" s="579"/>
      <c r="L36" s="579"/>
      <c r="M36" s="580"/>
      <c r="N36" s="580"/>
      <c r="O36" s="579"/>
      <c r="P36" s="577">
        <f>'Existing Plants by Coal Supply'!U57</f>
        <v>0</v>
      </c>
      <c r="T36" s="192"/>
      <c r="W36" s="45" t="s">
        <v>664</v>
      </c>
      <c r="X36" s="588">
        <f>'Existing Plants by Coal Supply'!U59/100 +$Q$4</f>
        <v>0.17360341555977227</v>
      </c>
      <c r="Y36" s="174"/>
      <c r="Z36" s="400">
        <v>0.95</v>
      </c>
      <c r="AA36" s="172"/>
      <c r="AB36" s="144"/>
      <c r="AC36" s="134">
        <v>100</v>
      </c>
      <c r="AD36" s="144">
        <f>E36</f>
        <v>4130.5</v>
      </c>
      <c r="AE36" s="144"/>
      <c r="AF36" s="650"/>
      <c r="AG36" s="650">
        <f t="shared" si="8"/>
        <v>0.17360341555977227</v>
      </c>
      <c r="AH36" s="651"/>
      <c r="AI36" s="651"/>
      <c r="AJ36" s="3">
        <f t="shared" si="7"/>
        <v>1</v>
      </c>
      <c r="AL36" s="779" t="s">
        <v>680</v>
      </c>
      <c r="AM36" s="779"/>
      <c r="AN36" s="779"/>
      <c r="AO36" s="779"/>
      <c r="AT36" t="s">
        <v>1370</v>
      </c>
      <c r="AU36">
        <v>10.4</v>
      </c>
    </row>
    <row r="37" spans="1:53" x14ac:dyDescent="0.25">
      <c r="A37" s="777"/>
      <c r="B37" s="531" t="s">
        <v>1809</v>
      </c>
      <c r="C37" s="531" t="s">
        <v>1809</v>
      </c>
      <c r="D37" s="581" t="s">
        <v>526</v>
      </c>
      <c r="E37" s="585">
        <f>0.55*$D$86</f>
        <v>515.35</v>
      </c>
      <c r="F37" s="728">
        <f>E37*INDEX([3]WATClimate!$B$6:$B$9,MATCH('TechWATv5 (supwat5)'!D37,[3]WATClimate!$A$6:$A$9,1))</f>
        <v>515.35</v>
      </c>
      <c r="G37" s="738">
        <v>0</v>
      </c>
      <c r="H37" s="585">
        <f>'CPI_1960-2013'!$AM$2 * $D$87 * $E$37/$D$86 * 1.1</f>
        <v>2677.7929200000008</v>
      </c>
      <c r="I37" s="727">
        <f>$H$3*H37</f>
        <v>7.0961512380000018</v>
      </c>
      <c r="J37" s="584">
        <f>-PMT($D$3,$D$6,$H37)</f>
        <v>353.31721193662673</v>
      </c>
      <c r="K37" s="584">
        <f>$H37*$G$3/$E$6</f>
        <v>20.083446900000006</v>
      </c>
      <c r="L37" s="584">
        <f>$H$3*$H37</f>
        <v>7.0961512380000018</v>
      </c>
      <c r="M37" s="652">
        <f>G37*E37*$I$3</f>
        <v>0</v>
      </c>
      <c r="N37" s="197">
        <f>SUM(J37:M37)/$E37</f>
        <v>0.73832698180775536</v>
      </c>
      <c r="O37" s="653">
        <f>N37 +R37</f>
        <v>0.73832698180775536</v>
      </c>
      <c r="P37" s="577"/>
      <c r="R37" s="9">
        <v>0</v>
      </c>
      <c r="T37" s="127">
        <f>O37 +$O$63</f>
        <v>4.8132796559239956</v>
      </c>
      <c r="W37" s="45" t="s">
        <v>665</v>
      </c>
      <c r="X37" s="185">
        <v>0.02</v>
      </c>
      <c r="Y37" s="177"/>
      <c r="Z37" s="185">
        <v>0.9</v>
      </c>
      <c r="AA37" s="177">
        <v>2010</v>
      </c>
      <c r="AB37" s="177">
        <v>8</v>
      </c>
      <c r="AC37" s="177">
        <v>100</v>
      </c>
      <c r="AD37" s="177">
        <f>E37</f>
        <v>515.35</v>
      </c>
      <c r="AE37" s="9">
        <f>$V$13+AD37</f>
        <v>515.351</v>
      </c>
      <c r="AF37" s="650">
        <f>H37/E37</f>
        <v>5.1960665955176104</v>
      </c>
      <c r="AG37" s="705">
        <f t="shared" si="8"/>
        <v>3.376957647812167E-2</v>
      </c>
      <c r="AH37" s="650">
        <f>G37*$U$4</f>
        <v>0</v>
      </c>
      <c r="AI37" s="650"/>
      <c r="AJ37" s="3"/>
      <c r="AL37" s="780"/>
      <c r="AM37" s="780"/>
      <c r="AN37" s="780"/>
      <c r="AO37" s="780"/>
    </row>
    <row r="38" spans="1:53" s="9" customFormat="1" x14ac:dyDescent="0.25">
      <c r="A38" s="777"/>
      <c r="B38" s="654" t="s">
        <v>1650</v>
      </c>
      <c r="C38" s="667" t="s">
        <v>1808</v>
      </c>
      <c r="D38" s="581" t="s">
        <v>527</v>
      </c>
      <c r="E38" s="728">
        <f>$D$86-E37</f>
        <v>421.65</v>
      </c>
      <c r="F38" s="728">
        <f>E38*INDEX([3]WATClimate!$B$6:$B$9,MATCH('TechWATv5 (supwat5)'!D38,[3]WATClimate!$A$6:$A$9,1))</f>
        <v>421.65</v>
      </c>
      <c r="G38" s="738">
        <v>0</v>
      </c>
      <c r="H38" s="728">
        <f>$E$38/$E$37 *$H$37 * 1.5</f>
        <v>3286.3822200000004</v>
      </c>
      <c r="I38" s="727">
        <f>$H$3*H38</f>
        <v>8.7089128830000018</v>
      </c>
      <c r="J38" s="584">
        <f>-PMT($D$3,$D$6,$H38)</f>
        <v>433.61657828585999</v>
      </c>
      <c r="K38" s="584">
        <f>$H38*$G$3/$E$6</f>
        <v>24.647866650000005</v>
      </c>
      <c r="L38" s="584">
        <f>$H$3*$H38</f>
        <v>8.7089128830000018</v>
      </c>
      <c r="M38" s="652">
        <f>G38*E38*$I$3</f>
        <v>0</v>
      </c>
      <c r="N38" s="197">
        <f>SUM(J38:M38)/$E38</f>
        <v>1.1074904727116328</v>
      </c>
      <c r="O38" s="653">
        <f>N38 +R38</f>
        <v>1.1074904727116328</v>
      </c>
      <c r="P38" s="620"/>
      <c r="R38" s="9">
        <v>0</v>
      </c>
      <c r="S38" s="9" t="s">
        <v>68</v>
      </c>
      <c r="T38" s="127">
        <f>O38 +$O$63</f>
        <v>5.1824431468278735</v>
      </c>
      <c r="W38" s="45" t="s">
        <v>666</v>
      </c>
      <c r="X38" s="185">
        <v>0.02</v>
      </c>
      <c r="Y38" s="177"/>
      <c r="Z38" s="185">
        <v>0.9</v>
      </c>
      <c r="AA38" s="177">
        <v>2010</v>
      </c>
      <c r="AB38" s="177">
        <v>8</v>
      </c>
      <c r="AC38" s="177">
        <v>100</v>
      </c>
      <c r="AD38" s="177">
        <f>E38</f>
        <v>421.65</v>
      </c>
      <c r="AE38" s="9">
        <f>$V$13+AD38</f>
        <v>421.65099999999995</v>
      </c>
      <c r="AF38" s="650">
        <f>H38/E38</f>
        <v>7.7940998932764156</v>
      </c>
      <c r="AG38" s="704">
        <f t="shared" si="8"/>
        <v>4.0654364717182506E-2</v>
      </c>
      <c r="AH38" s="650">
        <f>G38*$U$4</f>
        <v>0</v>
      </c>
      <c r="AI38" s="650"/>
      <c r="AJ38" s="108">
        <f>E38/F38</f>
        <v>1</v>
      </c>
      <c r="AL38" s="780"/>
      <c r="AM38" s="780"/>
      <c r="AN38" s="780"/>
      <c r="AO38" s="780"/>
      <c r="AT38" s="9" t="s">
        <v>1629</v>
      </c>
      <c r="AU38" s="9">
        <v>14</v>
      </c>
      <c r="AX38" t="s">
        <v>1613</v>
      </c>
      <c r="AY38">
        <v>126.01</v>
      </c>
      <c r="AZ38"/>
      <c r="BA38" t="s">
        <v>1616</v>
      </c>
    </row>
    <row r="39" spans="1:53" x14ac:dyDescent="0.25">
      <c r="A39" s="777"/>
      <c r="B39" s="608"/>
      <c r="C39" s="120" t="s">
        <v>600</v>
      </c>
      <c r="D39" s="120" t="s">
        <v>528</v>
      </c>
      <c r="E39" s="123">
        <v>165</v>
      </c>
      <c r="F39" s="123">
        <f>E39*INDEX([3]WATClimate!$B$6:$B$9,MATCH('TechWATv5 (supwat5)'!D39,[3]WATClimate!$A$6:$A$9,1))</f>
        <v>165</v>
      </c>
      <c r="G39" s="739">
        <v>5.26</v>
      </c>
      <c r="H39" s="123">
        <v>4370.2922201138517</v>
      </c>
      <c r="I39" s="732">
        <f>$H$3*H39</f>
        <v>11.581274383301707</v>
      </c>
      <c r="J39" s="122">
        <f>-PMT($D$3,$D$6,$H39)</f>
        <v>576.63139334872699</v>
      </c>
      <c r="K39" s="122">
        <f>$H39*$G$3/$E$6</f>
        <v>32.777191650853887</v>
      </c>
      <c r="L39" s="122">
        <f>$H$3*$H39</f>
        <v>11.581274383301707</v>
      </c>
      <c r="M39" s="123">
        <f>G39*E39*$I$3</f>
        <v>433.95</v>
      </c>
      <c r="N39" s="124">
        <f>SUM(J39:M39)/$E39</f>
        <v>6.3935749053508033</v>
      </c>
      <c r="O39" s="125">
        <f>N39 +R39</f>
        <v>6.3935749053508033</v>
      </c>
      <c r="P39" s="121"/>
      <c r="R39">
        <v>0</v>
      </c>
      <c r="T39" s="127">
        <f>O39 +$O$63</f>
        <v>10.468527579467043</v>
      </c>
      <c r="W39" s="45" t="s">
        <v>667</v>
      </c>
      <c r="X39" s="478">
        <v>0.02</v>
      </c>
      <c r="Y39" s="144"/>
      <c r="Z39" s="478">
        <v>0.95</v>
      </c>
      <c r="AA39" s="605">
        <v>2010</v>
      </c>
      <c r="AB39" s="144">
        <v>7</v>
      </c>
      <c r="AC39" s="605">
        <v>100</v>
      </c>
      <c r="AD39" s="144">
        <f>E39</f>
        <v>165</v>
      </c>
      <c r="AE39">
        <f>$V$13+AD39</f>
        <v>165.001</v>
      </c>
      <c r="AF39" s="650">
        <f>H39/E39</f>
        <v>26.486619515841525</v>
      </c>
      <c r="AG39" s="650">
        <f t="shared" si="8"/>
        <v>9.0189541716980043E-2</v>
      </c>
      <c r="AH39" s="655">
        <f>G39*$U$4</f>
        <v>1.8935999999999998E-2</v>
      </c>
      <c r="AI39" s="651"/>
      <c r="AJ39" s="3">
        <f>E39/F39</f>
        <v>1</v>
      </c>
      <c r="AL39" s="780"/>
      <c r="AM39" s="780"/>
      <c r="AN39" s="780"/>
      <c r="AO39" s="780"/>
      <c r="AT39" t="s">
        <v>1630</v>
      </c>
      <c r="AU39">
        <f>AU35-AU36</f>
        <v>28.6</v>
      </c>
      <c r="AV39">
        <f>AU35-AU39</f>
        <v>10.399999999999999</v>
      </c>
      <c r="AX39" t="s">
        <v>1618</v>
      </c>
      <c r="AY39">
        <v>190</v>
      </c>
      <c r="BA39" t="s">
        <v>1617</v>
      </c>
    </row>
    <row r="40" spans="1:53" ht="15.75" thickBot="1" x14ac:dyDescent="0.3">
      <c r="A40" s="778"/>
      <c r="B40" s="609"/>
      <c r="C40" s="128" t="s">
        <v>584</v>
      </c>
      <c r="D40" s="128" t="s">
        <v>632</v>
      </c>
      <c r="E40" s="131">
        <v>100</v>
      </c>
      <c r="F40" s="131">
        <f>E40*INDEX([3]WATClimate!$B$6:$B$9,MATCH('TechWATv5 (supwat5)'!D40,[3]WATClimate!$A$6:$A$9,1))</f>
        <v>100</v>
      </c>
      <c r="G40" s="741">
        <v>14.1</v>
      </c>
      <c r="H40" s="131">
        <v>11174.542694497153</v>
      </c>
      <c r="I40" s="737">
        <f>$H$3*H40</f>
        <v>29.612538140417456</v>
      </c>
      <c r="J40" s="189">
        <f>-PMT($D$3,$D$6,$H40)</f>
        <v>1474.407613821958</v>
      </c>
      <c r="K40" s="189">
        <f>$H40*$G$3/$E$6</f>
        <v>83.809070208728642</v>
      </c>
      <c r="L40" s="189">
        <f>$H$3*$H40</f>
        <v>29.612538140417456</v>
      </c>
      <c r="M40" s="189">
        <f>G40*E40*$I$3</f>
        <v>705</v>
      </c>
      <c r="N40" s="131">
        <f>SUM(J40:M40)/$E40</f>
        <v>22.92829222171104</v>
      </c>
      <c r="O40" s="130">
        <f>N40 +R40</f>
        <v>22.92829222171104</v>
      </c>
      <c r="P40" s="131"/>
      <c r="R40">
        <v>0</v>
      </c>
      <c r="T40" s="127">
        <f>O40</f>
        <v>22.92829222171104</v>
      </c>
      <c r="W40" s="45" t="s">
        <v>1651</v>
      </c>
      <c r="X40" s="479">
        <v>0</v>
      </c>
      <c r="Y40" s="208"/>
      <c r="Z40" s="479">
        <v>1</v>
      </c>
      <c r="AA40" s="208">
        <v>2010</v>
      </c>
      <c r="AB40" s="208">
        <v>10</v>
      </c>
      <c r="AC40" s="208">
        <f>$E$6</f>
        <v>40</v>
      </c>
      <c r="AD40" s="208">
        <v>-1</v>
      </c>
      <c r="AE40" s="208"/>
      <c r="AF40" s="656">
        <f>H40/E40</f>
        <v>111.74542694497153</v>
      </c>
      <c r="AG40" s="656">
        <f t="shared" si="8"/>
        <v>0.29612538140417455</v>
      </c>
      <c r="AH40" s="657">
        <f>G40*$U$4</f>
        <v>5.076E-2</v>
      </c>
      <c r="AI40" s="658"/>
      <c r="AJ40" s="3">
        <f>E40/F40</f>
        <v>1</v>
      </c>
      <c r="AL40" s="781"/>
      <c r="AM40" s="781"/>
      <c r="AN40" s="781"/>
      <c r="AO40" s="781"/>
      <c r="AU40" s="3"/>
    </row>
    <row r="41" spans="1:53" x14ac:dyDescent="0.25">
      <c r="A41" s="776" t="s">
        <v>1663</v>
      </c>
      <c r="B41" s="660"/>
      <c r="C41" s="533" t="str">
        <f>C29</f>
        <v>LHWP II (Polihali Dam)</v>
      </c>
      <c r="D41" s="135" t="s">
        <v>1676</v>
      </c>
      <c r="E41" s="663"/>
      <c r="F41" s="663"/>
      <c r="G41" s="742"/>
      <c r="H41" s="663"/>
      <c r="I41" s="730"/>
      <c r="J41" s="190"/>
      <c r="K41" s="190"/>
      <c r="L41" s="190"/>
      <c r="M41" s="190"/>
      <c r="N41" s="663"/>
      <c r="O41" s="122"/>
      <c r="P41" s="663"/>
      <c r="T41" s="127"/>
      <c r="W41" s="45"/>
      <c r="X41" s="478"/>
      <c r="Y41" s="144"/>
      <c r="Z41" s="478"/>
      <c r="AA41" s="144"/>
      <c r="AB41" s="144"/>
      <c r="AC41" s="144"/>
      <c r="AD41" s="144"/>
      <c r="AE41" s="144"/>
      <c r="AF41" s="664"/>
      <c r="AG41" s="664"/>
      <c r="AH41" s="665"/>
      <c r="AI41" s="666"/>
      <c r="AJ41" s="3"/>
      <c r="AL41" s="661"/>
      <c r="AM41" s="661"/>
      <c r="AN41" s="661"/>
      <c r="AO41" s="661"/>
      <c r="AU41" s="3"/>
    </row>
    <row r="42" spans="1:53" x14ac:dyDescent="0.25">
      <c r="A42" s="777"/>
      <c r="B42" s="660"/>
      <c r="C42" s="531" t="s">
        <v>1828</v>
      </c>
      <c r="D42" s="135" t="s">
        <v>1674</v>
      </c>
      <c r="E42" s="585">
        <f>0.55*$D$86</f>
        <v>515.35</v>
      </c>
      <c r="F42" s="728">
        <f>E42*INDEX([3]WATClimate!$B$6:$B$9,MATCH('TechWATv5 (supwat5)'!D42,[3]WATClimate!$A$6:$A$9,1))</f>
        <v>515.35</v>
      </c>
      <c r="G42" s="738">
        <v>0</v>
      </c>
      <c r="H42" s="585">
        <f>'CPI_1960-2013'!$AM$2 * $D$87 * $E$37/$D$86 * 1.1</f>
        <v>2677.7929200000008</v>
      </c>
      <c r="I42" s="727">
        <f>$H$3*H42</f>
        <v>7.0961512380000018</v>
      </c>
      <c r="J42" s="584">
        <f>-PMT($D$3,$D$6,$H42)</f>
        <v>353.31721193662673</v>
      </c>
      <c r="K42" s="584">
        <f>$H42*$G$3/$E$6</f>
        <v>20.083446900000006</v>
      </c>
      <c r="L42" s="584">
        <f>$H$3*$H42</f>
        <v>7.0961512380000018</v>
      </c>
      <c r="M42" s="652">
        <f>G42*E42*$I$3</f>
        <v>0</v>
      </c>
      <c r="N42" s="197">
        <f>SUM(J42:M42)/$E42</f>
        <v>0.73832698180775536</v>
      </c>
      <c r="O42" s="653">
        <f>N42 +R42</f>
        <v>0.73832698180775536</v>
      </c>
      <c r="P42" s="663"/>
      <c r="T42" s="127"/>
      <c r="W42" s="45"/>
      <c r="X42" s="478"/>
      <c r="Y42" s="144"/>
      <c r="Z42" s="478"/>
      <c r="AA42" s="144"/>
      <c r="AB42" s="144"/>
      <c r="AC42" s="144"/>
      <c r="AD42" s="144"/>
      <c r="AE42" s="144"/>
      <c r="AF42" s="664"/>
      <c r="AG42" s="664"/>
      <c r="AH42" s="665"/>
      <c r="AI42" s="666"/>
      <c r="AJ42" s="3"/>
      <c r="AL42" s="661"/>
      <c r="AM42" s="661"/>
      <c r="AN42" s="661"/>
      <c r="AO42" s="661"/>
      <c r="AU42" s="3"/>
    </row>
    <row r="43" spans="1:53" ht="15.75" thickBot="1" x14ac:dyDescent="0.3">
      <c r="A43" s="778"/>
      <c r="B43" s="660"/>
      <c r="C43" s="667" t="s">
        <v>1808</v>
      </c>
      <c r="D43" s="135" t="s">
        <v>1675</v>
      </c>
      <c r="E43" s="728">
        <f>$D$86-E42</f>
        <v>421.65</v>
      </c>
      <c r="F43" s="728">
        <f>E43*INDEX([3]WATClimate!$B$6:$B$9,MATCH('TechWATv5 (supwat5)'!D43,[3]WATClimate!$A$6:$A$9,1))</f>
        <v>421.65</v>
      </c>
      <c r="G43" s="738">
        <v>0</v>
      </c>
      <c r="H43" s="728">
        <f>$E$38/$E$37 *$H$37 * 1.5</f>
        <v>3286.3822200000004</v>
      </c>
      <c r="I43" s="727">
        <f>$H$3*H43</f>
        <v>8.7089128830000018</v>
      </c>
      <c r="J43" s="584">
        <f>-PMT($D$3,$D$6,$H43)</f>
        <v>433.61657828585999</v>
      </c>
      <c r="K43" s="584">
        <f>$H43*$G$3/$E$6</f>
        <v>24.647866650000005</v>
      </c>
      <c r="L43" s="584">
        <f>$H$3*$H43</f>
        <v>8.7089128830000018</v>
      </c>
      <c r="M43" s="652">
        <f>G43*E43*$I$3</f>
        <v>0</v>
      </c>
      <c r="N43" s="197">
        <f>SUM(J43:M43)/$E43</f>
        <v>1.1074904727116328</v>
      </c>
      <c r="O43" s="653">
        <f>N43 +R43</f>
        <v>1.1074904727116328</v>
      </c>
      <c r="P43" s="620"/>
      <c r="T43" s="127"/>
      <c r="W43" s="45"/>
      <c r="X43" s="478"/>
      <c r="Y43" s="144"/>
      <c r="Z43" s="478"/>
      <c r="AA43" s="144"/>
      <c r="AB43" s="144"/>
      <c r="AC43" s="144"/>
      <c r="AD43" s="144"/>
      <c r="AE43" s="144"/>
      <c r="AF43" s="664"/>
      <c r="AG43" s="664"/>
      <c r="AH43" s="665"/>
      <c r="AI43" s="666"/>
      <c r="AJ43" s="3"/>
      <c r="AL43" s="661"/>
      <c r="AM43" s="661"/>
      <c r="AN43" s="661"/>
      <c r="AO43" s="661"/>
      <c r="AU43" s="3"/>
    </row>
    <row r="44" spans="1:53" x14ac:dyDescent="0.25">
      <c r="A44" s="793" t="s">
        <v>601</v>
      </c>
      <c r="B44" s="793"/>
      <c r="C44" s="793"/>
      <c r="D44" s="793"/>
      <c r="E44" s="793"/>
      <c r="F44" s="659"/>
      <c r="G44" s="120"/>
      <c r="H44" s="120"/>
      <c r="I44" s="120"/>
      <c r="J44" s="145"/>
      <c r="K44" s="145"/>
      <c r="L44" s="607"/>
      <c r="M44" s="607"/>
      <c r="N44" s="120"/>
      <c r="O44" s="120"/>
      <c r="P44" s="120"/>
      <c r="Q44" s="120"/>
      <c r="R44" s="121"/>
      <c r="S44" t="s">
        <v>602</v>
      </c>
      <c r="T44" s="126">
        <f>O38+$O$64</f>
        <v>114.48790469882536</v>
      </c>
      <c r="AJ44" s="3"/>
    </row>
    <row r="45" spans="1:53" x14ac:dyDescent="0.25">
      <c r="A45" s="790" t="s">
        <v>603</v>
      </c>
      <c r="B45" s="790"/>
      <c r="C45" s="790"/>
      <c r="D45" s="790"/>
      <c r="E45" s="790"/>
      <c r="F45" s="790"/>
      <c r="G45" s="790"/>
      <c r="H45" s="440"/>
      <c r="I45" s="147"/>
      <c r="J45" s="147">
        <f>SUM(J48:J49)</f>
        <v>517</v>
      </c>
      <c r="K45" s="148"/>
      <c r="L45" s="147"/>
      <c r="M45" s="147"/>
      <c r="N45" s="147"/>
      <c r="O45" s="147"/>
      <c r="P45" s="147"/>
      <c r="Q45" s="147"/>
      <c r="R45" s="121"/>
      <c r="T45" s="127">
        <f>O39+$O$64</f>
        <v>119.77398913146453</v>
      </c>
      <c r="AJ45" s="3"/>
    </row>
    <row r="46" spans="1:53" ht="15.75" thickBot="1" x14ac:dyDescent="0.3">
      <c r="A46" s="794" t="s">
        <v>604</v>
      </c>
      <c r="B46" s="794"/>
      <c r="C46" s="794"/>
      <c r="D46" s="794"/>
      <c r="E46" s="794"/>
      <c r="F46" s="794"/>
      <c r="G46" s="794"/>
      <c r="I46" s="147"/>
      <c r="J46" s="148"/>
      <c r="K46" s="148"/>
      <c r="L46" s="147"/>
      <c r="M46" s="147"/>
      <c r="N46" s="147"/>
      <c r="O46" s="147"/>
      <c r="P46" s="147"/>
      <c r="Q46" s="147"/>
      <c r="R46" s="121"/>
      <c r="T46" s="141">
        <f>O40+$O$64</f>
        <v>136.30870644782476</v>
      </c>
      <c r="AJ46" s="3"/>
    </row>
    <row r="47" spans="1:53" x14ac:dyDescent="0.25">
      <c r="A47" s="794" t="s">
        <v>605</v>
      </c>
      <c r="B47" s="794"/>
      <c r="C47" s="794"/>
      <c r="D47" s="794"/>
      <c r="E47" s="794"/>
      <c r="F47" s="794"/>
      <c r="G47" s="794"/>
      <c r="H47" s="147"/>
      <c r="I47" s="121"/>
      <c r="J47" s="440">
        <f>SUM(H37:H38)</f>
        <v>5964.1751400000012</v>
      </c>
      <c r="K47" s="147">
        <f>J47/D87</f>
        <v>1.2019700000000002</v>
      </c>
      <c r="L47" s="147"/>
      <c r="M47" s="147"/>
      <c r="N47" s="147"/>
      <c r="O47" s="147"/>
      <c r="P47" s="147"/>
      <c r="Q47" s="147"/>
      <c r="R47" s="121"/>
      <c r="S47" t="s">
        <v>606</v>
      </c>
      <c r="T47" s="126">
        <f>O38+$O$65</f>
        <v>10.236767560088175</v>
      </c>
      <c r="AJ47" s="3"/>
    </row>
    <row r="48" spans="1:53" x14ac:dyDescent="0.25">
      <c r="A48" s="790" t="s">
        <v>607</v>
      </c>
      <c r="B48" s="790"/>
      <c r="C48" s="790"/>
      <c r="D48" s="790"/>
      <c r="E48" s="790"/>
      <c r="F48" s="790"/>
      <c r="G48" s="790"/>
      <c r="H48" s="121"/>
      <c r="I48" s="147"/>
      <c r="J48" s="147">
        <f>517-227</f>
        <v>290</v>
      </c>
      <c r="K48" s="147"/>
      <c r="L48" s="147"/>
      <c r="M48" s="147"/>
      <c r="N48" s="147"/>
      <c r="O48" s="147"/>
      <c r="P48" s="147"/>
      <c r="Q48" s="147"/>
      <c r="R48" s="121"/>
      <c r="T48" s="127">
        <f>O39+$O$65</f>
        <v>15.522851992727347</v>
      </c>
      <c r="AJ48" s="3"/>
    </row>
    <row r="49" spans="1:45" ht="15.75" thickBot="1" x14ac:dyDescent="0.3">
      <c r="A49" s="790" t="s">
        <v>608</v>
      </c>
      <c r="B49" s="790"/>
      <c r="C49" s="790"/>
      <c r="D49" s="790"/>
      <c r="E49" s="790"/>
      <c r="F49" s="790"/>
      <c r="G49" s="790"/>
      <c r="H49" s="121"/>
      <c r="I49" s="147"/>
      <c r="J49" s="147">
        <v>227</v>
      </c>
      <c r="K49" s="147"/>
      <c r="L49" s="147"/>
      <c r="M49" s="147"/>
      <c r="N49" s="147"/>
      <c r="O49" s="147"/>
      <c r="P49" s="147"/>
      <c r="Q49" s="147"/>
      <c r="R49" s="121"/>
      <c r="T49" s="141">
        <f>O40+$O$65</f>
        <v>32.057569309087583</v>
      </c>
      <c r="W49" s="3"/>
      <c r="AJ49" s="3"/>
    </row>
    <row r="50" spans="1:45" x14ac:dyDescent="0.25">
      <c r="A50" s="790" t="s">
        <v>609</v>
      </c>
      <c r="B50" s="790"/>
      <c r="C50" s="790"/>
      <c r="D50" s="790"/>
      <c r="E50" s="790"/>
      <c r="F50" s="790"/>
      <c r="G50" s="790"/>
      <c r="H50" s="121"/>
      <c r="I50" s="147"/>
      <c r="K50" s="147"/>
      <c r="L50" s="147"/>
      <c r="M50" s="147"/>
      <c r="N50" s="147"/>
      <c r="O50" s="147"/>
      <c r="P50" s="147"/>
      <c r="Q50" s="147"/>
      <c r="R50" s="121"/>
      <c r="AJ50" s="3"/>
    </row>
    <row r="51" spans="1:45" x14ac:dyDescent="0.25">
      <c r="A51" s="790" t="s">
        <v>610</v>
      </c>
      <c r="B51" s="790"/>
      <c r="C51" s="790"/>
      <c r="D51" s="790"/>
      <c r="E51" s="790"/>
      <c r="F51" s="790"/>
      <c r="G51" s="790"/>
      <c r="H51" s="121"/>
      <c r="I51" s="147"/>
      <c r="J51" s="147"/>
      <c r="K51" s="147"/>
      <c r="L51" s="147"/>
      <c r="M51" s="147"/>
      <c r="N51" s="147"/>
      <c r="O51" s="147"/>
      <c r="P51" s="147"/>
      <c r="Q51" s="147"/>
      <c r="R51" s="121"/>
      <c r="AJ51" s="3"/>
    </row>
    <row r="52" spans="1:45" x14ac:dyDescent="0.25">
      <c r="A52" s="790" t="s">
        <v>611</v>
      </c>
      <c r="B52" s="790"/>
      <c r="C52" s="790"/>
      <c r="D52" s="790"/>
      <c r="E52" s="790"/>
      <c r="F52" s="790"/>
      <c r="G52" s="790"/>
      <c r="H52" s="121"/>
      <c r="I52" s="147"/>
      <c r="J52" s="147"/>
      <c r="K52" s="147"/>
      <c r="L52" s="147"/>
      <c r="M52" s="147"/>
      <c r="N52" s="147"/>
      <c r="O52" s="147"/>
      <c r="P52" s="147"/>
      <c r="Q52" s="147"/>
      <c r="R52" s="121"/>
      <c r="AF52" s="81"/>
      <c r="AG52" s="81"/>
      <c r="AJ52" s="3"/>
    </row>
    <row r="53" spans="1:45" x14ac:dyDescent="0.25">
      <c r="A53" s="606"/>
      <c r="B53" s="606"/>
      <c r="C53" s="790"/>
      <c r="D53" s="790"/>
      <c r="E53" s="790"/>
      <c r="F53" s="790"/>
      <c r="G53" s="790"/>
      <c r="H53" s="606"/>
      <c r="I53" s="147"/>
      <c r="J53" s="147"/>
      <c r="K53" s="147"/>
      <c r="L53" s="147"/>
      <c r="M53" s="147"/>
      <c r="N53" s="147"/>
      <c r="O53" s="147"/>
      <c r="P53" s="147"/>
      <c r="Q53" s="147"/>
      <c r="R53" s="121"/>
      <c r="V53" s="8"/>
      <c r="AF53" s="81"/>
      <c r="AG53" s="81"/>
      <c r="AJ53" s="3"/>
    </row>
    <row r="54" spans="1:45" x14ac:dyDescent="0.25">
      <c r="A54" s="5" t="s">
        <v>612</v>
      </c>
      <c r="B54" s="5"/>
      <c r="P54" s="147"/>
      <c r="AF54" s="81"/>
      <c r="AG54" s="81"/>
      <c r="AJ54" s="3"/>
    </row>
    <row r="55" spans="1:45" s="151" customFormat="1" x14ac:dyDescent="0.25">
      <c r="A55" s="150" t="s">
        <v>613</v>
      </c>
      <c r="B55" s="150"/>
      <c r="P55" s="147"/>
      <c r="Q55" s="147"/>
      <c r="R55" s="147"/>
      <c r="S55" s="147"/>
      <c r="T55" s="147"/>
      <c r="U55" s="147"/>
      <c r="V55" s="147"/>
      <c r="W55" s="147"/>
      <c r="X55" s="147"/>
      <c r="Y55" s="147"/>
      <c r="Z55" s="147"/>
      <c r="AA55" s="147"/>
      <c r="AB55" s="147"/>
      <c r="AC55" s="147"/>
      <c r="AD55" s="147"/>
      <c r="AE55" s="147"/>
      <c r="AF55" s="81"/>
      <c r="AG55" s="81"/>
      <c r="AH55" s="147"/>
      <c r="AI55" s="147"/>
      <c r="AJ55" s="3"/>
      <c r="AK55" s="147"/>
      <c r="AL55" s="147"/>
      <c r="AM55" s="147"/>
      <c r="AN55" s="147"/>
      <c r="AO55" s="147"/>
      <c r="AP55" s="147"/>
      <c r="AQ55" s="147"/>
      <c r="AR55" s="147"/>
      <c r="AS55" s="147"/>
    </row>
    <row r="56" spans="1:45" ht="29.25" customHeight="1" thickBot="1" x14ac:dyDescent="0.3">
      <c r="A56" s="791" t="s">
        <v>330</v>
      </c>
      <c r="B56" s="791"/>
      <c r="C56" s="791" t="s">
        <v>614</v>
      </c>
      <c r="D56" s="787" t="s">
        <v>507</v>
      </c>
      <c r="E56" s="787" t="s">
        <v>615</v>
      </c>
      <c r="F56" s="610"/>
      <c r="G56" s="610" t="s">
        <v>616</v>
      </c>
      <c r="H56" s="610" t="s">
        <v>617</v>
      </c>
      <c r="I56" s="787" t="s">
        <v>618</v>
      </c>
      <c r="J56" s="787" t="s">
        <v>619</v>
      </c>
      <c r="K56" s="610" t="s">
        <v>620</v>
      </c>
      <c r="L56" s="610" t="s">
        <v>621</v>
      </c>
      <c r="M56" s="610" t="s">
        <v>563</v>
      </c>
      <c r="N56" s="610" t="s">
        <v>564</v>
      </c>
      <c r="O56" s="787" t="s">
        <v>565</v>
      </c>
      <c r="P56" s="147"/>
      <c r="AD56" s="59"/>
      <c r="AF56" s="81"/>
      <c r="AG56" s="81"/>
      <c r="AH56" s="81"/>
      <c r="AI56" s="81"/>
      <c r="AJ56" s="3"/>
    </row>
    <row r="57" spans="1:45" ht="15.75" thickBot="1" x14ac:dyDescent="0.3">
      <c r="A57" s="792"/>
      <c r="B57" s="792"/>
      <c r="C57" s="792"/>
      <c r="D57" s="788"/>
      <c r="E57" s="788"/>
      <c r="F57" s="421"/>
      <c r="G57" s="610" t="s">
        <v>570</v>
      </c>
      <c r="H57" s="610" t="s">
        <v>622</v>
      </c>
      <c r="I57" s="788"/>
      <c r="J57" s="788"/>
      <c r="K57" s="610" t="s">
        <v>570</v>
      </c>
      <c r="L57" s="610" t="s">
        <v>570</v>
      </c>
      <c r="M57" s="610" t="s">
        <v>570</v>
      </c>
      <c r="N57" s="610" t="s">
        <v>570</v>
      </c>
      <c r="O57" s="788"/>
      <c r="V57" s="168" t="s">
        <v>647</v>
      </c>
      <c r="AD57" s="165"/>
      <c r="AF57" s="81"/>
      <c r="AG57" s="81"/>
      <c r="AH57" s="81"/>
      <c r="AJ57" s="3"/>
    </row>
    <row r="58" spans="1:45" ht="15.75" thickBot="1" x14ac:dyDescent="0.3">
      <c r="A58" s="152" t="s">
        <v>511</v>
      </c>
      <c r="B58" s="152"/>
      <c r="C58" s="153" t="s">
        <v>623</v>
      </c>
      <c r="D58" s="154" t="s">
        <v>578</v>
      </c>
      <c r="E58" s="154">
        <v>30</v>
      </c>
      <c r="F58" s="154"/>
      <c r="G58" s="155">
        <v>73.628083491461098</v>
      </c>
      <c r="H58" s="156">
        <f t="shared" ref="H58:H63" si="18">$H$3*G58</f>
        <v>0.19511442125237191</v>
      </c>
      <c r="I58" s="154">
        <v>0</v>
      </c>
      <c r="J58" s="157"/>
      <c r="K58" s="158">
        <v>11</v>
      </c>
      <c r="L58" s="159">
        <f t="shared" ref="L58:L66" si="19">$G58*$G$3/$E$6</f>
        <v>0.55221062618595818</v>
      </c>
      <c r="M58" s="159">
        <f t="shared" ref="M58:M66" si="20">H58</f>
        <v>0.19511442125237191</v>
      </c>
      <c r="N58" s="158">
        <f t="shared" ref="N58:N63" si="21">I58*E58*$I$3</f>
        <v>0</v>
      </c>
      <c r="O58" s="159">
        <f t="shared" ref="O58:O66" si="22">SUM(K58:N58)/E58</f>
        <v>0.39157750158127769</v>
      </c>
      <c r="X58" s="159"/>
      <c r="Y58" s="159"/>
      <c r="Z58" s="159"/>
      <c r="AA58" s="159"/>
      <c r="AB58" s="159">
        <v>1</v>
      </c>
      <c r="AC58" s="159">
        <f>$E$6</f>
        <v>40</v>
      </c>
      <c r="AD58" s="159">
        <v>-1</v>
      </c>
      <c r="AE58" s="159"/>
      <c r="AF58" s="200">
        <f t="shared" ref="AF58:AF66" si="23">G58/E58</f>
        <v>2.4542694497153699</v>
      </c>
      <c r="AG58" s="200">
        <f>M58</f>
        <v>0.19511442125237191</v>
      </c>
      <c r="AH58" s="200">
        <f t="shared" ref="AH58:AH63" si="24">I58*$U$4</f>
        <v>0</v>
      </c>
      <c r="AI58" s="200"/>
      <c r="AJ58" s="3">
        <v>1</v>
      </c>
    </row>
    <row r="59" spans="1:45" x14ac:dyDescent="0.25">
      <c r="A59" s="776" t="s">
        <v>519</v>
      </c>
      <c r="B59" s="608"/>
      <c r="C59" s="121" t="s">
        <v>624</v>
      </c>
      <c r="D59" s="120" t="s">
        <v>515</v>
      </c>
      <c r="E59" s="120">
        <v>30</v>
      </c>
      <c r="F59" s="120"/>
      <c r="G59" s="124">
        <v>2656.5351043643263</v>
      </c>
      <c r="H59" s="125">
        <f t="shared" si="18"/>
        <v>7.0398180265654648</v>
      </c>
      <c r="I59" s="120">
        <v>0.41</v>
      </c>
      <c r="J59" s="147"/>
      <c r="K59" s="160">
        <v>400</v>
      </c>
      <c r="L59" s="161">
        <f>$G59*$G$3/$E$6</f>
        <v>19.924013282732446</v>
      </c>
      <c r="M59" s="161">
        <f t="shared" si="20"/>
        <v>7.0398180265654648</v>
      </c>
      <c r="N59" s="160">
        <f t="shared" si="21"/>
        <v>6.1499999999999995</v>
      </c>
      <c r="O59" s="161">
        <f t="shared" si="22"/>
        <v>14.43712771030993</v>
      </c>
      <c r="X59" s="161"/>
      <c r="Y59" s="161"/>
      <c r="Z59" s="161"/>
      <c r="AA59" s="161"/>
      <c r="AB59" s="161"/>
      <c r="AC59" s="161">
        <f>$E$6</f>
        <v>40</v>
      </c>
      <c r="AD59" s="161">
        <v>-1</v>
      </c>
      <c r="AE59" s="161"/>
      <c r="AF59" s="201">
        <f t="shared" si="23"/>
        <v>88.551170145477542</v>
      </c>
      <c r="AG59" s="201">
        <f>M59/$E59</f>
        <v>0.23466060088551549</v>
      </c>
      <c r="AH59" s="201">
        <f t="shared" si="24"/>
        <v>1.4759999999999999E-3</v>
      </c>
      <c r="AI59" s="201"/>
      <c r="AJ59" s="3">
        <v>1</v>
      </c>
    </row>
    <row r="60" spans="1:45" x14ac:dyDescent="0.25">
      <c r="A60" s="789"/>
      <c r="B60" s="612"/>
      <c r="C60" s="121" t="s">
        <v>625</v>
      </c>
      <c r="D60" s="121" t="s">
        <v>516</v>
      </c>
      <c r="E60" s="120">
        <v>30</v>
      </c>
      <c r="F60" s="120"/>
      <c r="G60" s="124">
        <v>405.80075901328274</v>
      </c>
      <c r="H60" s="125">
        <f t="shared" si="18"/>
        <v>1.0753720113851992</v>
      </c>
      <c r="I60" s="120">
        <v>0.41</v>
      </c>
      <c r="J60" s="147"/>
      <c r="K60" s="160">
        <v>61</v>
      </c>
      <c r="L60" s="161">
        <f t="shared" si="19"/>
        <v>3.0435056925996204</v>
      </c>
      <c r="M60" s="161">
        <f t="shared" si="20"/>
        <v>1.0753720113851992</v>
      </c>
      <c r="N60" s="160">
        <f>I60*E60*$I$3</f>
        <v>6.1499999999999995</v>
      </c>
      <c r="O60" s="161">
        <f t="shared" si="22"/>
        <v>2.3756292567994941</v>
      </c>
      <c r="X60" s="161"/>
      <c r="Y60" s="161"/>
      <c r="Z60" s="161"/>
      <c r="AA60" s="161"/>
      <c r="AB60" s="161"/>
      <c r="AC60" s="161">
        <f>$E$6</f>
        <v>40</v>
      </c>
      <c r="AD60" s="161">
        <v>-1</v>
      </c>
      <c r="AE60" s="161"/>
      <c r="AF60" s="201">
        <f t="shared" si="23"/>
        <v>13.526691967109425</v>
      </c>
      <c r="AG60" s="201">
        <f>M60/$E60</f>
        <v>3.5845733712839972E-2</v>
      </c>
      <c r="AH60" s="201">
        <f t="shared" si="24"/>
        <v>1.4759999999999999E-3</v>
      </c>
      <c r="AI60" s="201"/>
      <c r="AJ60" s="3">
        <v>1</v>
      </c>
    </row>
    <row r="61" spans="1:45" x14ac:dyDescent="0.25">
      <c r="A61" s="789"/>
      <c r="B61" s="612"/>
      <c r="C61" s="606" t="s">
        <v>626</v>
      </c>
      <c r="D61" s="121" t="s">
        <v>517</v>
      </c>
      <c r="E61" s="120">
        <v>30</v>
      </c>
      <c r="F61" s="120"/>
      <c r="G61" s="124">
        <v>405.80075901328274</v>
      </c>
      <c r="H61" s="125">
        <f t="shared" si="18"/>
        <v>1.0753720113851992</v>
      </c>
      <c r="I61" s="120">
        <v>0.41</v>
      </c>
      <c r="J61" s="147"/>
      <c r="K61" s="160">
        <v>61</v>
      </c>
      <c r="L61" s="161">
        <f t="shared" si="19"/>
        <v>3.0435056925996204</v>
      </c>
      <c r="M61" s="161">
        <f t="shared" si="20"/>
        <v>1.0753720113851992</v>
      </c>
      <c r="N61" s="160">
        <f t="shared" si="21"/>
        <v>6.1499999999999995</v>
      </c>
      <c r="O61" s="161">
        <f t="shared" si="22"/>
        <v>2.3756292567994941</v>
      </c>
      <c r="X61" s="161"/>
      <c r="Y61" s="161"/>
      <c r="Z61" s="161"/>
      <c r="AA61" s="161"/>
      <c r="AB61" s="161"/>
      <c r="AC61" s="161">
        <f>$E$6</f>
        <v>40</v>
      </c>
      <c r="AD61" s="161">
        <v>-1</v>
      </c>
      <c r="AE61" s="161"/>
      <c r="AF61" s="201">
        <f t="shared" si="23"/>
        <v>13.526691967109425</v>
      </c>
      <c r="AG61" s="201">
        <f>M61/$E61</f>
        <v>3.5845733712839972E-2</v>
      </c>
      <c r="AH61" s="201">
        <f t="shared" si="24"/>
        <v>1.4759999999999999E-3</v>
      </c>
      <c r="AI61" s="201"/>
      <c r="AJ61" s="3">
        <v>1</v>
      </c>
    </row>
    <row r="62" spans="1:45" ht="15.75" thickBot="1" x14ac:dyDescent="0.3">
      <c r="A62" s="778"/>
      <c r="B62" s="609"/>
      <c r="C62" s="129" t="s">
        <v>627</v>
      </c>
      <c r="D62" s="128" t="s">
        <v>591</v>
      </c>
      <c r="E62" s="128">
        <v>30</v>
      </c>
      <c r="F62" s="128"/>
      <c r="G62" s="162">
        <v>3165.1612903225805</v>
      </c>
      <c r="H62" s="130">
        <f t="shared" si="18"/>
        <v>8.3876774193548389</v>
      </c>
      <c r="I62" s="128">
        <v>1.38</v>
      </c>
      <c r="J62" s="163"/>
      <c r="K62" s="164">
        <v>477</v>
      </c>
      <c r="L62" s="165">
        <f t="shared" si="19"/>
        <v>23.738709677419354</v>
      </c>
      <c r="M62" s="165">
        <f t="shared" si="20"/>
        <v>8.3876774193548389</v>
      </c>
      <c r="N62" s="164">
        <f t="shared" si="21"/>
        <v>20.7</v>
      </c>
      <c r="O62" s="165">
        <f t="shared" si="22"/>
        <v>17.660879569892472</v>
      </c>
      <c r="X62" s="165"/>
      <c r="Y62" s="165"/>
      <c r="Z62" s="165"/>
      <c r="AA62" s="165"/>
      <c r="AB62" s="165"/>
      <c r="AC62" s="165">
        <f>$E$6</f>
        <v>40</v>
      </c>
      <c r="AD62" s="165">
        <v>-1</v>
      </c>
      <c r="AE62" s="165"/>
      <c r="AF62" s="202">
        <f t="shared" si="23"/>
        <v>105.50537634408602</v>
      </c>
      <c r="AG62" s="202">
        <f>M62/$E62</f>
        <v>0.27958924731182794</v>
      </c>
      <c r="AH62" s="202">
        <f t="shared" si="24"/>
        <v>4.9679999999999993E-3</v>
      </c>
      <c r="AI62" s="202"/>
      <c r="AJ62" s="3">
        <v>1</v>
      </c>
    </row>
    <row r="63" spans="1:45" x14ac:dyDescent="0.25">
      <c r="A63" s="776" t="s">
        <v>598</v>
      </c>
      <c r="B63" s="608"/>
      <c r="C63" s="187" t="s">
        <v>628</v>
      </c>
      <c r="D63" s="120" t="s">
        <v>526</v>
      </c>
      <c r="E63" s="120">
        <v>0.27</v>
      </c>
      <c r="F63" s="120"/>
      <c r="G63" s="124">
        <v>5.6194307400379504</v>
      </c>
      <c r="H63" s="125">
        <f t="shared" si="18"/>
        <v>1.4891491461100569E-2</v>
      </c>
      <c r="I63" s="120">
        <v>0.32</v>
      </c>
      <c r="J63" s="147"/>
      <c r="K63" s="160">
        <v>1</v>
      </c>
      <c r="L63" s="161">
        <f t="shared" si="19"/>
        <v>4.214573055028463E-2</v>
      </c>
      <c r="M63" s="161">
        <f t="shared" si="20"/>
        <v>1.4891491461100569E-2</v>
      </c>
      <c r="N63" s="160">
        <f t="shared" si="21"/>
        <v>4.3200000000000002E-2</v>
      </c>
      <c r="O63" s="161">
        <f t="shared" si="22"/>
        <v>4.0749526741162407</v>
      </c>
      <c r="V63" t="s">
        <v>1797</v>
      </c>
      <c r="W63" t="s">
        <v>650</v>
      </c>
      <c r="X63" s="510"/>
      <c r="Y63" s="510"/>
      <c r="Z63" s="161">
        <v>0.99</v>
      </c>
      <c r="AA63" s="161"/>
      <c r="AB63" s="161">
        <v>1</v>
      </c>
      <c r="AC63" s="161">
        <v>20</v>
      </c>
      <c r="AD63" s="161">
        <v>-1</v>
      </c>
      <c r="AE63" s="161"/>
      <c r="AF63" s="201">
        <f t="shared" si="23"/>
        <v>20.812706444585</v>
      </c>
      <c r="AG63" s="201">
        <f>M63/$E63 +X63</f>
        <v>5.5153672078150251E-2</v>
      </c>
      <c r="AH63" s="203">
        <f t="shared" si="24"/>
        <v>1.152E-3</v>
      </c>
      <c r="AI63" s="203"/>
      <c r="AJ63" s="3">
        <v>1</v>
      </c>
    </row>
    <row r="64" spans="1:45" x14ac:dyDescent="0.25">
      <c r="A64" s="789"/>
      <c r="B64" s="612"/>
      <c r="C64" s="121" t="s">
        <v>629</v>
      </c>
      <c r="D64" s="120" t="s">
        <v>527</v>
      </c>
      <c r="E64" s="120">
        <v>1.4999999999999999E-2</v>
      </c>
      <c r="F64" s="120"/>
      <c r="G64" s="124">
        <v>1.269449715370019</v>
      </c>
      <c r="H64" s="125">
        <f>$H$5*G64</f>
        <v>6.3472485768500952E-2</v>
      </c>
      <c r="I64" s="147"/>
      <c r="J64" s="197">
        <f>$J$3 * $O$3 * ($K$3*$M$3*$E$64/$N$3)</f>
        <v>1.6277128547579298</v>
      </c>
      <c r="K64" s="160">
        <v>0</v>
      </c>
      <c r="L64" s="161">
        <f t="shared" si="19"/>
        <v>9.5208728652751429E-3</v>
      </c>
      <c r="M64" s="161">
        <f t="shared" si="20"/>
        <v>6.3472485768500952E-2</v>
      </c>
      <c r="N64" s="198">
        <f>J64</f>
        <v>1.6277128547579298</v>
      </c>
      <c r="O64" s="161">
        <f t="shared" si="22"/>
        <v>113.38041422611373</v>
      </c>
      <c r="W64" t="s">
        <v>645</v>
      </c>
      <c r="X64" s="510"/>
      <c r="Y64" s="510"/>
      <c r="Z64" s="161">
        <v>0.98</v>
      </c>
      <c r="AA64" s="161"/>
      <c r="AB64" s="161">
        <v>1</v>
      </c>
      <c r="AC64" s="161">
        <v>10</v>
      </c>
      <c r="AD64" s="161">
        <v>-1</v>
      </c>
      <c r="AE64" s="161"/>
      <c r="AF64" s="201">
        <f t="shared" si="23"/>
        <v>84.629981024667941</v>
      </c>
      <c r="AG64" s="201">
        <f>M64/$E64 +X64</f>
        <v>4.2314990512333974</v>
      </c>
      <c r="AH64" s="201"/>
      <c r="AI64" s="201">
        <f>$AI$73</f>
        <v>0.3</v>
      </c>
      <c r="AJ64" s="3">
        <v>1</v>
      </c>
    </row>
    <row r="65" spans="1:36" x14ac:dyDescent="0.25">
      <c r="A65" s="789"/>
      <c r="B65" s="612"/>
      <c r="C65" s="121" t="s">
        <v>630</v>
      </c>
      <c r="D65" s="120" t="s">
        <v>528</v>
      </c>
      <c r="E65" s="120">
        <v>50</v>
      </c>
      <c r="F65" s="120"/>
      <c r="G65" s="124">
        <f>AZ94</f>
        <v>8173.7787555494733</v>
      </c>
      <c r="H65" s="125">
        <f>$H$3*G65</f>
        <v>21.660513702206103</v>
      </c>
      <c r="I65" s="120">
        <v>1.3</v>
      </c>
      <c r="J65" s="147"/>
      <c r="K65" s="160">
        <v>341</v>
      </c>
      <c r="L65" s="161">
        <f t="shared" si="19"/>
        <v>61.303340666621047</v>
      </c>
      <c r="M65" s="161">
        <f t="shared" si="20"/>
        <v>21.660513702206103</v>
      </c>
      <c r="N65" s="160">
        <f>I65*E65*$I$3</f>
        <v>32.5</v>
      </c>
      <c r="O65" s="161">
        <f t="shared" si="22"/>
        <v>9.1292770873765434</v>
      </c>
      <c r="W65" t="s">
        <v>649</v>
      </c>
      <c r="X65" s="510"/>
      <c r="Y65" s="510"/>
      <c r="Z65" s="161">
        <v>0.99</v>
      </c>
      <c r="AA65" s="161"/>
      <c r="AB65" s="161">
        <v>5</v>
      </c>
      <c r="AC65" s="161">
        <f>E65</f>
        <v>50</v>
      </c>
      <c r="AD65" s="161">
        <f>AC65/AJ65</f>
        <v>50</v>
      </c>
      <c r="AE65" s="161"/>
      <c r="AF65" s="201">
        <f t="shared" si="23"/>
        <v>163.47557511098947</v>
      </c>
      <c r="AG65" s="201">
        <f>M65/$E65 +X65</f>
        <v>0.43321027404412205</v>
      </c>
      <c r="AH65" s="203">
        <f>I65*$U$4</f>
        <v>4.6800000000000001E-3</v>
      </c>
      <c r="AI65" s="201"/>
      <c r="AJ65" s="3">
        <v>1</v>
      </c>
    </row>
    <row r="66" spans="1:36" ht="15.75" thickBot="1" x14ac:dyDescent="0.3">
      <c r="A66" s="128"/>
      <c r="B66" s="128"/>
      <c r="C66" s="129" t="s">
        <v>631</v>
      </c>
      <c r="D66" s="128" t="s">
        <v>632</v>
      </c>
      <c r="E66" s="128">
        <v>0.1</v>
      </c>
      <c r="F66" s="128"/>
      <c r="G66" s="162">
        <f>2.62352941176471/0.1 *$E$66</f>
        <v>2.6235294117647099</v>
      </c>
      <c r="H66" s="130">
        <f>$H$3*G66</f>
        <v>6.9523529411764816E-3</v>
      </c>
      <c r="I66" s="128">
        <v>4.01</v>
      </c>
      <c r="J66" s="163"/>
      <c r="K66" s="164">
        <v>0</v>
      </c>
      <c r="L66" s="165">
        <f t="shared" si="19"/>
        <v>1.9676470588235323E-2</v>
      </c>
      <c r="M66" s="165">
        <f t="shared" si="20"/>
        <v>6.9523529411764816E-3</v>
      </c>
      <c r="N66" s="164">
        <f>I66*E66*$I$3</f>
        <v>0.20050000000000001</v>
      </c>
      <c r="O66" s="165">
        <f t="shared" si="22"/>
        <v>2.2712882352941182</v>
      </c>
      <c r="W66" s="45" t="s">
        <v>678</v>
      </c>
      <c r="X66" s="511">
        <f>Q4</f>
        <v>0.02</v>
      </c>
      <c r="Y66" s="511"/>
      <c r="Z66" s="165">
        <v>0.98</v>
      </c>
      <c r="AA66" s="165"/>
      <c r="AB66" s="165">
        <v>1</v>
      </c>
      <c r="AC66" s="165">
        <f>10*E66</f>
        <v>1</v>
      </c>
      <c r="AD66" s="165">
        <f>AC66/AJ66</f>
        <v>1</v>
      </c>
      <c r="AE66" s="165"/>
      <c r="AF66" s="202">
        <f t="shared" si="23"/>
        <v>26.235294117647097</v>
      </c>
      <c r="AG66" s="202">
        <f>M66/$E66 +X66</f>
        <v>8.9523529411764821E-2</v>
      </c>
      <c r="AH66" s="250">
        <f>I66*$U$4</f>
        <v>1.4435999999999999E-2</v>
      </c>
      <c r="AI66" s="202"/>
      <c r="AJ66" s="3">
        <v>1</v>
      </c>
    </row>
    <row r="67" spans="1:36" x14ac:dyDescent="0.25">
      <c r="A67" s="166" t="s">
        <v>633</v>
      </c>
      <c r="B67" s="166"/>
      <c r="AF67" s="81"/>
      <c r="AG67" s="81"/>
      <c r="AH67" s="81"/>
    </row>
    <row r="68" spans="1:36" x14ac:dyDescent="0.25">
      <c r="A68" s="167" t="s">
        <v>634</v>
      </c>
      <c r="B68" s="167"/>
      <c r="AF68" s="81"/>
      <c r="AG68" s="81"/>
    </row>
    <row r="69" spans="1:36" x14ac:dyDescent="0.25">
      <c r="A69" s="167" t="s">
        <v>635</v>
      </c>
      <c r="B69" s="167"/>
      <c r="AF69" s="81"/>
      <c r="AG69" t="s">
        <v>1377</v>
      </c>
    </row>
    <row r="70" spans="1:36" x14ac:dyDescent="0.25">
      <c r="AH70" t="s">
        <v>1378</v>
      </c>
      <c r="AI70">
        <f>$M$3*$L$3*$O$3</f>
        <v>2700</v>
      </c>
    </row>
    <row r="71" spans="1:36" x14ac:dyDescent="0.25">
      <c r="C71" s="421" t="s">
        <v>1652</v>
      </c>
      <c r="AH71" t="s">
        <v>1379</v>
      </c>
      <c r="AI71">
        <f>$K$3*AI70</f>
        <v>5400</v>
      </c>
    </row>
    <row r="72" spans="1:36" x14ac:dyDescent="0.25">
      <c r="C72" t="s">
        <v>1604</v>
      </c>
      <c r="E72" t="s">
        <v>94</v>
      </c>
      <c r="G72" t="s">
        <v>1605</v>
      </c>
      <c r="H72" t="s">
        <v>1615</v>
      </c>
      <c r="I72" t="s">
        <v>1606</v>
      </c>
      <c r="J72" s="605" t="s">
        <v>1608</v>
      </c>
      <c r="K72" t="s">
        <v>1609</v>
      </c>
      <c r="L72" t="s">
        <v>1793</v>
      </c>
      <c r="AG72" t="s">
        <v>1380</v>
      </c>
      <c r="AH72" t="s">
        <v>1376</v>
      </c>
      <c r="AI72">
        <f>AI71/$L$3</f>
        <v>300</v>
      </c>
    </row>
    <row r="73" spans="1:36" x14ac:dyDescent="0.25">
      <c r="C73" t="s">
        <v>1624</v>
      </c>
      <c r="D73" t="s">
        <v>1653</v>
      </c>
      <c r="E73">
        <v>130</v>
      </c>
      <c r="G73" t="s">
        <v>1614</v>
      </c>
      <c r="H73" t="s">
        <v>1586</v>
      </c>
      <c r="I73">
        <f>E73/E29</f>
        <v>0.2974828375286041</v>
      </c>
      <c r="J73" s="3">
        <f>E28</f>
        <v>3523</v>
      </c>
      <c r="K73" t="s">
        <v>510</v>
      </c>
      <c r="W73" s="568"/>
      <c r="AH73" t="s">
        <v>149</v>
      </c>
      <c r="AI73">
        <f>AI72/1000</f>
        <v>0.3</v>
      </c>
    </row>
    <row r="74" spans="1:36" x14ac:dyDescent="0.25">
      <c r="C74" t="s">
        <v>1625</v>
      </c>
      <c r="D74" t="s">
        <v>1654</v>
      </c>
      <c r="E74">
        <v>200</v>
      </c>
      <c r="H74" t="s">
        <v>1623</v>
      </c>
      <c r="I74">
        <f>E74/E37</f>
        <v>0.38808576695449692</v>
      </c>
      <c r="J74">
        <f>E36</f>
        <v>4130.5</v>
      </c>
      <c r="K74" t="s">
        <v>510</v>
      </c>
    </row>
    <row r="75" spans="1:36" x14ac:dyDescent="0.25">
      <c r="C75" t="s">
        <v>1655</v>
      </c>
      <c r="D75" t="s">
        <v>1656</v>
      </c>
      <c r="H75" t="s">
        <v>1628</v>
      </c>
      <c r="I75">
        <f>(AU39-AU38)/AU39</f>
        <v>0.51048951048951052</v>
      </c>
      <c r="J75">
        <f>E12</f>
        <v>25.1</v>
      </c>
      <c r="K75" t="s">
        <v>510</v>
      </c>
    </row>
    <row r="76" spans="1:36" x14ac:dyDescent="0.25">
      <c r="C76" t="s">
        <v>1657</v>
      </c>
      <c r="D76" t="s">
        <v>1658</v>
      </c>
      <c r="E76">
        <v>100</v>
      </c>
      <c r="H76" t="s">
        <v>1659</v>
      </c>
      <c r="I76">
        <f>-((L76/E76)*E15)/E14</f>
        <v>-7.8671328671328666</v>
      </c>
      <c r="J76" s="81">
        <v>100</v>
      </c>
      <c r="K76" t="s">
        <v>510</v>
      </c>
      <c r="L76">
        <v>300</v>
      </c>
    </row>
    <row r="78" spans="1:36" x14ac:dyDescent="0.25">
      <c r="C78" t="s">
        <v>1660</v>
      </c>
    </row>
    <row r="79" spans="1:36" x14ac:dyDescent="0.25">
      <c r="C79" s="421" t="s">
        <v>1652</v>
      </c>
    </row>
    <row r="80" spans="1:36" x14ac:dyDescent="0.25">
      <c r="C80" t="s">
        <v>1625</v>
      </c>
      <c r="D80" t="s">
        <v>1654</v>
      </c>
      <c r="E80">
        <v>200</v>
      </c>
      <c r="H80" t="s">
        <v>1623</v>
      </c>
      <c r="I80">
        <f>E74/(E38+E32)</f>
        <v>0.28159257496698326</v>
      </c>
      <c r="J80">
        <f>E36</f>
        <v>4130.5</v>
      </c>
      <c r="K80" t="s">
        <v>510</v>
      </c>
    </row>
    <row r="83" spans="3:52" x14ac:dyDescent="0.25">
      <c r="D83" s="5" t="s">
        <v>1661</v>
      </c>
      <c r="E83" t="s">
        <v>601</v>
      </c>
    </row>
    <row r="84" spans="3:52" x14ac:dyDescent="0.25">
      <c r="C84" t="s">
        <v>1662</v>
      </c>
      <c r="D84" t="s">
        <v>1663</v>
      </c>
    </row>
    <row r="85" spans="3:52" x14ac:dyDescent="0.25">
      <c r="C85" t="s">
        <v>1664</v>
      </c>
      <c r="D85" t="s">
        <v>1665</v>
      </c>
    </row>
    <row r="86" spans="3:52" x14ac:dyDescent="0.25">
      <c r="C86" t="s">
        <v>510</v>
      </c>
      <c r="D86">
        <v>937</v>
      </c>
    </row>
    <row r="87" spans="3:52" x14ac:dyDescent="0.25">
      <c r="C87" t="s">
        <v>1666</v>
      </c>
      <c r="D87">
        <v>4962</v>
      </c>
      <c r="E87" t="s">
        <v>1667</v>
      </c>
    </row>
    <row r="88" spans="3:52" x14ac:dyDescent="0.25">
      <c r="C88" t="s">
        <v>1672</v>
      </c>
      <c r="D88">
        <f>0.55*D86</f>
        <v>515.35</v>
      </c>
    </row>
    <row r="89" spans="3:52" x14ac:dyDescent="0.25">
      <c r="C89" t="s">
        <v>1671</v>
      </c>
    </row>
    <row r="92" spans="3:52" ht="15.75" thickBot="1" x14ac:dyDescent="0.3"/>
    <row r="93" spans="3:52" ht="15.75" thickBot="1" x14ac:dyDescent="0.3">
      <c r="AO93" t="s">
        <v>1729</v>
      </c>
      <c r="AP93" t="s">
        <v>1688</v>
      </c>
      <c r="AQ93">
        <v>30</v>
      </c>
      <c r="AR93">
        <v>45</v>
      </c>
      <c r="AS93">
        <v>55</v>
      </c>
      <c r="AT93">
        <v>65</v>
      </c>
      <c r="AU93">
        <v>75</v>
      </c>
      <c r="AV93">
        <v>87</v>
      </c>
      <c r="AW93">
        <v>100</v>
      </c>
      <c r="AX93" s="668">
        <v>4.3299999999999998E-2</v>
      </c>
      <c r="AY93" s="694">
        <v>75</v>
      </c>
      <c r="AZ93" s="696" t="s">
        <v>1728</v>
      </c>
    </row>
    <row r="94" spans="3:52" ht="15.75" thickBot="1" x14ac:dyDescent="0.3">
      <c r="AP94" t="s">
        <v>1689</v>
      </c>
      <c r="AQ94">
        <v>8.3000000000000007</v>
      </c>
      <c r="AR94">
        <v>8.8000000000000007</v>
      </c>
      <c r="AS94">
        <v>9.3000000000000007</v>
      </c>
      <c r="AT94">
        <v>9.8000000000000007</v>
      </c>
      <c r="AU94">
        <v>10.1</v>
      </c>
      <c r="AV94">
        <v>10.7</v>
      </c>
      <c r="AW94">
        <v>11.3</v>
      </c>
      <c r="AX94" s="669">
        <v>6.9322999999999997</v>
      </c>
      <c r="AY94" s="695">
        <f>AY93*$AX$93 +AX94</f>
        <v>10.1798</v>
      </c>
      <c r="AZ94" s="697">
        <f>AY94*1000 *'CPI_1960-2013'!$AO$2</f>
        <v>8173.7787555494733</v>
      </c>
    </row>
    <row r="117" spans="41:41" x14ac:dyDescent="0.25">
      <c r="AO117" t="s">
        <v>1794</v>
      </c>
    </row>
  </sheetData>
  <mergeCells count="32">
    <mergeCell ref="I56:I57"/>
    <mergeCell ref="J56:J57"/>
    <mergeCell ref="O56:O57"/>
    <mergeCell ref="A59:A62"/>
    <mergeCell ref="A63:A65"/>
    <mergeCell ref="B56:B57"/>
    <mergeCell ref="A51:G51"/>
    <mergeCell ref="A52:G52"/>
    <mergeCell ref="C53:G53"/>
    <mergeCell ref="A56:A57"/>
    <mergeCell ref="C56:C57"/>
    <mergeCell ref="D56:D57"/>
    <mergeCell ref="E56:E57"/>
    <mergeCell ref="AL28:AO35"/>
    <mergeCell ref="A36:A40"/>
    <mergeCell ref="AL36:AO40"/>
    <mergeCell ref="A44:E44"/>
    <mergeCell ref="A45:G45"/>
    <mergeCell ref="A41:A43"/>
    <mergeCell ref="D10:D11"/>
    <mergeCell ref="E10:E11"/>
    <mergeCell ref="F10:F11"/>
    <mergeCell ref="A50:G50"/>
    <mergeCell ref="A21:A27"/>
    <mergeCell ref="A28:A35"/>
    <mergeCell ref="A46:G46"/>
    <mergeCell ref="A47:G47"/>
    <mergeCell ref="A48:G48"/>
    <mergeCell ref="A49:G49"/>
    <mergeCell ref="A10:A11"/>
    <mergeCell ref="C10:C11"/>
    <mergeCell ref="A12:A20"/>
  </mergeCell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dimension ref="A1:CD599"/>
  <sheetViews>
    <sheetView workbookViewId="0">
      <selection activeCell="B9" sqref="B9"/>
    </sheetView>
  </sheetViews>
  <sheetFormatPr defaultColWidth="8.85546875" defaultRowHeight="15" x14ac:dyDescent="0.25"/>
  <sheetData>
    <row r="1" spans="1:33" x14ac:dyDescent="0.25">
      <c r="A1" t="s">
        <v>1470</v>
      </c>
      <c r="B1" s="45"/>
    </row>
    <row r="2" spans="1:33" x14ac:dyDescent="0.25">
      <c r="A2">
        <v>1</v>
      </c>
      <c r="B2" t="s">
        <v>1471</v>
      </c>
      <c r="T2" t="s">
        <v>1472</v>
      </c>
    </row>
    <row r="3" spans="1:33" x14ac:dyDescent="0.25">
      <c r="A3">
        <v>2</v>
      </c>
      <c r="B3" t="s">
        <v>1473</v>
      </c>
      <c r="T3" t="s">
        <v>1475</v>
      </c>
      <c r="U3">
        <f>SUMIF($B$2:$B$7,T3,$A$2:$A$7)</f>
        <v>4</v>
      </c>
    </row>
    <row r="4" spans="1:33" x14ac:dyDescent="0.25">
      <c r="A4">
        <v>3</v>
      </c>
      <c r="B4" t="s">
        <v>1474</v>
      </c>
    </row>
    <row r="5" spans="1:33" x14ac:dyDescent="0.25">
      <c r="A5">
        <v>4</v>
      </c>
      <c r="B5" t="s">
        <v>1475</v>
      </c>
      <c r="I5" s="87" t="s">
        <v>1470</v>
      </c>
      <c r="J5" s="87" t="str">
        <f>B2</f>
        <v>Greenshoots</v>
      </c>
      <c r="K5" s="87" t="str">
        <f>B3</f>
        <v>SO Moderate</v>
      </c>
      <c r="L5" s="87" t="str">
        <f>B4</f>
        <v>Weathering the Storm</v>
      </c>
      <c r="M5" s="87" t="str">
        <f>B5</f>
        <v>SO Low</v>
      </c>
    </row>
    <row r="7" spans="1:33" x14ac:dyDescent="0.25">
      <c r="T7" t="s">
        <v>1476</v>
      </c>
      <c r="U7" t="str">
        <f ca="1">MID(OFFSET($A$1,U8,0),3,10)</f>
        <v>AGR</v>
      </c>
      <c r="V7" t="str">
        <f t="shared" ref="V7:AE7" ca="1" si="0">MID(OFFSET($A$1,V8,0),3,10)</f>
        <v>IMI</v>
      </c>
      <c r="W7" t="str">
        <f t="shared" ca="1" si="0"/>
        <v>IIS</v>
      </c>
      <c r="X7" t="str">
        <f t="shared" ca="1" si="0"/>
        <v>INM</v>
      </c>
      <c r="Y7" t="str">
        <f t="shared" ca="1" si="0"/>
        <v>INF</v>
      </c>
      <c r="Z7" t="str">
        <f t="shared" ca="1" si="0"/>
        <v>ICP</v>
      </c>
      <c r="AA7" t="str">
        <f t="shared" ca="1" si="0"/>
        <v>IPP</v>
      </c>
      <c r="AB7" t="str">
        <f t="shared" ca="1" si="0"/>
        <v>IFB</v>
      </c>
      <c r="AC7" t="str">
        <f t="shared" ca="1" si="0"/>
        <v>IOT</v>
      </c>
      <c r="AD7" t="str">
        <f t="shared" ca="1" si="0"/>
        <v>COM</v>
      </c>
      <c r="AE7" t="str">
        <f t="shared" ca="1" si="0"/>
        <v>TRA</v>
      </c>
    </row>
    <row r="8" spans="1:33" x14ac:dyDescent="0.25">
      <c r="T8" t="s">
        <v>1477</v>
      </c>
      <c r="U8">
        <f t="shared" ref="U8:AE8" si="1">MATCH(U9,$B$1:$B$670,0)</f>
        <v>46</v>
      </c>
      <c r="V8">
        <f t="shared" si="1"/>
        <v>120</v>
      </c>
      <c r="W8">
        <f t="shared" si="1"/>
        <v>305</v>
      </c>
      <c r="X8">
        <f t="shared" si="1"/>
        <v>268</v>
      </c>
      <c r="Y8">
        <f t="shared" si="1"/>
        <v>342</v>
      </c>
      <c r="Z8">
        <f t="shared" si="1"/>
        <v>231</v>
      </c>
      <c r="AA8">
        <f t="shared" si="1"/>
        <v>194</v>
      </c>
      <c r="AB8">
        <f t="shared" si="1"/>
        <v>157</v>
      </c>
      <c r="AC8">
        <f t="shared" si="1"/>
        <v>379</v>
      </c>
      <c r="AD8">
        <f t="shared" si="1"/>
        <v>83</v>
      </c>
      <c r="AE8">
        <f t="shared" si="1"/>
        <v>416</v>
      </c>
    </row>
    <row r="9" spans="1:33" x14ac:dyDescent="0.25">
      <c r="A9" t="s">
        <v>1478</v>
      </c>
      <c r="I9" t="s">
        <v>1479</v>
      </c>
      <c r="U9" t="str">
        <f>B46</f>
        <v xml:space="preserve">Agriculture                                           </v>
      </c>
      <c r="V9" t="str">
        <f>B120</f>
        <v xml:space="preserve">Mining                                     </v>
      </c>
      <c r="W9" t="str">
        <f>B305</f>
        <v xml:space="preserve">Iron and Steel                             </v>
      </c>
      <c r="X9" t="str">
        <f>B268</f>
        <v xml:space="preserve">Non Metallic Minerals                      </v>
      </c>
      <c r="Y9" t="str">
        <f>B342</f>
        <v xml:space="preserve">Non Ferous Metals                          </v>
      </c>
      <c r="Z9" t="str">
        <f>B231</f>
        <v xml:space="preserve">Chemicals                                  </v>
      </c>
      <c r="AA9" t="str">
        <f>B194</f>
        <v xml:space="preserve">Pulp and Paper                             </v>
      </c>
      <c r="AB9" t="str">
        <f>B157</f>
        <v xml:space="preserve">Food and Beverages                         </v>
      </c>
      <c r="AC9" t="str">
        <f>B379</f>
        <v xml:space="preserve">Other                                      </v>
      </c>
      <c r="AD9" t="str">
        <f>B83</f>
        <v xml:space="preserve">Commerce                                              </v>
      </c>
      <c r="AE9" t="str">
        <f>B416</f>
        <v xml:space="preserve">Freight                                               </v>
      </c>
    </row>
    <row r="10" spans="1:33" x14ac:dyDescent="0.25">
      <c r="A10" t="s">
        <v>1480</v>
      </c>
      <c r="C10" t="s">
        <v>1470</v>
      </c>
      <c r="D10" t="s">
        <v>1481</v>
      </c>
      <c r="E10" t="s">
        <v>1482</v>
      </c>
      <c r="F10" t="s">
        <v>1483</v>
      </c>
      <c r="G10" t="s">
        <v>1484</v>
      </c>
      <c r="T10">
        <v>2006</v>
      </c>
      <c r="U10" s="538">
        <f ca="1">U11/U12*U11</f>
        <v>53.951155634320543</v>
      </c>
      <c r="V10" s="538">
        <f t="shared" ref="V10:AE10" ca="1" si="2">V11/V12*V11</f>
        <v>152.28760501571668</v>
      </c>
      <c r="W10" s="539">
        <f t="shared" ca="1" si="2"/>
        <v>24.424822698598287</v>
      </c>
      <c r="X10" s="538">
        <f t="shared" ca="1" si="2"/>
        <v>11.469411828289156</v>
      </c>
      <c r="Y10" s="538">
        <f t="shared" ca="1" si="2"/>
        <v>11.901033500057256</v>
      </c>
      <c r="Z10" s="538">
        <f t="shared" ca="1" si="2"/>
        <v>48.763022835166737</v>
      </c>
      <c r="AA10" s="538">
        <f t="shared" ca="1" si="2"/>
        <v>10.475731920367146</v>
      </c>
      <c r="AB10" s="538">
        <f t="shared" ca="1" si="2"/>
        <v>54.728513783801461</v>
      </c>
      <c r="AC10" s="538">
        <f t="shared" ca="1" si="2"/>
        <v>166.41059801553399</v>
      </c>
      <c r="AD10" s="538">
        <f t="shared" ca="1" si="2"/>
        <v>1042.5863202404087</v>
      </c>
      <c r="AE10" s="538">
        <f t="shared" ca="1" si="2"/>
        <v>93.766453116682001</v>
      </c>
    </row>
    <row r="11" spans="1:33" x14ac:dyDescent="0.25">
      <c r="B11" s="87">
        <v>2007</v>
      </c>
      <c r="C11">
        <v>1763.1558581692218</v>
      </c>
      <c r="D11">
        <v>1763.1558581692218</v>
      </c>
      <c r="E11">
        <v>1763.1558581692218</v>
      </c>
      <c r="F11">
        <v>1763.1558581692218</v>
      </c>
      <c r="G11">
        <v>1763.1558581692218</v>
      </c>
      <c r="J11" t="str">
        <f>J5</f>
        <v>Greenshoots</v>
      </c>
      <c r="K11" t="str">
        <f>K5</f>
        <v>SO Moderate</v>
      </c>
      <c r="L11" t="str">
        <f>L5</f>
        <v>Weathering the Storm</v>
      </c>
      <c r="M11" t="str">
        <f>M5</f>
        <v>SO Low</v>
      </c>
      <c r="T11">
        <f>B11</f>
        <v>2007</v>
      </c>
      <c r="U11" s="53">
        <f t="shared" ref="U11:AE26" ca="1" si="3">OFFSET($C$1,U$8+$T11-2006,$U$3)</f>
        <v>54.885625052333317</v>
      </c>
      <c r="V11" s="53">
        <f t="shared" ca="1" si="3"/>
        <v>155.67982576619326</v>
      </c>
      <c r="W11" s="53">
        <f t="shared" ca="1" si="3"/>
        <v>23.556482865603172</v>
      </c>
      <c r="X11" s="53">
        <f t="shared" ca="1" si="3"/>
        <v>11.665559420251226</v>
      </c>
      <c r="Y11" s="53">
        <f t="shared" ca="1" si="3"/>
        <v>11.790416964357622</v>
      </c>
      <c r="Z11" s="53">
        <f t="shared" ca="1" si="3"/>
        <v>49.700979865439152</v>
      </c>
      <c r="AA11" s="53">
        <f t="shared" ca="1" si="3"/>
        <v>10.773909774696385</v>
      </c>
      <c r="AB11" s="53">
        <f t="shared" ca="1" si="3"/>
        <v>56.144074008326953</v>
      </c>
      <c r="AC11" s="53">
        <f t="shared" ca="1" si="3"/>
        <v>170.91345706301644</v>
      </c>
      <c r="AD11" s="53">
        <f t="shared" ca="1" si="3"/>
        <v>1069.5625745571906</v>
      </c>
      <c r="AE11" s="53">
        <f t="shared" ca="1" si="3"/>
        <v>96.206008880196009</v>
      </c>
      <c r="AG11" s="75">
        <f t="shared" ref="AG11:AG43" ca="1" si="4">AD11/SUM(U11:AE11)</f>
        <v>0.625153870135987</v>
      </c>
    </row>
    <row r="12" spans="1:33" x14ac:dyDescent="0.25">
      <c r="B12" s="87">
        <f>B11+1</f>
        <v>2008</v>
      </c>
      <c r="C12">
        <v>1804.5324384705268</v>
      </c>
      <c r="D12">
        <v>1804.5324384714409</v>
      </c>
      <c r="E12">
        <v>1804.5324384714395</v>
      </c>
      <c r="F12">
        <v>1804.5324384714449</v>
      </c>
      <c r="G12">
        <v>1804.5324384474238</v>
      </c>
      <c r="I12">
        <f>B12</f>
        <v>2008</v>
      </c>
      <c r="J12" s="540">
        <f>D12/D11-1</f>
        <v>2.3467341307638279E-2</v>
      </c>
      <c r="K12" s="540">
        <f t="shared" ref="K12:M27" si="5">E12/E11-1</f>
        <v>2.3467341307637613E-2</v>
      </c>
      <c r="L12" s="540">
        <f t="shared" si="5"/>
        <v>2.3467341307640721E-2</v>
      </c>
      <c r="M12" s="540">
        <f t="shared" si="5"/>
        <v>2.346734129401673E-2</v>
      </c>
      <c r="T12">
        <f t="shared" ref="T12:T44" si="6">B12</f>
        <v>2008</v>
      </c>
      <c r="U12" s="53">
        <f t="shared" ca="1" si="3"/>
        <v>55.836280093859322</v>
      </c>
      <c r="V12" s="53">
        <f t="shared" ca="1" si="3"/>
        <v>159.1476085535065</v>
      </c>
      <c r="W12" s="53">
        <f t="shared" ca="1" si="3"/>
        <v>22.719013842802688</v>
      </c>
      <c r="X12" s="53">
        <f t="shared" ca="1" si="3"/>
        <v>11.865061489182866</v>
      </c>
      <c r="Y12" s="53">
        <f t="shared" ca="1" si="3"/>
        <v>11.680828576168885</v>
      </c>
      <c r="Z12" s="53">
        <f t="shared" ca="1" si="3"/>
        <v>50.656978504690798</v>
      </c>
      <c r="AA12" s="53">
        <f t="shared" ca="1" si="3"/>
        <v>11.080574867291002</v>
      </c>
      <c r="AB12" s="53">
        <f t="shared" ca="1" si="3"/>
        <v>57.596247884689845</v>
      </c>
      <c r="AC12" s="53">
        <f t="shared" ca="1" si="3"/>
        <v>175.53815774704898</v>
      </c>
      <c r="AD12" s="53">
        <f t="shared" ca="1" si="3"/>
        <v>1097.2368222034802</v>
      </c>
      <c r="AE12" s="53">
        <f t="shared" ca="1" si="3"/>
        <v>98.709035449371058</v>
      </c>
      <c r="AG12" s="75">
        <f t="shared" ca="1" si="4"/>
        <v>0.62625291551952456</v>
      </c>
    </row>
    <row r="13" spans="1:33" x14ac:dyDescent="0.25">
      <c r="B13" s="87">
        <f t="shared" ref="B13:B44" si="7">B12+1</f>
        <v>2009</v>
      </c>
      <c r="C13">
        <v>1845.8979544141246</v>
      </c>
      <c r="D13">
        <v>1845.8970089947395</v>
      </c>
      <c r="E13">
        <v>1845.896449921428</v>
      </c>
      <c r="F13">
        <v>1845.8977683519047</v>
      </c>
      <c r="G13">
        <v>1845.8968588036148</v>
      </c>
      <c r="I13">
        <f t="shared" ref="I13:I44" si="8">B13</f>
        <v>2009</v>
      </c>
      <c r="J13" s="540">
        <f t="shared" ref="J13:M44" si="9">D13/D12-1</f>
        <v>2.2922597367292186E-2</v>
      </c>
      <c r="K13" s="540">
        <f t="shared" si="5"/>
        <v>2.2922287551132348E-2</v>
      </c>
      <c r="L13" s="540">
        <f t="shared" si="5"/>
        <v>2.2923018172784415E-2</v>
      </c>
      <c r="M13" s="540">
        <f t="shared" si="5"/>
        <v>2.2922514150967466E-2</v>
      </c>
      <c r="T13">
        <f t="shared" si="6"/>
        <v>2009</v>
      </c>
      <c r="U13" s="53">
        <f t="shared" ca="1" si="3"/>
        <v>56.893509990421705</v>
      </c>
      <c r="V13" s="53">
        <f t="shared" ca="1" si="3"/>
        <v>162.53907164575219</v>
      </c>
      <c r="W13" s="53">
        <f t="shared" ca="1" si="3"/>
        <v>21.799740984494271</v>
      </c>
      <c r="X13" s="53">
        <f t="shared" ca="1" si="3"/>
        <v>12.087466462677327</v>
      </c>
      <c r="Y13" s="53">
        <f t="shared" ca="1" si="3"/>
        <v>11.371761436757758</v>
      </c>
      <c r="Z13" s="53">
        <f t="shared" ca="1" si="3"/>
        <v>51.554366707565073</v>
      </c>
      <c r="AA13" s="53">
        <f t="shared" ca="1" si="3"/>
        <v>11.405353749453631</v>
      </c>
      <c r="AB13" s="53">
        <f t="shared" ca="1" si="3"/>
        <v>59.236168805828655</v>
      </c>
      <c r="AC13" s="53">
        <f t="shared" ca="1" si="3"/>
        <v>180.34142809407351</v>
      </c>
      <c r="AD13" s="53">
        <f t="shared" ca="1" si="3"/>
        <v>1125.1544527347276</v>
      </c>
      <c r="AE13" s="53">
        <f t="shared" ca="1" si="3"/>
        <v>101.2770073979094</v>
      </c>
      <c r="AG13" s="75">
        <f t="shared" ca="1" si="4"/>
        <v>0.62729516573701427</v>
      </c>
    </row>
    <row r="14" spans="1:33" x14ac:dyDescent="0.25">
      <c r="B14" s="87">
        <f t="shared" si="7"/>
        <v>2010</v>
      </c>
      <c r="C14">
        <v>1888.3130375536994</v>
      </c>
      <c r="D14">
        <v>1888.3148488508309</v>
      </c>
      <c r="E14">
        <v>1888.3156917559745</v>
      </c>
      <c r="F14">
        <v>1888.3134351879098</v>
      </c>
      <c r="G14">
        <v>1888.3150910744359</v>
      </c>
      <c r="I14">
        <f t="shared" si="8"/>
        <v>2010</v>
      </c>
      <c r="J14" s="540">
        <f t="shared" si="9"/>
        <v>2.2979526836760966E-2</v>
      </c>
      <c r="K14" s="540">
        <f t="shared" si="5"/>
        <v>2.2980293307542921E-2</v>
      </c>
      <c r="L14" s="540">
        <f t="shared" si="5"/>
        <v>2.2978340167709055E-2</v>
      </c>
      <c r="M14" s="540">
        <f t="shared" si="5"/>
        <v>2.2979741294057776E-2</v>
      </c>
      <c r="T14">
        <f t="shared" si="6"/>
        <v>2010</v>
      </c>
      <c r="U14" s="53">
        <f t="shared" ca="1" si="3"/>
        <v>57.999493815336855</v>
      </c>
      <c r="V14" s="53">
        <f t="shared" ca="1" si="3"/>
        <v>166.23304551721415</v>
      </c>
      <c r="W14" s="53">
        <f t="shared" ca="1" si="3"/>
        <v>20.906340539320912</v>
      </c>
      <c r="X14" s="53">
        <f t="shared" ca="1" si="3"/>
        <v>12.323450762592538</v>
      </c>
      <c r="Y14" s="53">
        <f t="shared" ca="1" si="3"/>
        <v>10.924024019219463</v>
      </c>
      <c r="Z14" s="53">
        <f t="shared" ca="1" si="3"/>
        <v>52.446759185352349</v>
      </c>
      <c r="AA14" s="53">
        <f t="shared" ca="1" si="3"/>
        <v>11.732766485269591</v>
      </c>
      <c r="AB14" s="53">
        <f t="shared" ca="1" si="3"/>
        <v>60.801524199631395</v>
      </c>
      <c r="AC14" s="53">
        <f t="shared" ca="1" si="3"/>
        <v>185.13939520856738</v>
      </c>
      <c r="AD14" s="53">
        <f t="shared" ca="1" si="3"/>
        <v>1153.7039602307084</v>
      </c>
      <c r="AE14" s="53">
        <f t="shared" ca="1" si="3"/>
        <v>103.87853060021749</v>
      </c>
      <c r="AG14" s="75">
        <f t="shared" ca="1" si="4"/>
        <v>0.62834850470517012</v>
      </c>
    </row>
    <row r="15" spans="1:33" x14ac:dyDescent="0.25">
      <c r="B15" s="87">
        <f t="shared" si="7"/>
        <v>2011</v>
      </c>
      <c r="C15">
        <v>1931.11028360467</v>
      </c>
      <c r="D15">
        <v>1931.1213167211145</v>
      </c>
      <c r="E15">
        <v>1931.1272158145937</v>
      </c>
      <c r="F15">
        <v>1931.1125690784909</v>
      </c>
      <c r="G15">
        <v>1931.1229445448678</v>
      </c>
      <c r="I15">
        <f t="shared" si="8"/>
        <v>2011</v>
      </c>
      <c r="J15" s="540">
        <f t="shared" si="9"/>
        <v>2.2669136927210065E-2</v>
      </c>
      <c r="K15" s="540">
        <f t="shared" si="5"/>
        <v>2.2671804426307673E-2</v>
      </c>
      <c r="L15" s="540">
        <f t="shared" si="5"/>
        <v>2.2665270019816441E-2</v>
      </c>
      <c r="M15" s="540">
        <f t="shared" si="5"/>
        <v>2.2669867795249488E-2</v>
      </c>
      <c r="T15">
        <f t="shared" si="6"/>
        <v>2011</v>
      </c>
      <c r="U15" s="53">
        <f t="shared" ca="1" si="3"/>
        <v>59.186821979275607</v>
      </c>
      <c r="V15" s="53">
        <f t="shared" ca="1" si="3"/>
        <v>169.92833253137312</v>
      </c>
      <c r="W15" s="53">
        <f t="shared" ca="1" si="3"/>
        <v>19.919586755014176</v>
      </c>
      <c r="X15" s="53">
        <f t="shared" ca="1" si="3"/>
        <v>12.575196575765233</v>
      </c>
      <c r="Y15" s="53">
        <f t="shared" ca="1" si="3"/>
        <v>10.289616819371506</v>
      </c>
      <c r="Z15" s="53">
        <f t="shared" ca="1" si="3"/>
        <v>53.238434520555188</v>
      </c>
      <c r="AA15" s="53">
        <f t="shared" ca="1" si="3"/>
        <v>12.070111132838369</v>
      </c>
      <c r="AB15" s="53">
        <f t="shared" ca="1" si="3"/>
        <v>62.467904593800355</v>
      </c>
      <c r="AC15" s="53">
        <f t="shared" ca="1" si="3"/>
        <v>190.0503740522804</v>
      </c>
      <c r="AD15" s="53">
        <f t="shared" ca="1" si="3"/>
        <v>1182.6883828786024</v>
      </c>
      <c r="AE15" s="53">
        <f t="shared" ca="1" si="3"/>
        <v>106.55937320007658</v>
      </c>
      <c r="AG15" s="75">
        <f t="shared" ca="1" si="4"/>
        <v>0.62943302987727612</v>
      </c>
    </row>
    <row r="16" spans="1:33" x14ac:dyDescent="0.25">
      <c r="B16" s="87">
        <f t="shared" si="7"/>
        <v>2012</v>
      </c>
      <c r="C16">
        <v>1973.9185192201905</v>
      </c>
      <c r="D16">
        <v>1973.9428857821131</v>
      </c>
      <c r="E16">
        <v>1973.9258875658425</v>
      </c>
      <c r="F16">
        <v>1973.8932877942</v>
      </c>
      <c r="G16">
        <v>1973.946525324161</v>
      </c>
      <c r="I16">
        <f t="shared" si="8"/>
        <v>2012</v>
      </c>
      <c r="J16" s="540">
        <f t="shared" si="9"/>
        <v>2.2174458274691E-2</v>
      </c>
      <c r="K16" s="540">
        <f t="shared" si="5"/>
        <v>2.2162533571458809E-2</v>
      </c>
      <c r="L16" s="540">
        <f t="shared" si="5"/>
        <v>2.2153404933884069E-2</v>
      </c>
      <c r="M16" s="540">
        <f t="shared" si="5"/>
        <v>2.2175481317884715E-2</v>
      </c>
      <c r="T16">
        <f t="shared" si="6"/>
        <v>2012</v>
      </c>
      <c r="U16" s="53">
        <f t="shared" ca="1" si="3"/>
        <v>60.296653004672905</v>
      </c>
      <c r="V16" s="53">
        <f t="shared" ca="1" si="3"/>
        <v>174.06017507334045</v>
      </c>
      <c r="W16" s="53">
        <f t="shared" ca="1" si="3"/>
        <v>19.18065103964005</v>
      </c>
      <c r="X16" s="53">
        <f t="shared" ca="1" si="3"/>
        <v>12.819609982423046</v>
      </c>
      <c r="Y16" s="53">
        <f t="shared" ca="1" si="3"/>
        <v>9.6319516994667236</v>
      </c>
      <c r="Z16" s="53">
        <f t="shared" ca="1" si="3"/>
        <v>54.125187511640931</v>
      </c>
      <c r="AA16" s="53">
        <f t="shared" ca="1" si="3"/>
        <v>12.396480425204741</v>
      </c>
      <c r="AB16" s="53">
        <f t="shared" ca="1" si="3"/>
        <v>63.976555501232532</v>
      </c>
      <c r="AC16" s="53">
        <f t="shared" ca="1" si="3"/>
        <v>194.7405735497685</v>
      </c>
      <c r="AD16" s="53">
        <f t="shared" ca="1" si="3"/>
        <v>1211.2983096791831</v>
      </c>
      <c r="AE16" s="53">
        <f t="shared" ca="1" si="3"/>
        <v>109.14702080817185</v>
      </c>
      <c r="AG16" s="75">
        <f t="shared" ca="1" si="4"/>
        <v>0.63033523581258732</v>
      </c>
    </row>
    <row r="17" spans="2:33" x14ac:dyDescent="0.25">
      <c r="B17" s="87">
        <f t="shared" si="7"/>
        <v>2013</v>
      </c>
      <c r="C17">
        <v>2015.8294137990074</v>
      </c>
      <c r="D17">
        <v>2015.8734887226722</v>
      </c>
      <c r="E17">
        <v>2015.8926891888721</v>
      </c>
      <c r="F17">
        <v>2015.8333868574296</v>
      </c>
      <c r="G17">
        <v>2015.8801291450152</v>
      </c>
      <c r="I17">
        <f t="shared" si="8"/>
        <v>2013</v>
      </c>
      <c r="J17" s="540">
        <f t="shared" si="9"/>
        <v>2.1242054794278209E-2</v>
      </c>
      <c r="K17" s="540">
        <f t="shared" si="5"/>
        <v>2.1260576137831277E-2</v>
      </c>
      <c r="L17" s="540">
        <f t="shared" si="5"/>
        <v>2.124739940227327E-2</v>
      </c>
      <c r="M17" s="540">
        <f t="shared" si="5"/>
        <v>2.1243535872365049E-2</v>
      </c>
      <c r="T17">
        <f t="shared" si="6"/>
        <v>2013</v>
      </c>
      <c r="U17" s="53">
        <f t="shared" ca="1" si="3"/>
        <v>61.243272243599193</v>
      </c>
      <c r="V17" s="53">
        <f t="shared" ca="1" si="3"/>
        <v>178.22013174801367</v>
      </c>
      <c r="W17" s="53">
        <f t="shared" ca="1" si="3"/>
        <v>18.746383640222312</v>
      </c>
      <c r="X17" s="53">
        <f t="shared" ca="1" si="3"/>
        <v>13.046404695102154</v>
      </c>
      <c r="Y17" s="53">
        <f t="shared" ca="1" si="3"/>
        <v>9.0361258895631451</v>
      </c>
      <c r="Z17" s="53">
        <f t="shared" ca="1" si="3"/>
        <v>55.14957388058432</v>
      </c>
      <c r="AA17" s="53">
        <f t="shared" ca="1" si="3"/>
        <v>12.699358182849963</v>
      </c>
      <c r="AB17" s="53">
        <f t="shared" ca="1" si="3"/>
        <v>65.218056338831886</v>
      </c>
      <c r="AC17" s="53">
        <f t="shared" ca="1" si="3"/>
        <v>199.05373824920841</v>
      </c>
      <c r="AD17" s="53">
        <f t="shared" ca="1" si="3"/>
        <v>1238.8785286924601</v>
      </c>
      <c r="AE17" s="53">
        <f t="shared" ca="1" si="3"/>
        <v>111.50150052701488</v>
      </c>
      <c r="AG17" s="75">
        <f t="shared" ca="1" si="4"/>
        <v>0.631181424597417</v>
      </c>
    </row>
    <row r="18" spans="2:33" x14ac:dyDescent="0.25">
      <c r="B18" s="87">
        <f t="shared" si="7"/>
        <v>2014</v>
      </c>
      <c r="C18">
        <v>2056.4783620696749</v>
      </c>
      <c r="D18">
        <v>2125.2285687884842</v>
      </c>
      <c r="E18">
        <v>2134.6485227042567</v>
      </c>
      <c r="F18">
        <v>2083.8441859478016</v>
      </c>
      <c r="G18">
        <v>2128.2478562048063</v>
      </c>
      <c r="I18">
        <f t="shared" si="8"/>
        <v>2014</v>
      </c>
      <c r="J18" s="540">
        <f t="shared" si="9"/>
        <v>5.424699549727352E-2</v>
      </c>
      <c r="K18" s="540">
        <f t="shared" si="5"/>
        <v>5.8909799193313184E-2</v>
      </c>
      <c r="L18" s="540">
        <f t="shared" si="5"/>
        <v>3.3738303737689934E-2</v>
      </c>
      <c r="M18" s="540">
        <f t="shared" si="5"/>
        <v>5.5741274213288117E-2</v>
      </c>
      <c r="T18">
        <f t="shared" si="6"/>
        <v>2014</v>
      </c>
      <c r="U18" s="53">
        <f t="shared" ca="1" si="3"/>
        <v>63.227632747772596</v>
      </c>
      <c r="V18" s="53">
        <f t="shared" ca="1" si="3"/>
        <v>184.76089828002469</v>
      </c>
      <c r="W18" s="53">
        <f t="shared" ca="1" si="3"/>
        <v>19.247683148368299</v>
      </c>
      <c r="X18" s="53">
        <f t="shared" ca="1" si="3"/>
        <v>13.851499830169564</v>
      </c>
      <c r="Y18" s="53">
        <f t="shared" ca="1" si="3"/>
        <v>8.8131482210565011</v>
      </c>
      <c r="Z18" s="53">
        <f t="shared" ca="1" si="3"/>
        <v>58.341944668501668</v>
      </c>
      <c r="AA18" s="53">
        <f t="shared" ca="1" si="3"/>
        <v>13.532860004096863</v>
      </c>
      <c r="AB18" s="53">
        <f t="shared" ca="1" si="3"/>
        <v>68.473650776371215</v>
      </c>
      <c r="AC18" s="53">
        <f t="shared" ca="1" si="3"/>
        <v>211.731035252949</v>
      </c>
      <c r="AD18" s="53">
        <f t="shared" ca="1" si="3"/>
        <v>1312.4677104495079</v>
      </c>
      <c r="AE18" s="53">
        <f t="shared" ca="1" si="3"/>
        <v>118.14824587066498</v>
      </c>
      <c r="AG18" s="75">
        <f t="shared" ca="1" si="4"/>
        <v>0.63324811715252516</v>
      </c>
    </row>
    <row r="19" spans="2:33" x14ac:dyDescent="0.25">
      <c r="B19" s="87">
        <f t="shared" si="7"/>
        <v>2015</v>
      </c>
      <c r="C19">
        <v>2098.7146502485052</v>
      </c>
      <c r="D19">
        <v>2243.4568447004276</v>
      </c>
      <c r="E19">
        <v>2264.7660919744121</v>
      </c>
      <c r="F19">
        <v>2156.1052907831308</v>
      </c>
      <c r="G19">
        <v>2250.8627990792675</v>
      </c>
      <c r="I19">
        <f t="shared" si="8"/>
        <v>2015</v>
      </c>
      <c r="J19" s="540">
        <f t="shared" si="9"/>
        <v>5.5630851969650008E-2</v>
      </c>
      <c r="K19" s="540">
        <f t="shared" si="5"/>
        <v>6.0955032121783326E-2</v>
      </c>
      <c r="L19" s="540">
        <f t="shared" si="5"/>
        <v>3.4676827241986174E-2</v>
      </c>
      <c r="M19" s="540">
        <f t="shared" si="5"/>
        <v>5.7613093567548068E-2</v>
      </c>
      <c r="T19">
        <f t="shared" si="6"/>
        <v>2015</v>
      </c>
      <c r="U19" s="53">
        <f t="shared" ca="1" si="3"/>
        <v>65.486142003585286</v>
      </c>
      <c r="V19" s="53">
        <f t="shared" ca="1" si="3"/>
        <v>190.56422341955206</v>
      </c>
      <c r="W19" s="53">
        <f t="shared" ca="1" si="3"/>
        <v>20.212310041061887</v>
      </c>
      <c r="X19" s="53">
        <f t="shared" ca="1" si="3"/>
        <v>14.73504429310659</v>
      </c>
      <c r="Y19" s="53">
        <f t="shared" ca="1" si="3"/>
        <v>8.7261600364824776</v>
      </c>
      <c r="Z19" s="53">
        <f t="shared" ca="1" si="3"/>
        <v>61.873038898169355</v>
      </c>
      <c r="AA19" s="53">
        <f t="shared" ca="1" si="3"/>
        <v>14.442543305764605</v>
      </c>
      <c r="AB19" s="53">
        <f t="shared" ca="1" si="3"/>
        <v>72.061682694760847</v>
      </c>
      <c r="AC19" s="53">
        <f t="shared" ca="1" si="3"/>
        <v>225.47218447194203</v>
      </c>
      <c r="AD19" s="53">
        <f t="shared" ca="1" si="3"/>
        <v>1393.3195854224371</v>
      </c>
      <c r="AE19" s="53">
        <f t="shared" ca="1" si="3"/>
        <v>125.31605488651144</v>
      </c>
      <c r="AG19" s="75">
        <f t="shared" ca="1" si="4"/>
        <v>0.63557790558495386</v>
      </c>
    </row>
    <row r="20" spans="2:33" x14ac:dyDescent="0.25">
      <c r="B20" s="87">
        <f t="shared" si="7"/>
        <v>2016</v>
      </c>
      <c r="C20">
        <v>2143.7898932781859</v>
      </c>
      <c r="D20">
        <v>2372.9121247368535</v>
      </c>
      <c r="E20">
        <v>2408.0828352729163</v>
      </c>
      <c r="F20">
        <v>2233.9287976817832</v>
      </c>
      <c r="G20">
        <v>2385.4457589474341</v>
      </c>
      <c r="I20">
        <f t="shared" si="8"/>
        <v>2016</v>
      </c>
      <c r="J20" s="540">
        <f t="shared" si="9"/>
        <v>5.7703485735520088E-2</v>
      </c>
      <c r="K20" s="540">
        <f t="shared" si="5"/>
        <v>6.3281035426294929E-2</v>
      </c>
      <c r="L20" s="540">
        <f t="shared" si="5"/>
        <v>3.6094483526073917E-2</v>
      </c>
      <c r="M20" s="540">
        <f t="shared" si="5"/>
        <v>5.9791720722923936E-2</v>
      </c>
      <c r="T20">
        <f t="shared" si="6"/>
        <v>2016</v>
      </c>
      <c r="U20" s="53">
        <f t="shared" ca="1" si="3"/>
        <v>68.025520986468763</v>
      </c>
      <c r="V20" s="53">
        <f t="shared" ca="1" si="3"/>
        <v>197.39999659502195</v>
      </c>
      <c r="W20" s="53">
        <f t="shared" ca="1" si="3"/>
        <v>21.42070845564843</v>
      </c>
      <c r="X20" s="53">
        <f t="shared" ca="1" si="3"/>
        <v>15.707157578620693</v>
      </c>
      <c r="Y20" s="53">
        <f t="shared" ca="1" si="3"/>
        <v>8.7049579867132856</v>
      </c>
      <c r="Z20" s="53">
        <f t="shared" ca="1" si="3"/>
        <v>65.880859931966484</v>
      </c>
      <c r="AA20" s="53">
        <f t="shared" ca="1" si="3"/>
        <v>15.450735140494817</v>
      </c>
      <c r="AB20" s="53">
        <f t="shared" ca="1" si="3"/>
        <v>75.867632883991433</v>
      </c>
      <c r="AC20" s="53">
        <f t="shared" ca="1" si="3"/>
        <v>240.46691269806735</v>
      </c>
      <c r="AD20" s="53">
        <f t="shared" ca="1" si="3"/>
        <v>1481.8432408889771</v>
      </c>
      <c r="AE20" s="53">
        <f t="shared" ca="1" si="3"/>
        <v>133.1715391912513</v>
      </c>
      <c r="AG20" s="75">
        <f t="shared" ca="1" si="4"/>
        <v>0.63764284415878603</v>
      </c>
    </row>
    <row r="21" spans="2:33" x14ac:dyDescent="0.25">
      <c r="B21" s="87">
        <f t="shared" si="7"/>
        <v>2017</v>
      </c>
      <c r="C21">
        <v>2190.2156254193396</v>
      </c>
      <c r="D21">
        <v>2512.3419217258552</v>
      </c>
      <c r="E21">
        <v>2564.3811645043311</v>
      </c>
      <c r="F21">
        <v>2315.8913320826855</v>
      </c>
      <c r="G21">
        <v>2531.8401664943071</v>
      </c>
      <c r="I21">
        <f t="shared" si="8"/>
        <v>2017</v>
      </c>
      <c r="J21" s="540">
        <f t="shared" si="9"/>
        <v>5.8758938241113334E-2</v>
      </c>
      <c r="K21" s="540">
        <f t="shared" si="5"/>
        <v>6.4905711274546363E-2</v>
      </c>
      <c r="L21" s="540">
        <f t="shared" si="5"/>
        <v>3.668985980482331E-2</v>
      </c>
      <c r="M21" s="540">
        <f t="shared" si="5"/>
        <v>6.1369832869923924E-2</v>
      </c>
      <c r="T21">
        <f t="shared" si="6"/>
        <v>2017</v>
      </c>
      <c r="U21" s="53">
        <f t="shared" ca="1" si="3"/>
        <v>70.833853062340552</v>
      </c>
      <c r="V21" s="53">
        <f t="shared" ca="1" si="3"/>
        <v>204.84670517489647</v>
      </c>
      <c r="W21" s="53">
        <f t="shared" ca="1" si="3"/>
        <v>22.757104224750073</v>
      </c>
      <c r="X21" s="53">
        <f t="shared" ca="1" si="3"/>
        <v>16.764803706031401</v>
      </c>
      <c r="Y21" s="53">
        <f t="shared" ca="1" si="3"/>
        <v>8.6997873519920574</v>
      </c>
      <c r="Z21" s="53">
        <f t="shared" ca="1" si="3"/>
        <v>70.259619396182501</v>
      </c>
      <c r="AA21" s="53">
        <f t="shared" ca="1" si="3"/>
        <v>16.558594206178146</v>
      </c>
      <c r="AB21" s="53">
        <f t="shared" ca="1" si="3"/>
        <v>79.984904640943455</v>
      </c>
      <c r="AC21" s="53">
        <f t="shared" ca="1" si="3"/>
        <v>256.80849467052985</v>
      </c>
      <c r="AD21" s="53">
        <f t="shared" ca="1" si="3"/>
        <v>1578.1140130955744</v>
      </c>
      <c r="AE21" s="53">
        <f t="shared" ca="1" si="3"/>
        <v>141.7391314631594</v>
      </c>
      <c r="AG21" s="75">
        <f t="shared" ca="1" si="4"/>
        <v>0.63959435546669097</v>
      </c>
    </row>
    <row r="22" spans="2:33" x14ac:dyDescent="0.25">
      <c r="B22" s="87">
        <f t="shared" si="7"/>
        <v>2018</v>
      </c>
      <c r="C22">
        <v>2237.9595697459754</v>
      </c>
      <c r="D22">
        <v>2662.5108439094047</v>
      </c>
      <c r="E22">
        <v>2732.6186939522868</v>
      </c>
      <c r="F22">
        <v>2402.2852291726103</v>
      </c>
      <c r="G22">
        <v>2689.1682254151392</v>
      </c>
      <c r="I22">
        <f t="shared" si="8"/>
        <v>2018</v>
      </c>
      <c r="J22" s="540">
        <f t="shared" si="9"/>
        <v>5.9772485936305575E-2</v>
      </c>
      <c r="K22" s="540">
        <f t="shared" si="5"/>
        <v>6.5605508173538052E-2</v>
      </c>
      <c r="L22" s="540">
        <f t="shared" si="5"/>
        <v>3.7304814735081182E-2</v>
      </c>
      <c r="M22" s="540">
        <f t="shared" si="5"/>
        <v>6.2139806849922596E-2</v>
      </c>
      <c r="T22">
        <f t="shared" si="6"/>
        <v>2018</v>
      </c>
      <c r="U22" s="53">
        <f t="shared" ca="1" si="3"/>
        <v>74.425075820170093</v>
      </c>
      <c r="V22" s="53">
        <f t="shared" ca="1" si="3"/>
        <v>212.56029395974258</v>
      </c>
      <c r="W22" s="53">
        <f t="shared" ca="1" si="3"/>
        <v>24.171741050864103</v>
      </c>
      <c r="X22" s="53">
        <f t="shared" ca="1" si="3"/>
        <v>18.026482578453958</v>
      </c>
      <c r="Y22" s="53">
        <f t="shared" ca="1" si="3"/>
        <v>8.7082972619108112</v>
      </c>
      <c r="Z22" s="53">
        <f t="shared" ca="1" si="3"/>
        <v>74.936132200117243</v>
      </c>
      <c r="AA22" s="53">
        <f t="shared" ca="1" si="3"/>
        <v>17.770568281383881</v>
      </c>
      <c r="AB22" s="53">
        <f t="shared" ca="1" si="3"/>
        <v>84.343421804237892</v>
      </c>
      <c r="AC22" s="53">
        <f t="shared" ca="1" si="3"/>
        <v>274.79601175770881</v>
      </c>
      <c r="AD22" s="53">
        <f t="shared" ca="1" si="3"/>
        <v>1680.5007166493756</v>
      </c>
      <c r="AE22" s="53">
        <f t="shared" ca="1" si="3"/>
        <v>151.22242946031758</v>
      </c>
      <c r="AG22" s="75">
        <f t="shared" ca="1" si="4"/>
        <v>0.64105497169006909</v>
      </c>
    </row>
    <row r="23" spans="2:33" x14ac:dyDescent="0.25">
      <c r="B23" s="87">
        <f t="shared" si="7"/>
        <v>2019</v>
      </c>
      <c r="C23">
        <v>2285.949340155355</v>
      </c>
      <c r="D23">
        <v>2822.8170197954519</v>
      </c>
      <c r="E23">
        <v>2913.9736207404035</v>
      </c>
      <c r="F23">
        <v>2492.0511773491048</v>
      </c>
      <c r="G23">
        <v>2858.6481409214584</v>
      </c>
      <c r="I23">
        <f t="shared" si="8"/>
        <v>2019</v>
      </c>
      <c r="J23" s="540">
        <f t="shared" si="9"/>
        <v>6.0208647131993365E-2</v>
      </c>
      <c r="K23" s="540">
        <f t="shared" si="5"/>
        <v>6.6366715264549514E-2</v>
      </c>
      <c r="L23" s="540">
        <f t="shared" si="5"/>
        <v>3.7366898437539708E-2</v>
      </c>
      <c r="M23" s="540">
        <f t="shared" si="5"/>
        <v>6.3023173449907821E-2</v>
      </c>
      <c r="T23">
        <f t="shared" si="6"/>
        <v>2019</v>
      </c>
      <c r="U23" s="53">
        <f t="shared" ca="1" si="3"/>
        <v>78.229735640567213</v>
      </c>
      <c r="V23" s="53">
        <f t="shared" ca="1" si="3"/>
        <v>220.72261012943181</v>
      </c>
      <c r="W23" s="53">
        <f t="shared" ca="1" si="3"/>
        <v>25.704982259271084</v>
      </c>
      <c r="X23" s="53">
        <f t="shared" ca="1" si="3"/>
        <v>19.379503480442136</v>
      </c>
      <c r="Y23" s="53">
        <f t="shared" ca="1" si="3"/>
        <v>8.7341219549513625</v>
      </c>
      <c r="Z23" s="53">
        <f t="shared" ca="1" si="3"/>
        <v>80.00075141558068</v>
      </c>
      <c r="AA23" s="53">
        <f t="shared" ca="1" si="3"/>
        <v>19.085983130612984</v>
      </c>
      <c r="AB23" s="53">
        <f t="shared" ca="1" si="3"/>
        <v>89.045909954542026</v>
      </c>
      <c r="AC23" s="53">
        <f t="shared" ca="1" si="3"/>
        <v>294.20967913903792</v>
      </c>
      <c r="AD23" s="53">
        <f t="shared" ca="1" si="3"/>
        <v>1790.9155819112464</v>
      </c>
      <c r="AE23" s="53">
        <f t="shared" ca="1" si="3"/>
        <v>161.4919272681193</v>
      </c>
      <c r="AG23" s="75">
        <f t="shared" ca="1" si="4"/>
        <v>0.64247613532554659</v>
      </c>
    </row>
    <row r="24" spans="2:33" x14ac:dyDescent="0.25">
      <c r="B24" s="87">
        <f t="shared" si="7"/>
        <v>2020</v>
      </c>
      <c r="C24">
        <v>2335.2200618733473</v>
      </c>
      <c r="D24">
        <v>2982.9320298513212</v>
      </c>
      <c r="E24">
        <v>3074.1397996180403</v>
      </c>
      <c r="F24">
        <v>2572.5298796718262</v>
      </c>
      <c r="G24">
        <v>3012.1997327828662</v>
      </c>
      <c r="I24">
        <f t="shared" si="8"/>
        <v>2020</v>
      </c>
      <c r="J24" s="540">
        <f t="shared" si="9"/>
        <v>5.6721710593721664E-2</v>
      </c>
      <c r="K24" s="540">
        <f t="shared" si="5"/>
        <v>5.4964869186750143E-2</v>
      </c>
      <c r="L24" s="540">
        <f t="shared" si="5"/>
        <v>3.2294161152954137E-2</v>
      </c>
      <c r="M24" s="540">
        <f t="shared" si="5"/>
        <v>5.3714757567859373E-2</v>
      </c>
      <c r="T24">
        <f t="shared" si="6"/>
        <v>2020</v>
      </c>
      <c r="U24" s="53">
        <f t="shared" ca="1" si="3"/>
        <v>82.076290334180669</v>
      </c>
      <c r="V24" s="53">
        <f t="shared" ca="1" si="3"/>
        <v>229.16765550445564</v>
      </c>
      <c r="W24" s="53">
        <f t="shared" ca="1" si="3"/>
        <v>27.245927159860116</v>
      </c>
      <c r="X24" s="53">
        <f t="shared" ca="1" si="3"/>
        <v>20.68723170369395</v>
      </c>
      <c r="Y24" s="53">
        <f t="shared" ca="1" si="3"/>
        <v>8.766879073869374</v>
      </c>
      <c r="Z24" s="53">
        <f t="shared" ca="1" si="3"/>
        <v>84.839080959945875</v>
      </c>
      <c r="AA24" s="53">
        <f t="shared" ca="1" si="3"/>
        <v>20.324512544545623</v>
      </c>
      <c r="AB24" s="53">
        <f t="shared" ca="1" si="3"/>
        <v>93.431765656394646</v>
      </c>
      <c r="AC24" s="53">
        <f t="shared" ca="1" si="3"/>
        <v>312.21425172974909</v>
      </c>
      <c r="AD24" s="53">
        <f t="shared" ca="1" si="3"/>
        <v>1888.6470954848462</v>
      </c>
      <c r="AE24" s="53">
        <f t="shared" ca="1" si="3"/>
        <v>170.43519468097637</v>
      </c>
      <c r="AG24" s="75">
        <f t="shared" ca="1" si="4"/>
        <v>0.64287018387772044</v>
      </c>
    </row>
    <row r="25" spans="2:33" x14ac:dyDescent="0.25">
      <c r="B25" s="87">
        <f t="shared" si="7"/>
        <v>2021</v>
      </c>
      <c r="C25">
        <v>2384.3157146284311</v>
      </c>
      <c r="D25">
        <v>3152.9463726742042</v>
      </c>
      <c r="E25">
        <v>3251.7888537942035</v>
      </c>
      <c r="F25">
        <v>2654.6686716431695</v>
      </c>
      <c r="G25">
        <v>3173.3505971134946</v>
      </c>
      <c r="I25">
        <f t="shared" si="8"/>
        <v>2021</v>
      </c>
      <c r="J25" s="540">
        <f t="shared" si="9"/>
        <v>5.6995714659766161E-2</v>
      </c>
      <c r="K25" s="540">
        <f t="shared" si="5"/>
        <v>5.7788215811862553E-2</v>
      </c>
      <c r="L25" s="540">
        <f t="shared" si="5"/>
        <v>3.192918870268735E-2</v>
      </c>
      <c r="M25" s="540">
        <f t="shared" si="5"/>
        <v>5.3499395334500877E-2</v>
      </c>
      <c r="T25">
        <f t="shared" si="6"/>
        <v>2021</v>
      </c>
      <c r="U25" s="53">
        <f t="shared" ca="1" si="3"/>
        <v>86.051214666114149</v>
      </c>
      <c r="V25" s="53">
        <f t="shared" ca="1" si="3"/>
        <v>237.68723148197898</v>
      </c>
      <c r="W25" s="53">
        <f t="shared" ca="1" si="3"/>
        <v>29.034881338618334</v>
      </c>
      <c r="X25" s="53">
        <f t="shared" ca="1" si="3"/>
        <v>22.068680263386099</v>
      </c>
      <c r="Y25" s="53">
        <f t="shared" ca="1" si="3"/>
        <v>8.8667350030173555</v>
      </c>
      <c r="Z25" s="53">
        <f t="shared" ca="1" si="3"/>
        <v>90.09042604619296</v>
      </c>
      <c r="AA25" s="53">
        <f t="shared" ca="1" si="3"/>
        <v>21.653929023766484</v>
      </c>
      <c r="AB25" s="53">
        <f t="shared" ca="1" si="3"/>
        <v>98.029887500945165</v>
      </c>
      <c r="AC25" s="53">
        <f t="shared" ca="1" si="3"/>
        <v>331.37977867753528</v>
      </c>
      <c r="AD25" s="53">
        <f t="shared" ca="1" si="3"/>
        <v>1991.8623426847573</v>
      </c>
      <c r="AE25" s="53">
        <f t="shared" ca="1" si="3"/>
        <v>179.93034977434127</v>
      </c>
      <c r="AG25" s="75">
        <f t="shared" ca="1" si="4"/>
        <v>0.64323021101009792</v>
      </c>
    </row>
    <row r="26" spans="2:33" x14ac:dyDescent="0.25">
      <c r="B26" s="87">
        <f t="shared" si="7"/>
        <v>2022</v>
      </c>
      <c r="C26">
        <v>2434.2993447940489</v>
      </c>
      <c r="D26">
        <v>3334.3537317940577</v>
      </c>
      <c r="E26">
        <v>3443.4370327230645</v>
      </c>
      <c r="F26">
        <v>2740.0591857597337</v>
      </c>
      <c r="G26">
        <v>3345.2580532299444</v>
      </c>
      <c r="I26">
        <f t="shared" si="8"/>
        <v>2022</v>
      </c>
      <c r="J26" s="540">
        <f t="shared" si="9"/>
        <v>5.7535821316869074E-2</v>
      </c>
      <c r="K26" s="540">
        <f t="shared" si="5"/>
        <v>5.893623096261158E-2</v>
      </c>
      <c r="L26" s="540">
        <f t="shared" si="5"/>
        <v>3.2166166357668224E-2</v>
      </c>
      <c r="M26" s="540">
        <f t="shared" si="5"/>
        <v>5.4172222972405981E-2</v>
      </c>
      <c r="T26">
        <f t="shared" si="6"/>
        <v>2022</v>
      </c>
      <c r="U26" s="53">
        <f t="shared" ca="1" si="3"/>
        <v>90.126454303050238</v>
      </c>
      <c r="V26" s="53">
        <f t="shared" ca="1" si="3"/>
        <v>246.83795064328427</v>
      </c>
      <c r="W26" s="53">
        <f t="shared" ca="1" si="3"/>
        <v>31.09051831391378</v>
      </c>
      <c r="X26" s="53">
        <f t="shared" ca="1" si="3"/>
        <v>23.513220128616439</v>
      </c>
      <c r="Y26" s="53">
        <f t="shared" ca="1" si="3"/>
        <v>9.0578031407034345</v>
      </c>
      <c r="Z26" s="53">
        <f t="shared" ca="1" si="3"/>
        <v>95.807288321906384</v>
      </c>
      <c r="AA26" s="53">
        <f t="shared" ca="1" si="3"/>
        <v>23.048702619591026</v>
      </c>
      <c r="AB26" s="53">
        <f t="shared" ca="1" si="3"/>
        <v>102.73148024538688</v>
      </c>
      <c r="AC26" s="53">
        <f t="shared" ca="1" si="3"/>
        <v>351.56964665932389</v>
      </c>
      <c r="AD26" s="53">
        <f t="shared" ca="1" si="3"/>
        <v>2101.3141495643931</v>
      </c>
      <c r="AE26" s="53">
        <f t="shared" ca="1" si="3"/>
        <v>189.92052662483599</v>
      </c>
      <c r="AG26" s="75">
        <f t="shared" ca="1" si="4"/>
        <v>0.64358429770760273</v>
      </c>
    </row>
    <row r="27" spans="2:33" x14ac:dyDescent="0.25">
      <c r="B27" s="87">
        <f t="shared" si="7"/>
        <v>2023</v>
      </c>
      <c r="C27">
        <v>2484.1396986497693</v>
      </c>
      <c r="D27">
        <v>3524.380918330538</v>
      </c>
      <c r="E27">
        <v>3647.212154595808</v>
      </c>
      <c r="F27">
        <v>2827.3249959927371</v>
      </c>
      <c r="G27">
        <v>3527.1891163017599</v>
      </c>
      <c r="I27">
        <f t="shared" si="8"/>
        <v>2023</v>
      </c>
      <c r="J27" s="540">
        <f t="shared" si="9"/>
        <v>5.6990709991118882E-2</v>
      </c>
      <c r="K27" s="540">
        <f t="shared" si="5"/>
        <v>5.9177827251163162E-2</v>
      </c>
      <c r="L27" s="540">
        <f t="shared" si="5"/>
        <v>3.1848147911011981E-2</v>
      </c>
      <c r="M27" s="540">
        <f t="shared" si="5"/>
        <v>5.4384762005476928E-2</v>
      </c>
      <c r="T27">
        <f t="shared" si="6"/>
        <v>2023</v>
      </c>
      <c r="U27" s="53">
        <f t="shared" ref="U27:AE42" ca="1" si="10">OFFSET($C$1,U$8+$T27-2006,$U$3)</f>
        <v>94.420517749957369</v>
      </c>
      <c r="V27" s="53">
        <f t="shared" ca="1" si="10"/>
        <v>256.33397861917388</v>
      </c>
      <c r="W27" s="53">
        <f t="shared" ca="1" si="10"/>
        <v>33.156979074280862</v>
      </c>
      <c r="X27" s="53">
        <f t="shared" ca="1" si="10"/>
        <v>25.040103450121183</v>
      </c>
      <c r="Y27" s="53">
        <f t="shared" ca="1" si="10"/>
        <v>9.2542094824591494</v>
      </c>
      <c r="Z27" s="53">
        <f t="shared" ca="1" si="10"/>
        <v>101.74905352816982</v>
      </c>
      <c r="AA27" s="53">
        <f t="shared" ca="1" si="10"/>
        <v>24.538991262067171</v>
      </c>
      <c r="AB27" s="53">
        <f t="shared" ca="1" si="10"/>
        <v>107.83868549106631</v>
      </c>
      <c r="AC27" s="53">
        <f t="shared" ca="1" si="10"/>
        <v>373.17394805059962</v>
      </c>
      <c r="AD27" s="53">
        <f t="shared" ca="1" si="10"/>
        <v>2217.4635830781426</v>
      </c>
      <c r="AE27" s="53">
        <f t="shared" ca="1" si="10"/>
        <v>200.61380053016882</v>
      </c>
      <c r="AG27" s="75">
        <f t="shared" ca="1" si="4"/>
        <v>0.64394063843531046</v>
      </c>
    </row>
    <row r="28" spans="2:33" x14ac:dyDescent="0.25">
      <c r="B28" s="87">
        <f t="shared" si="7"/>
        <v>2024</v>
      </c>
      <c r="C28">
        <v>2535.4411728657492</v>
      </c>
      <c r="D28">
        <v>3705.0372039494418</v>
      </c>
      <c r="E28">
        <v>3854.7657019886888</v>
      </c>
      <c r="F28">
        <v>2913.8053754328616</v>
      </c>
      <c r="G28">
        <v>3698.9258063931475</v>
      </c>
      <c r="I28">
        <f t="shared" si="8"/>
        <v>2024</v>
      </c>
      <c r="J28" s="540">
        <f t="shared" si="9"/>
        <v>5.1259012520269431E-2</v>
      </c>
      <c r="K28" s="540">
        <f t="shared" si="9"/>
        <v>5.6907451114776908E-2</v>
      </c>
      <c r="L28" s="540">
        <f t="shared" si="9"/>
        <v>3.0587350079207765E-2</v>
      </c>
      <c r="M28" s="540">
        <f t="shared" si="9"/>
        <v>4.8689391021781381E-2</v>
      </c>
      <c r="T28">
        <f t="shared" si="6"/>
        <v>2024</v>
      </c>
      <c r="U28" s="53">
        <f t="shared" ca="1" si="10"/>
        <v>98.785350560339964</v>
      </c>
      <c r="V28" s="53">
        <f t="shared" ca="1" si="10"/>
        <v>265.0101425500992</v>
      </c>
      <c r="W28" s="53">
        <f t="shared" ca="1" si="10"/>
        <v>34.873416096208466</v>
      </c>
      <c r="X28" s="53">
        <f t="shared" ca="1" si="10"/>
        <v>26.495535621289172</v>
      </c>
      <c r="Y28" s="53">
        <f t="shared" ca="1" si="10"/>
        <v>9.3572362602530657</v>
      </c>
      <c r="Z28" s="53">
        <f t="shared" ca="1" si="10"/>
        <v>107.08302684255513</v>
      </c>
      <c r="AA28" s="53">
        <f t="shared" ca="1" si="10"/>
        <v>25.93393776815612</v>
      </c>
      <c r="AB28" s="53">
        <f t="shared" ca="1" si="10"/>
        <v>112.80445710842227</v>
      </c>
      <c r="AC28" s="53">
        <f t="shared" ca="1" si="10"/>
        <v>393.65482263239971</v>
      </c>
      <c r="AD28" s="53">
        <f t="shared" ca="1" si="10"/>
        <v>2324.1724308369057</v>
      </c>
      <c r="AE28" s="53">
        <f t="shared" ca="1" si="10"/>
        <v>210.24810371197248</v>
      </c>
      <c r="AG28" s="75">
        <f t="shared" ca="1" si="4"/>
        <v>0.64409725662589801</v>
      </c>
    </row>
    <row r="29" spans="2:33" x14ac:dyDescent="0.25">
      <c r="B29" s="87">
        <f t="shared" si="7"/>
        <v>2025</v>
      </c>
      <c r="C29">
        <v>2588.7386335266801</v>
      </c>
      <c r="D29">
        <v>3899.442535935153</v>
      </c>
      <c r="E29">
        <v>4076.8453422388015</v>
      </c>
      <c r="F29">
        <v>3003.5299214658958</v>
      </c>
      <c r="G29">
        <v>3881.3933779435947</v>
      </c>
      <c r="I29">
        <f t="shared" si="8"/>
        <v>2025</v>
      </c>
      <c r="J29" s="540">
        <f t="shared" si="9"/>
        <v>5.2470547874251317E-2</v>
      </c>
      <c r="K29" s="540">
        <f t="shared" si="9"/>
        <v>5.7611709094418151E-2</v>
      </c>
      <c r="L29" s="540">
        <f t="shared" si="9"/>
        <v>3.0792909776860222E-2</v>
      </c>
      <c r="M29" s="540">
        <f t="shared" si="9"/>
        <v>4.9329881457766511E-2</v>
      </c>
      <c r="T29">
        <f t="shared" si="6"/>
        <v>2025</v>
      </c>
      <c r="U29" s="53">
        <f t="shared" ca="1" si="10"/>
        <v>103.33086729776115</v>
      </c>
      <c r="V29" s="53">
        <f t="shared" ca="1" si="10"/>
        <v>274.04519896333142</v>
      </c>
      <c r="W29" s="53">
        <f t="shared" ca="1" si="10"/>
        <v>36.706210839028934</v>
      </c>
      <c r="X29" s="53">
        <f t="shared" ca="1" si="10"/>
        <v>28.027277938667687</v>
      </c>
      <c r="Y29" s="53">
        <f t="shared" ca="1" si="10"/>
        <v>9.4757443408965472</v>
      </c>
      <c r="Z29" s="53">
        <f t="shared" ca="1" si="10"/>
        <v>112.72014562651884</v>
      </c>
      <c r="AA29" s="53">
        <f t="shared" ca="1" si="10"/>
        <v>27.394703066730195</v>
      </c>
      <c r="AB29" s="53">
        <f t="shared" ca="1" si="10"/>
        <v>117.99770648909802</v>
      </c>
      <c r="AC29" s="53">
        <f t="shared" ca="1" si="10"/>
        <v>415.29962226036025</v>
      </c>
      <c r="AD29" s="53">
        <f t="shared" ca="1" si="10"/>
        <v>2437.2126662286164</v>
      </c>
      <c r="AE29" s="53">
        <f t="shared" ca="1" si="10"/>
        <v>220.43380926837685</v>
      </c>
      <c r="AG29" s="75">
        <f t="shared" ca="1" si="4"/>
        <v>0.64431458444144663</v>
      </c>
    </row>
    <row r="30" spans="2:33" x14ac:dyDescent="0.25">
      <c r="B30" s="87">
        <f t="shared" si="7"/>
        <v>2026</v>
      </c>
      <c r="C30">
        <v>2644.671920438645</v>
      </c>
      <c r="D30">
        <v>4105.72130716846</v>
      </c>
      <c r="E30">
        <v>4318.8241166424696</v>
      </c>
      <c r="F30">
        <v>3095.3998725306437</v>
      </c>
      <c r="G30">
        <v>4076.5172269210834</v>
      </c>
      <c r="I30">
        <f t="shared" si="8"/>
        <v>2026</v>
      </c>
      <c r="J30" s="540">
        <f t="shared" si="9"/>
        <v>5.289955405993374E-2</v>
      </c>
      <c r="K30" s="540">
        <f t="shared" si="9"/>
        <v>5.9354415998225107E-2</v>
      </c>
      <c r="L30" s="540">
        <f t="shared" si="9"/>
        <v>3.0587326734507814E-2</v>
      </c>
      <c r="M30" s="540">
        <f t="shared" si="9"/>
        <v>5.0271598361119274E-2</v>
      </c>
      <c r="T30">
        <f t="shared" si="6"/>
        <v>2026</v>
      </c>
      <c r="U30" s="53">
        <f t="shared" ca="1" si="10"/>
        <v>108.13531987732679</v>
      </c>
      <c r="V30" s="53">
        <f t="shared" ca="1" si="10"/>
        <v>284.52129063444966</v>
      </c>
      <c r="W30" s="53">
        <f t="shared" ca="1" si="10"/>
        <v>38.821856152385074</v>
      </c>
      <c r="X30" s="53">
        <f t="shared" ca="1" si="10"/>
        <v>29.654961001424919</v>
      </c>
      <c r="Y30" s="53">
        <f t="shared" ca="1" si="10"/>
        <v>9.6687762890113635</v>
      </c>
      <c r="Z30" s="53">
        <f t="shared" ca="1" si="10"/>
        <v>118.88491118293953</v>
      </c>
      <c r="AA30" s="53">
        <f t="shared" ca="1" si="10"/>
        <v>28.950385581042635</v>
      </c>
      <c r="AB30" s="53">
        <f t="shared" ca="1" si="10"/>
        <v>123.41098435823935</v>
      </c>
      <c r="AC30" s="53">
        <f t="shared" ca="1" si="10"/>
        <v>438.27685079769572</v>
      </c>
      <c r="AD30" s="53">
        <f t="shared" ca="1" si="10"/>
        <v>2558.0876850139648</v>
      </c>
      <c r="AE30" s="53">
        <f t="shared" ca="1" si="10"/>
        <v>231.33704662882451</v>
      </c>
      <c r="AG30" s="75">
        <f t="shared" ca="1" si="4"/>
        <v>0.64439514868849213</v>
      </c>
    </row>
    <row r="31" spans="2:33" x14ac:dyDescent="0.25">
      <c r="B31" s="87">
        <f t="shared" si="7"/>
        <v>2027</v>
      </c>
      <c r="C31">
        <v>2700.6290662616839</v>
      </c>
      <c r="D31">
        <v>4328.4526019921759</v>
      </c>
      <c r="E31">
        <v>4582.4672019976688</v>
      </c>
      <c r="F31">
        <v>3188.9090436042957</v>
      </c>
      <c r="G31">
        <v>4286.8240018188781</v>
      </c>
      <c r="I31">
        <f t="shared" si="8"/>
        <v>2027</v>
      </c>
      <c r="J31" s="540">
        <f t="shared" si="9"/>
        <v>5.424900478140926E-2</v>
      </c>
      <c r="K31" s="540">
        <f t="shared" si="9"/>
        <v>6.1045108167118389E-2</v>
      </c>
      <c r="L31" s="540">
        <f t="shared" si="9"/>
        <v>3.0209076346961128E-2</v>
      </c>
      <c r="M31" s="540">
        <f t="shared" si="9"/>
        <v>5.1589816304207226E-2</v>
      </c>
      <c r="T31">
        <f t="shared" si="6"/>
        <v>2027</v>
      </c>
      <c r="U31" s="53">
        <f t="shared" ca="1" si="10"/>
        <v>113.29202067319231</v>
      </c>
      <c r="V31" s="53">
        <f t="shared" ca="1" si="10"/>
        <v>295.90293704150122</v>
      </c>
      <c r="W31" s="53">
        <f t="shared" ca="1" si="10"/>
        <v>41.108453226324713</v>
      </c>
      <c r="X31" s="53">
        <f t="shared" ca="1" si="10"/>
        <v>31.40305419746641</v>
      </c>
      <c r="Y31" s="53">
        <f t="shared" ca="1" si="10"/>
        <v>9.9036338696293189</v>
      </c>
      <c r="Z31" s="53">
        <f t="shared" ca="1" si="10"/>
        <v>125.51513217183607</v>
      </c>
      <c r="AA31" s="53">
        <f t="shared" ca="1" si="10"/>
        <v>30.624483190855074</v>
      </c>
      <c r="AB31" s="53">
        <f t="shared" ca="1" si="10"/>
        <v>129.25957971285897</v>
      </c>
      <c r="AC31" s="53">
        <f t="shared" ca="1" si="10"/>
        <v>463.09689480455586</v>
      </c>
      <c r="AD31" s="53">
        <f t="shared" ca="1" si="10"/>
        <v>2688.3815317768945</v>
      </c>
      <c r="AE31" s="53">
        <f t="shared" ca="1" si="10"/>
        <v>243.12794882780207</v>
      </c>
      <c r="AG31" s="75">
        <f t="shared" ca="1" si="4"/>
        <v>0.64444611986599476</v>
      </c>
    </row>
    <row r="32" spans="2:33" x14ac:dyDescent="0.25">
      <c r="B32" s="87">
        <f t="shared" si="7"/>
        <v>2028</v>
      </c>
      <c r="C32">
        <v>2756.0740059895561</v>
      </c>
      <c r="D32">
        <v>4568.1667055327089</v>
      </c>
      <c r="E32">
        <v>4869.0430946840424</v>
      </c>
      <c r="F32">
        <v>3286.3752528453142</v>
      </c>
      <c r="G32">
        <v>4511.9072074574478</v>
      </c>
      <c r="I32">
        <f t="shared" si="8"/>
        <v>2028</v>
      </c>
      <c r="J32" s="540">
        <f t="shared" si="9"/>
        <v>5.5381016169659292E-2</v>
      </c>
      <c r="K32" s="540">
        <f t="shared" si="9"/>
        <v>6.2537467275585623E-2</v>
      </c>
      <c r="L32" s="540">
        <f t="shared" si="9"/>
        <v>3.0564123312484481E-2</v>
      </c>
      <c r="M32" s="540">
        <f t="shared" si="9"/>
        <v>5.2505819119951669E-2</v>
      </c>
      <c r="T32">
        <f t="shared" si="6"/>
        <v>2028</v>
      </c>
      <c r="U32" s="53">
        <f t="shared" ca="1" si="10"/>
        <v>118.86381359389219</v>
      </c>
      <c r="V32" s="53">
        <f t="shared" ca="1" si="10"/>
        <v>308.20919093299671</v>
      </c>
      <c r="W32" s="53">
        <f t="shared" ca="1" si="10"/>
        <v>43.548297458907875</v>
      </c>
      <c r="X32" s="53">
        <f t="shared" ca="1" si="10"/>
        <v>33.290125832529284</v>
      </c>
      <c r="Y32" s="53">
        <f t="shared" ca="1" si="10"/>
        <v>10.168857336146829</v>
      </c>
      <c r="Z32" s="53">
        <f t="shared" ca="1" si="10"/>
        <v>132.64369476435076</v>
      </c>
      <c r="AA32" s="53">
        <f t="shared" ca="1" si="10"/>
        <v>32.4362041656331</v>
      </c>
      <c r="AB32" s="53">
        <f t="shared" ca="1" si="10"/>
        <v>135.74749632325052</v>
      </c>
      <c r="AC32" s="53">
        <f t="shared" ca="1" si="10"/>
        <v>490.09727915631265</v>
      </c>
      <c r="AD32" s="53">
        <f t="shared" ca="1" si="10"/>
        <v>2828.7383835762544</v>
      </c>
      <c r="AE32" s="53">
        <f t="shared" ca="1" si="10"/>
        <v>255.90211616680838</v>
      </c>
      <c r="AG32" s="75">
        <f t="shared" ca="1" si="4"/>
        <v>0.64441158398764575</v>
      </c>
    </row>
    <row r="33" spans="1:33" x14ac:dyDescent="0.25">
      <c r="B33" s="87">
        <f t="shared" si="7"/>
        <v>2029</v>
      </c>
      <c r="C33">
        <v>2811.6644057808485</v>
      </c>
      <c r="D33">
        <v>4802.204715995329</v>
      </c>
      <c r="E33">
        <v>5112.8282818774069</v>
      </c>
      <c r="F33">
        <v>3362.2815747924487</v>
      </c>
      <c r="G33">
        <v>4666.9037095168569</v>
      </c>
      <c r="I33">
        <f t="shared" si="8"/>
        <v>2029</v>
      </c>
      <c r="J33" s="540">
        <f t="shared" si="9"/>
        <v>5.1232370784360048E-2</v>
      </c>
      <c r="K33" s="540">
        <f t="shared" si="9"/>
        <v>5.0068397928029418E-2</v>
      </c>
      <c r="L33" s="540">
        <f t="shared" si="9"/>
        <v>2.3097277732180954E-2</v>
      </c>
      <c r="M33" s="540">
        <f t="shared" si="9"/>
        <v>3.4352768116158394E-2</v>
      </c>
      <c r="T33">
        <f t="shared" si="6"/>
        <v>2029</v>
      </c>
      <c r="U33" s="53">
        <f t="shared" ca="1" si="10"/>
        <v>123.77376918842222</v>
      </c>
      <c r="V33" s="53">
        <f t="shared" ca="1" si="10"/>
        <v>319.3171987180873</v>
      </c>
      <c r="W33" s="53">
        <f t="shared" ca="1" si="10"/>
        <v>45.665533109028111</v>
      </c>
      <c r="X33" s="53">
        <f t="shared" ca="1" si="10"/>
        <v>34.941736988344537</v>
      </c>
      <c r="Y33" s="53">
        <f t="shared" ca="1" si="10"/>
        <v>10.463190986626509</v>
      </c>
      <c r="Z33" s="53">
        <f t="shared" ca="1" si="10"/>
        <v>138.23833069828203</v>
      </c>
      <c r="AA33" s="53">
        <f t="shared" ca="1" si="10"/>
        <v>33.847815709194414</v>
      </c>
      <c r="AB33" s="53">
        <f t="shared" ca="1" si="10"/>
        <v>141.19732305323296</v>
      </c>
      <c r="AC33" s="53">
        <f t="shared" ca="1" si="10"/>
        <v>511.40153667651924</v>
      </c>
      <c r="AD33" s="53">
        <f t="shared" ca="1" si="10"/>
        <v>2917.3238734843953</v>
      </c>
      <c r="AE33" s="53">
        <f t="shared" ca="1" si="10"/>
        <v>263.49386913019299</v>
      </c>
      <c r="AG33" s="75">
        <f t="shared" ca="1" si="4"/>
        <v>0.64262988610211347</v>
      </c>
    </row>
    <row r="34" spans="1:33" x14ac:dyDescent="0.25">
      <c r="B34" s="87">
        <f t="shared" si="7"/>
        <v>2030</v>
      </c>
      <c r="C34">
        <v>2867.6582092886101</v>
      </c>
      <c r="D34">
        <v>5049.5977108586703</v>
      </c>
      <c r="E34">
        <v>5369.0713903467631</v>
      </c>
      <c r="F34">
        <v>3440.1477081609955</v>
      </c>
      <c r="G34">
        <v>4825.4049874442981</v>
      </c>
      <c r="I34">
        <f t="shared" si="8"/>
        <v>2030</v>
      </c>
      <c r="J34" s="540">
        <f t="shared" si="9"/>
        <v>5.1516544898495775E-2</v>
      </c>
      <c r="K34" s="540">
        <f t="shared" si="9"/>
        <v>5.0117683274757852E-2</v>
      </c>
      <c r="L34" s="540">
        <f t="shared" si="9"/>
        <v>2.315871875583575E-2</v>
      </c>
      <c r="M34" s="540">
        <f t="shared" si="9"/>
        <v>3.3962834417222254E-2</v>
      </c>
      <c r="T34">
        <f t="shared" si="6"/>
        <v>2030</v>
      </c>
      <c r="U34" s="53">
        <f t="shared" ca="1" si="10"/>
        <v>128.70710551909556</v>
      </c>
      <c r="V34" s="53">
        <f t="shared" ca="1" si="10"/>
        <v>330.96941521147346</v>
      </c>
      <c r="W34" s="53">
        <f t="shared" ca="1" si="10"/>
        <v>47.815173047963818</v>
      </c>
      <c r="X34" s="53">
        <f t="shared" ca="1" si="10"/>
        <v>36.604683144231764</v>
      </c>
      <c r="Y34" s="53">
        <f t="shared" ca="1" si="10"/>
        <v>10.796134618083375</v>
      </c>
      <c r="Z34" s="53">
        <f t="shared" ca="1" si="10"/>
        <v>143.84310955726079</v>
      </c>
      <c r="AA34" s="53">
        <f t="shared" ca="1" si="10"/>
        <v>35.262461026872643</v>
      </c>
      <c r="AB34" s="53">
        <f t="shared" ca="1" si="10"/>
        <v>146.7315386282927</v>
      </c>
      <c r="AC34" s="53">
        <f t="shared" ca="1" si="10"/>
        <v>533.31233860307407</v>
      </c>
      <c r="AD34" s="53">
        <f t="shared" ca="1" si="10"/>
        <v>3008.1710108686357</v>
      </c>
      <c r="AE34" s="53">
        <f t="shared" ca="1" si="10"/>
        <v>271.23824348247621</v>
      </c>
      <c r="AG34" s="75">
        <f t="shared" ca="1" si="4"/>
        <v>0.64092942994339031</v>
      </c>
    </row>
    <row r="35" spans="1:33" x14ac:dyDescent="0.25">
      <c r="B35" s="87">
        <f t="shared" si="7"/>
        <v>2031</v>
      </c>
      <c r="C35">
        <v>2928.4500609454699</v>
      </c>
      <c r="D35">
        <v>5314.0209259383182</v>
      </c>
      <c r="E35">
        <v>5639.5160940356645</v>
      </c>
      <c r="F35">
        <v>3521.041569559924</v>
      </c>
      <c r="G35">
        <v>4989.2076829818116</v>
      </c>
      <c r="I35">
        <f t="shared" si="8"/>
        <v>2031</v>
      </c>
      <c r="J35" s="540">
        <f t="shared" si="9"/>
        <v>5.2365204164884549E-2</v>
      </c>
      <c r="K35" s="540">
        <f t="shared" si="9"/>
        <v>5.037085261617924E-2</v>
      </c>
      <c r="L35" s="540">
        <f t="shared" si="9"/>
        <v>2.3514647701616376E-2</v>
      </c>
      <c r="M35" s="540">
        <f t="shared" si="9"/>
        <v>3.3945895932823822E-2</v>
      </c>
      <c r="T35">
        <f t="shared" si="6"/>
        <v>2031</v>
      </c>
      <c r="U35" s="53">
        <f t="shared" ca="1" si="10"/>
        <v>133.70514311214757</v>
      </c>
      <c r="V35" s="53">
        <f t="shared" ca="1" si="10"/>
        <v>343.3500763370626</v>
      </c>
      <c r="W35" s="53">
        <f t="shared" ca="1" si="10"/>
        <v>50.0474630150987</v>
      </c>
      <c r="X35" s="53">
        <f t="shared" ca="1" si="10"/>
        <v>38.281517861122602</v>
      </c>
      <c r="Y35" s="53">
        <f t="shared" ca="1" si="10"/>
        <v>11.186252528511938</v>
      </c>
      <c r="Z35" s="53">
        <f t="shared" ca="1" si="10"/>
        <v>149.54305417536071</v>
      </c>
      <c r="AA35" s="53">
        <f t="shared" ca="1" si="10"/>
        <v>36.677208116487492</v>
      </c>
      <c r="AB35" s="53">
        <f t="shared" ca="1" si="10"/>
        <v>152.32007026290665</v>
      </c>
      <c r="AC35" s="53">
        <f t="shared" ca="1" si="10"/>
        <v>555.79935301154921</v>
      </c>
      <c r="AD35" s="53">
        <f t="shared" ca="1" si="10"/>
        <v>3101.7046947146009</v>
      </c>
      <c r="AE35" s="53">
        <f t="shared" ca="1" si="10"/>
        <v>279.18774550243046</v>
      </c>
      <c r="AG35" s="75">
        <f t="shared" ca="1" si="4"/>
        <v>0.63928913933381304</v>
      </c>
    </row>
    <row r="36" spans="1:33" x14ac:dyDescent="0.25">
      <c r="B36" s="87">
        <f t="shared" si="7"/>
        <v>2032</v>
      </c>
      <c r="C36">
        <v>2992.7108183261389</v>
      </c>
      <c r="D36">
        <v>5594.4072402482916</v>
      </c>
      <c r="E36">
        <v>5924.2880315986222</v>
      </c>
      <c r="F36">
        <v>3603.8827609667151</v>
      </c>
      <c r="G36">
        <v>5157.4154035218862</v>
      </c>
      <c r="I36">
        <f t="shared" si="8"/>
        <v>2032</v>
      </c>
      <c r="J36" s="540">
        <f t="shared" si="9"/>
        <v>5.2763494577406922E-2</v>
      </c>
      <c r="K36" s="540">
        <f t="shared" si="9"/>
        <v>5.0495810777831052E-2</v>
      </c>
      <c r="L36" s="540">
        <f t="shared" si="9"/>
        <v>2.3527467588843276E-2</v>
      </c>
      <c r="M36" s="540">
        <f t="shared" si="9"/>
        <v>3.3714315223603686E-2</v>
      </c>
      <c r="T36">
        <f t="shared" si="6"/>
        <v>2032</v>
      </c>
      <c r="U36" s="53">
        <f t="shared" ca="1" si="10"/>
        <v>138.78419159230856</v>
      </c>
      <c r="V36" s="53">
        <f t="shared" ca="1" si="10"/>
        <v>356.33296514038875</v>
      </c>
      <c r="W36" s="53">
        <f t="shared" ca="1" si="10"/>
        <v>52.327808474239546</v>
      </c>
      <c r="X36" s="53">
        <f t="shared" ca="1" si="10"/>
        <v>39.978280644745467</v>
      </c>
      <c r="Y36" s="53">
        <f t="shared" ca="1" si="10"/>
        <v>11.626510610033648</v>
      </c>
      <c r="Z36" s="53">
        <f t="shared" ca="1" si="10"/>
        <v>155.30247063662287</v>
      </c>
      <c r="AA36" s="53">
        <f t="shared" ca="1" si="10"/>
        <v>38.098709409903535</v>
      </c>
      <c r="AB36" s="53">
        <f t="shared" ca="1" si="10"/>
        <v>158.01521833980215</v>
      </c>
      <c r="AC36" s="53">
        <f t="shared" ca="1" si="10"/>
        <v>578.90537190392502</v>
      </c>
      <c r="AD36" s="53">
        <f t="shared" ca="1" si="10"/>
        <v>3197.554889470227</v>
      </c>
      <c r="AE36" s="53">
        <f t="shared" ca="1" si="10"/>
        <v>287.34423600960537</v>
      </c>
      <c r="AG36" s="75">
        <f t="shared" ca="1" si="4"/>
        <v>0.63769092481017697</v>
      </c>
    </row>
    <row r="37" spans="1:33" x14ac:dyDescent="0.25">
      <c r="B37" s="87">
        <f t="shared" si="7"/>
        <v>2033</v>
      </c>
      <c r="C37">
        <v>3059.93300257701</v>
      </c>
      <c r="D37">
        <v>5890.6230717996714</v>
      </c>
      <c r="E37">
        <v>6226.2565481138354</v>
      </c>
      <c r="F37">
        <v>3686.8624276283931</v>
      </c>
      <c r="G37">
        <v>5330.448210179823</v>
      </c>
      <c r="I37">
        <f t="shared" si="8"/>
        <v>2033</v>
      </c>
      <c r="J37" s="540">
        <f t="shared" si="9"/>
        <v>5.2948564312639057E-2</v>
      </c>
      <c r="K37" s="540">
        <f t="shared" si="9"/>
        <v>5.0971275350656597E-2</v>
      </c>
      <c r="L37" s="540">
        <f t="shared" si="9"/>
        <v>2.3025073834371801E-2</v>
      </c>
      <c r="M37" s="540">
        <f t="shared" si="9"/>
        <v>3.3550294696017113E-2</v>
      </c>
      <c r="T37">
        <f t="shared" si="6"/>
        <v>2033</v>
      </c>
      <c r="U37" s="53">
        <f t="shared" ca="1" si="10"/>
        <v>143.96802033554712</v>
      </c>
      <c r="V37" s="53">
        <f t="shared" ca="1" si="10"/>
        <v>369.88100522983251</v>
      </c>
      <c r="W37" s="53">
        <f t="shared" ca="1" si="10"/>
        <v>54.693529450236611</v>
      </c>
      <c r="X37" s="53">
        <f t="shared" ca="1" si="10"/>
        <v>41.705717067043679</v>
      </c>
      <c r="Y37" s="53">
        <f t="shared" ca="1" si="10"/>
        <v>12.126287859112699</v>
      </c>
      <c r="Z37" s="53">
        <f t="shared" ca="1" si="10"/>
        <v>161.19869406545249</v>
      </c>
      <c r="AA37" s="53">
        <f t="shared" ca="1" si="10"/>
        <v>39.533230862285443</v>
      </c>
      <c r="AB37" s="53">
        <f t="shared" ca="1" si="10"/>
        <v>163.83861958110919</v>
      </c>
      <c r="AC37" s="53">
        <f t="shared" ca="1" si="10"/>
        <v>602.71584895778892</v>
      </c>
      <c r="AD37" s="53">
        <f t="shared" ca="1" si="10"/>
        <v>3296.0549880572348</v>
      </c>
      <c r="AE37" s="53">
        <f t="shared" ca="1" si="10"/>
        <v>295.72509844980539</v>
      </c>
      <c r="AG37" s="75">
        <f t="shared" ca="1" si="4"/>
        <v>0.63612708562462394</v>
      </c>
    </row>
    <row r="38" spans="1:33" x14ac:dyDescent="0.25">
      <c r="B38" s="87">
        <f t="shared" si="7"/>
        <v>2034</v>
      </c>
      <c r="C38">
        <v>3130.0520448766169</v>
      </c>
      <c r="D38">
        <v>6172.0951654673345</v>
      </c>
      <c r="E38">
        <v>6465.3371340913081</v>
      </c>
      <c r="F38">
        <v>3764.0265567592905</v>
      </c>
      <c r="G38">
        <v>5485.3533253499227</v>
      </c>
      <c r="I38">
        <f t="shared" si="8"/>
        <v>2034</v>
      </c>
      <c r="J38" s="540">
        <f t="shared" si="9"/>
        <v>4.7783076634993371E-2</v>
      </c>
      <c r="K38" s="540">
        <f t="shared" si="9"/>
        <v>3.8398768847695441E-2</v>
      </c>
      <c r="L38" s="540">
        <f t="shared" si="9"/>
        <v>2.0929484255406194E-2</v>
      </c>
      <c r="M38" s="540">
        <f t="shared" si="9"/>
        <v>2.9060429641595498E-2</v>
      </c>
      <c r="T38">
        <f t="shared" si="6"/>
        <v>2034</v>
      </c>
      <c r="U38" s="53">
        <f t="shared" ca="1" si="10"/>
        <v>148.78446254471766</v>
      </c>
      <c r="V38" s="53">
        <f t="shared" ca="1" si="10"/>
        <v>382.87801971789906</v>
      </c>
      <c r="W38" s="53">
        <f t="shared" ca="1" si="10"/>
        <v>56.961557615106599</v>
      </c>
      <c r="X38" s="53">
        <f t="shared" ca="1" si="10"/>
        <v>43.310457752070775</v>
      </c>
      <c r="Y38" s="53">
        <f t="shared" ca="1" si="10"/>
        <v>12.658956601060435</v>
      </c>
      <c r="Z38" s="53">
        <f t="shared" ca="1" si="10"/>
        <v>166.65139059563981</v>
      </c>
      <c r="AA38" s="53">
        <f t="shared" ca="1" si="10"/>
        <v>40.827736306331836</v>
      </c>
      <c r="AB38" s="53">
        <f t="shared" ca="1" si="10"/>
        <v>169.25980424384721</v>
      </c>
      <c r="AC38" s="53">
        <f t="shared" ca="1" si="10"/>
        <v>624.82747043092388</v>
      </c>
      <c r="AD38" s="53">
        <f t="shared" ca="1" si="10"/>
        <v>3382.9608877572064</v>
      </c>
      <c r="AE38" s="53">
        <f t="shared" ca="1" si="10"/>
        <v>303.03049275142286</v>
      </c>
      <c r="AG38" s="75">
        <f t="shared" ca="1" si="4"/>
        <v>0.63444578704304733</v>
      </c>
    </row>
    <row r="39" spans="1:33" x14ac:dyDescent="0.25">
      <c r="B39" s="87">
        <f t="shared" si="7"/>
        <v>2035</v>
      </c>
      <c r="C39">
        <v>3200.8714684509005</v>
      </c>
      <c r="D39">
        <v>6466.3351780180938</v>
      </c>
      <c r="E39">
        <v>6709.302915714009</v>
      </c>
      <c r="F39">
        <v>3842.1852333286542</v>
      </c>
      <c r="G39">
        <v>5640.4896982310347</v>
      </c>
      <c r="I39">
        <f t="shared" si="8"/>
        <v>2035</v>
      </c>
      <c r="J39" s="540">
        <f t="shared" si="9"/>
        <v>4.7672630551295114E-2</v>
      </c>
      <c r="K39" s="540">
        <f t="shared" si="9"/>
        <v>3.7734425376874103E-2</v>
      </c>
      <c r="L39" s="540">
        <f t="shared" si="9"/>
        <v>2.0764645358043454E-2</v>
      </c>
      <c r="M39" s="540">
        <f t="shared" si="9"/>
        <v>2.8281928925921296E-2</v>
      </c>
      <c r="T39">
        <f t="shared" si="6"/>
        <v>2035</v>
      </c>
      <c r="U39" s="53">
        <f t="shared" ca="1" si="10"/>
        <v>153.60741854166778</v>
      </c>
      <c r="V39" s="53">
        <f t="shared" ca="1" si="10"/>
        <v>396.9916266919995</v>
      </c>
      <c r="W39" s="53">
        <f t="shared" ca="1" si="10"/>
        <v>59.121553978957564</v>
      </c>
      <c r="X39" s="53">
        <f t="shared" ca="1" si="10"/>
        <v>44.900903625142078</v>
      </c>
      <c r="Y39" s="53">
        <f t="shared" ca="1" si="10"/>
        <v>13.228825368368259</v>
      </c>
      <c r="Z39" s="53">
        <f t="shared" ca="1" si="10"/>
        <v>171.88711919751088</v>
      </c>
      <c r="AA39" s="53">
        <f t="shared" ca="1" si="10"/>
        <v>42.10314253974115</v>
      </c>
      <c r="AB39" s="53">
        <f t="shared" ca="1" si="10"/>
        <v>174.72660461736325</v>
      </c>
      <c r="AC39" s="53">
        <f t="shared" ca="1" si="10"/>
        <v>647.12910453014649</v>
      </c>
      <c r="AD39" s="53">
        <f t="shared" ca="1" si="10"/>
        <v>3469.6298155039831</v>
      </c>
      <c r="AE39" s="53">
        <f t="shared" ca="1" si="10"/>
        <v>310.33236600515988</v>
      </c>
      <c r="AG39" s="75">
        <f t="shared" ca="1" si="4"/>
        <v>0.632721718133753</v>
      </c>
    </row>
    <row r="40" spans="1:33" x14ac:dyDescent="0.25">
      <c r="B40" s="87">
        <f t="shared" si="7"/>
        <v>2036</v>
      </c>
      <c r="C40">
        <v>3273.4424480113921</v>
      </c>
      <c r="D40">
        <v>6776.8973984133399</v>
      </c>
      <c r="E40">
        <v>6959.6764699789928</v>
      </c>
      <c r="F40">
        <v>3922.2991365774519</v>
      </c>
      <c r="G40">
        <v>5795.8544683642267</v>
      </c>
      <c r="I40">
        <f t="shared" si="8"/>
        <v>2036</v>
      </c>
      <c r="J40" s="540">
        <f t="shared" si="9"/>
        <v>4.8027547574549301E-2</v>
      </c>
      <c r="K40" s="540">
        <f t="shared" si="9"/>
        <v>3.7317372223361511E-2</v>
      </c>
      <c r="L40" s="540">
        <f t="shared" si="9"/>
        <v>2.0851129860647521E-2</v>
      </c>
      <c r="M40" s="540">
        <f t="shared" si="9"/>
        <v>2.7544553477673706E-2</v>
      </c>
      <c r="T40">
        <f t="shared" si="6"/>
        <v>2036</v>
      </c>
      <c r="U40" s="53">
        <f t="shared" ca="1" si="10"/>
        <v>158.4148294837982</v>
      </c>
      <c r="V40" s="53">
        <f t="shared" ca="1" si="10"/>
        <v>411.05465977172639</v>
      </c>
      <c r="W40" s="53">
        <f t="shared" ca="1" si="10"/>
        <v>61.330061435523717</v>
      </c>
      <c r="X40" s="53">
        <f t="shared" ca="1" si="10"/>
        <v>46.492058175336943</v>
      </c>
      <c r="Y40" s="53">
        <f t="shared" ca="1" si="10"/>
        <v>13.849759023242445</v>
      </c>
      <c r="Z40" s="53">
        <f t="shared" ca="1" si="10"/>
        <v>177.18502848172142</v>
      </c>
      <c r="AA40" s="53">
        <f t="shared" ca="1" si="10"/>
        <v>43.351846637799412</v>
      </c>
      <c r="AB40" s="53">
        <f t="shared" ca="1" si="10"/>
        <v>180.20382849134978</v>
      </c>
      <c r="AC40" s="53">
        <f t="shared" ca="1" si="10"/>
        <v>669.59928923544351</v>
      </c>
      <c r="AD40" s="53">
        <f t="shared" ca="1" si="10"/>
        <v>3556.186688509476</v>
      </c>
      <c r="AE40" s="53">
        <f t="shared" ca="1" si="10"/>
        <v>317.56559837630994</v>
      </c>
      <c r="AG40" s="75">
        <f t="shared" ca="1" si="4"/>
        <v>0.63106286462679595</v>
      </c>
    </row>
    <row r="41" spans="1:33" x14ac:dyDescent="0.25">
      <c r="B41" s="87">
        <f t="shared" si="7"/>
        <v>2037</v>
      </c>
      <c r="C41">
        <v>3344.4850778263681</v>
      </c>
      <c r="D41">
        <v>7096.8904513652251</v>
      </c>
      <c r="E41">
        <v>7209.3469667720428</v>
      </c>
      <c r="F41">
        <v>3999.1888853837904</v>
      </c>
      <c r="G41">
        <v>5946.5562659369425</v>
      </c>
      <c r="I41">
        <f t="shared" si="8"/>
        <v>2037</v>
      </c>
      <c r="J41" s="540">
        <f t="shared" si="9"/>
        <v>4.7218223050979669E-2</v>
      </c>
      <c r="K41" s="540">
        <f t="shared" si="9"/>
        <v>3.5873865382969994E-2</v>
      </c>
      <c r="L41" s="540">
        <f t="shared" si="9"/>
        <v>1.960323425852506E-2</v>
      </c>
      <c r="M41" s="540">
        <f t="shared" si="9"/>
        <v>2.6001653146278558E-2</v>
      </c>
      <c r="T41">
        <f t="shared" si="6"/>
        <v>2037</v>
      </c>
      <c r="U41" s="53">
        <f t="shared" ca="1" si="10"/>
        <v>163.10496548248253</v>
      </c>
      <c r="V41" s="53">
        <f t="shared" ca="1" si="10"/>
        <v>425.25282223896534</v>
      </c>
      <c r="W41" s="53">
        <f t="shared" ca="1" si="10"/>
        <v>63.478414343820887</v>
      </c>
      <c r="X41" s="53">
        <f t="shared" ca="1" si="10"/>
        <v>48.046841490916925</v>
      </c>
      <c r="Y41" s="53">
        <f t="shared" ca="1" si="10"/>
        <v>14.502516794785203</v>
      </c>
      <c r="Z41" s="53">
        <f t="shared" ca="1" si="10"/>
        <v>182.31831400277071</v>
      </c>
      <c r="AA41" s="53">
        <f t="shared" ca="1" si="10"/>
        <v>44.548320942244395</v>
      </c>
      <c r="AB41" s="53">
        <f t="shared" ca="1" si="10"/>
        <v>185.64771443440213</v>
      </c>
      <c r="AC41" s="53">
        <f t="shared" ca="1" si="10"/>
        <v>691.81661730269184</v>
      </c>
      <c r="AD41" s="53">
        <f t="shared" ca="1" si="10"/>
        <v>3639.9775042793358</v>
      </c>
      <c r="AE41" s="53">
        <f t="shared" ca="1" si="10"/>
        <v>324.51181845098904</v>
      </c>
      <c r="AG41" s="75">
        <f t="shared" ca="1" si="4"/>
        <v>0.629404797069129</v>
      </c>
    </row>
    <row r="42" spans="1:33" x14ac:dyDescent="0.25">
      <c r="B42" s="87">
        <f t="shared" si="7"/>
        <v>2038</v>
      </c>
      <c r="C42">
        <v>3419.6345941862946</v>
      </c>
      <c r="D42">
        <v>7435.2464345254994</v>
      </c>
      <c r="E42">
        <v>7467.8125140569819</v>
      </c>
      <c r="F42">
        <v>4078.4002297507827</v>
      </c>
      <c r="G42">
        <v>6100.8060062790655</v>
      </c>
      <c r="I42">
        <f t="shared" si="8"/>
        <v>2038</v>
      </c>
      <c r="J42" s="540">
        <f t="shared" si="9"/>
        <v>4.7676652962169497E-2</v>
      </c>
      <c r="K42" s="540">
        <f t="shared" si="9"/>
        <v>3.5851450689807107E-2</v>
      </c>
      <c r="L42" s="540">
        <f t="shared" si="9"/>
        <v>1.9806852498638783E-2</v>
      </c>
      <c r="M42" s="540">
        <f t="shared" si="9"/>
        <v>2.5939339248448157E-2</v>
      </c>
      <c r="T42">
        <f t="shared" si="6"/>
        <v>2038</v>
      </c>
      <c r="U42" s="53">
        <f t="shared" ca="1" si="10"/>
        <v>167.92190106703273</v>
      </c>
      <c r="V42" s="53">
        <f t="shared" ca="1" si="10"/>
        <v>440.42028043767584</v>
      </c>
      <c r="W42" s="53">
        <f t="shared" ca="1" si="10"/>
        <v>65.603893126943575</v>
      </c>
      <c r="X42" s="53">
        <f t="shared" ca="1" si="10"/>
        <v>49.620133010216279</v>
      </c>
      <c r="Y42" s="53">
        <f t="shared" ca="1" si="10"/>
        <v>15.197993304901761</v>
      </c>
      <c r="Z42" s="53">
        <f t="shared" ca="1" si="10"/>
        <v>187.43311825022354</v>
      </c>
      <c r="AA42" s="53">
        <f t="shared" ca="1" si="10"/>
        <v>45.754003685595286</v>
      </c>
      <c r="AB42" s="53">
        <f t="shared" ca="1" si="10"/>
        <v>191.16448808088688</v>
      </c>
      <c r="AC42" s="53">
        <f t="shared" ca="1" si="10"/>
        <v>714.49192073143922</v>
      </c>
      <c r="AD42" s="53">
        <f t="shared" ca="1" si="10"/>
        <v>3725.3928882012074</v>
      </c>
      <c r="AE42" s="53">
        <f t="shared" ca="1" si="10"/>
        <v>331.63192185142572</v>
      </c>
      <c r="AG42" s="75">
        <f t="shared" ca="1" si="4"/>
        <v>0.62773775157850054</v>
      </c>
    </row>
    <row r="43" spans="1:33" x14ac:dyDescent="0.25">
      <c r="B43" s="87">
        <f t="shared" si="7"/>
        <v>2039</v>
      </c>
      <c r="C43">
        <v>3497.6635161674722</v>
      </c>
      <c r="D43">
        <v>7789.2318283601917</v>
      </c>
      <c r="E43">
        <v>7731.1803166904247</v>
      </c>
      <c r="F43">
        <v>4158.8424227786982</v>
      </c>
      <c r="G43">
        <v>6254.363676660776</v>
      </c>
      <c r="I43">
        <f t="shared" si="8"/>
        <v>2039</v>
      </c>
      <c r="J43" s="540">
        <f t="shared" si="9"/>
        <v>4.7609100377758118E-2</v>
      </c>
      <c r="K43" s="540">
        <f t="shared" si="9"/>
        <v>3.5267061423635671E-2</v>
      </c>
      <c r="L43" s="540">
        <f t="shared" si="9"/>
        <v>1.9723957555982885E-2</v>
      </c>
      <c r="M43" s="540">
        <f t="shared" si="9"/>
        <v>2.5170062811973759E-2</v>
      </c>
      <c r="T43">
        <f t="shared" si="6"/>
        <v>2039</v>
      </c>
      <c r="U43" s="53">
        <f t="shared" ref="U43:AE44" ca="1" si="11">OFFSET($C$1,U$8+$T43-2006,$U$3)</f>
        <v>172.70897152802769</v>
      </c>
      <c r="V43" s="53">
        <f t="shared" ca="1" si="11"/>
        <v>455.48085946575657</v>
      </c>
      <c r="W43" s="53">
        <f t="shared" ca="1" si="11"/>
        <v>67.835106256366885</v>
      </c>
      <c r="X43" s="53">
        <f t="shared" ca="1" si="11"/>
        <v>51.187733203060652</v>
      </c>
      <c r="Y43" s="53">
        <f t="shared" ca="1" si="11"/>
        <v>15.963511640546521</v>
      </c>
      <c r="Z43" s="53">
        <f t="shared" ca="1" si="11"/>
        <v>192.69087769767259</v>
      </c>
      <c r="AA43" s="53">
        <f t="shared" ca="1" si="11"/>
        <v>46.929250625343194</v>
      </c>
      <c r="AB43" s="53">
        <f t="shared" ca="1" si="11"/>
        <v>196.6438804351144</v>
      </c>
      <c r="AC43" s="53">
        <f t="shared" ca="1" si="11"/>
        <v>737.22566586211997</v>
      </c>
      <c r="AD43" s="53">
        <f t="shared" ca="1" si="11"/>
        <v>3810.2727626379715</v>
      </c>
      <c r="AE43" s="53">
        <f t="shared" ca="1" si="11"/>
        <v>338.6250926186126</v>
      </c>
      <c r="AG43" s="75">
        <f t="shared" ca="1" si="4"/>
        <v>0.62611664966106317</v>
      </c>
    </row>
    <row r="44" spans="1:33" x14ac:dyDescent="0.25">
      <c r="B44" s="87">
        <f t="shared" si="7"/>
        <v>2040</v>
      </c>
      <c r="C44">
        <v>3576.292440549505</v>
      </c>
      <c r="D44">
        <v>8159.0038752649298</v>
      </c>
      <c r="E44">
        <v>7999.1433416400678</v>
      </c>
      <c r="F44">
        <v>4239.0439755736879</v>
      </c>
      <c r="G44">
        <v>6406.6094070572726</v>
      </c>
      <c r="I44">
        <f t="shared" si="8"/>
        <v>2040</v>
      </c>
      <c r="J44" s="540">
        <f t="shared" si="9"/>
        <v>4.7472209718860459E-2</v>
      </c>
      <c r="K44" s="540">
        <f t="shared" si="9"/>
        <v>3.4660040766498756E-2</v>
      </c>
      <c r="L44" s="540">
        <f t="shared" si="9"/>
        <v>1.9284585623083883E-2</v>
      </c>
      <c r="M44" s="540">
        <f t="shared" si="9"/>
        <v>2.4342321340319106E-2</v>
      </c>
      <c r="T44">
        <f t="shared" si="6"/>
        <v>2040</v>
      </c>
      <c r="U44" s="53">
        <f t="shared" ca="1" si="11"/>
        <v>177.46445815642164</v>
      </c>
      <c r="V44" s="53">
        <f t="shared" ca="1" si="11"/>
        <v>470.89106448135766</v>
      </c>
      <c r="W44" s="53">
        <f t="shared" ca="1" si="11"/>
        <v>69.913347821365591</v>
      </c>
      <c r="X44" s="53">
        <f t="shared" ca="1" si="11"/>
        <v>52.733244530146678</v>
      </c>
      <c r="Y44" s="53">
        <f t="shared" ca="1" si="11"/>
        <v>16.736477444423045</v>
      </c>
      <c r="Z44" s="53">
        <f t="shared" ca="1" si="11"/>
        <v>197.70891452162715</v>
      </c>
      <c r="AA44" s="53">
        <f t="shared" ca="1" si="11"/>
        <v>48.065991412903479</v>
      </c>
      <c r="AB44" s="53">
        <f t="shared" ca="1" si="11"/>
        <v>202.11712051314933</v>
      </c>
      <c r="AC44" s="53">
        <f t="shared" ca="1" si="11"/>
        <v>759.85460602587011</v>
      </c>
      <c r="AD44" s="53">
        <f t="shared" ca="1" si="11"/>
        <v>3893.8815773441993</v>
      </c>
      <c r="AE44" s="53">
        <f t="shared" ca="1" si="11"/>
        <v>345.48768343681417</v>
      </c>
      <c r="AG44" s="75">
        <f ca="1">AD44/SUM(U44:AE44)</f>
        <v>0.62453447570947529</v>
      </c>
    </row>
    <row r="45" spans="1:33" x14ac:dyDescent="0.25">
      <c r="B45" s="87"/>
      <c r="C45">
        <v>9.9999999999999995E-7</v>
      </c>
      <c r="D45">
        <v>9.9999999999999995E-7</v>
      </c>
      <c r="E45">
        <v>9.9999999999999995E-7</v>
      </c>
      <c r="F45">
        <v>9.9999999999999995E-7</v>
      </c>
      <c r="G45">
        <v>9.9999999999999995E-7</v>
      </c>
      <c r="T45">
        <v>2050</v>
      </c>
      <c r="U45" s="53">
        <f ca="1">FORECAST($T$45,U39:U44,$T$39:$T$44)</f>
        <v>225.17443349240784</v>
      </c>
      <c r="V45" s="53">
        <f t="shared" ref="V45:AE45" ca="1" si="12">FORECAST($T$45,V39:V44,$T$39:$T$44)</f>
        <v>618.32828297681408</v>
      </c>
      <c r="W45" s="53">
        <f t="shared" ca="1" si="12"/>
        <v>91.546913704910367</v>
      </c>
      <c r="X45" s="53">
        <f t="shared" ca="1" si="12"/>
        <v>68.409445598955244</v>
      </c>
      <c r="Y45" s="53">
        <f t="shared" ca="1" si="12"/>
        <v>23.689964432581291</v>
      </c>
      <c r="Z45" s="53">
        <f t="shared" ca="1" si="12"/>
        <v>249.42103649521414</v>
      </c>
      <c r="AA45" s="53">
        <f t="shared" ca="1" si="12"/>
        <v>60.036904213864545</v>
      </c>
      <c r="AB45" s="53">
        <f t="shared" ca="1" si="12"/>
        <v>256.91352596087017</v>
      </c>
      <c r="AC45" s="53">
        <f t="shared" ca="1" si="12"/>
        <v>985.20356041963532</v>
      </c>
      <c r="AD45" s="53">
        <f t="shared" ca="1" si="12"/>
        <v>4742.8898782847682</v>
      </c>
      <c r="AE45" s="53">
        <f t="shared" ca="1" si="12"/>
        <v>415.90973724903233</v>
      </c>
    </row>
    <row r="46" spans="1:33" x14ac:dyDescent="0.25">
      <c r="A46" t="s">
        <v>1485</v>
      </c>
      <c r="B46" s="87" t="str">
        <f>MID(A46,5,LEN(A46)-5)</f>
        <v xml:space="preserve">Agriculture                                           </v>
      </c>
      <c r="C46">
        <v>9.9999999999999995E-7</v>
      </c>
      <c r="D46">
        <v>9.9999999999999995E-7</v>
      </c>
      <c r="E46">
        <v>9.9999999999999995E-7</v>
      </c>
      <c r="F46">
        <v>9.9999999999999995E-7</v>
      </c>
      <c r="G46">
        <v>9.9999999999999995E-7</v>
      </c>
      <c r="U46" s="53"/>
      <c r="V46" s="53"/>
      <c r="W46" s="53"/>
      <c r="X46" s="53"/>
      <c r="Y46" s="53"/>
      <c r="Z46" s="53"/>
      <c r="AA46" s="53"/>
      <c r="AB46" s="53"/>
      <c r="AC46" s="53"/>
      <c r="AD46" s="53"/>
      <c r="AE46" s="53"/>
    </row>
    <row r="47" spans="1:33" x14ac:dyDescent="0.25">
      <c r="A47" t="s">
        <v>1486</v>
      </c>
      <c r="B47" s="87"/>
      <c r="C47" s="87" t="s">
        <v>1470</v>
      </c>
      <c r="D47" s="87" t="s">
        <v>1481</v>
      </c>
      <c r="E47" s="87" t="s">
        <v>1482</v>
      </c>
      <c r="F47" s="87" t="s">
        <v>1483</v>
      </c>
      <c r="G47" s="87" t="s">
        <v>1484</v>
      </c>
      <c r="V47" s="53"/>
      <c r="W47" s="53"/>
      <c r="X47" s="53"/>
      <c r="Y47" s="53"/>
      <c r="Z47" s="53"/>
      <c r="AA47" s="53"/>
      <c r="AB47" s="53"/>
      <c r="AC47" s="53"/>
      <c r="AD47" s="53"/>
      <c r="AE47" s="53"/>
    </row>
    <row r="48" spans="1:33" x14ac:dyDescent="0.25">
      <c r="B48" s="87" t="s">
        <v>1487</v>
      </c>
      <c r="C48">
        <v>54.885625052333317</v>
      </c>
      <c r="D48">
        <v>54.885625052333317</v>
      </c>
      <c r="E48">
        <v>54.885625052333317</v>
      </c>
      <c r="F48">
        <v>54.885625052333317</v>
      </c>
      <c r="G48">
        <v>54.885625052333317</v>
      </c>
      <c r="U48" s="53" t="str">
        <f t="shared" ref="U48:AE48" si="13">U9</f>
        <v xml:space="preserve">Agriculture                                           </v>
      </c>
      <c r="V48" s="53" t="str">
        <f t="shared" si="13"/>
        <v xml:space="preserve">Mining                                     </v>
      </c>
      <c r="W48" s="53" t="str">
        <f t="shared" si="13"/>
        <v xml:space="preserve">Iron and Steel                             </v>
      </c>
      <c r="X48" s="53" t="str">
        <f t="shared" si="13"/>
        <v xml:space="preserve">Non Metallic Minerals                      </v>
      </c>
      <c r="Y48" s="53" t="str">
        <f t="shared" si="13"/>
        <v xml:space="preserve">Non Ferous Metals                          </v>
      </c>
      <c r="Z48" s="53" t="str">
        <f t="shared" si="13"/>
        <v xml:space="preserve">Chemicals                                  </v>
      </c>
      <c r="AA48" s="53" t="str">
        <f t="shared" si="13"/>
        <v xml:space="preserve">Pulp and Paper                             </v>
      </c>
      <c r="AB48" s="53" t="str">
        <f t="shared" si="13"/>
        <v xml:space="preserve">Food and Beverages                         </v>
      </c>
      <c r="AC48" s="53" t="str">
        <f t="shared" si="13"/>
        <v xml:space="preserve">Other                                      </v>
      </c>
      <c r="AD48" s="53" t="str">
        <f t="shared" si="13"/>
        <v xml:space="preserve">Commerce                                              </v>
      </c>
      <c r="AE48" s="53" t="str">
        <f t="shared" si="13"/>
        <v xml:space="preserve">Freight                                               </v>
      </c>
    </row>
    <row r="49" spans="2:31" x14ac:dyDescent="0.25">
      <c r="B49" s="87" t="s">
        <v>1488</v>
      </c>
      <c r="C49">
        <v>55.836280095692501</v>
      </c>
      <c r="D49">
        <v>55.836280095752926</v>
      </c>
      <c r="E49">
        <v>55.83628009576023</v>
      </c>
      <c r="F49">
        <v>55.836280095753402</v>
      </c>
      <c r="G49">
        <v>55.836280093859322</v>
      </c>
      <c r="T49">
        <f>T12</f>
        <v>2008</v>
      </c>
      <c r="U49" s="540">
        <f ca="1">U12/U11-1</f>
        <v>1.732065619403178E-2</v>
      </c>
      <c r="V49" s="540">
        <f t="shared" ref="V49:AE64" ca="1" si="14">V12/V11-1</f>
        <v>2.2275094221400948E-2</v>
      </c>
      <c r="W49" s="540">
        <f t="shared" ca="1" si="14"/>
        <v>-3.5551530658396557E-2</v>
      </c>
      <c r="X49" s="540">
        <f t="shared" ca="1" si="14"/>
        <v>1.7101800414758284E-2</v>
      </c>
      <c r="Y49" s="540">
        <f t="shared" ca="1" si="14"/>
        <v>-9.2946999686289722E-3</v>
      </c>
      <c r="Z49" s="540">
        <f t="shared" ca="1" si="14"/>
        <v>1.9235005865878785E-2</v>
      </c>
      <c r="AA49" s="540">
        <f t="shared" ca="1" si="14"/>
        <v>2.8463677439999557E-2</v>
      </c>
      <c r="AB49" s="540">
        <f t="shared" ca="1" si="14"/>
        <v>2.5865131841831035E-2</v>
      </c>
      <c r="AC49" s="540">
        <f t="shared" ca="1" si="14"/>
        <v>2.705872763621775E-2</v>
      </c>
      <c r="AD49" s="540">
        <f t="shared" ca="1" si="14"/>
        <v>2.5874360513920447E-2</v>
      </c>
      <c r="AE49" s="540">
        <f t="shared" ca="1" si="14"/>
        <v>2.6017362099409302E-2</v>
      </c>
    </row>
    <row r="50" spans="2:31" x14ac:dyDescent="0.25">
      <c r="B50" s="87" t="s">
        <v>1489</v>
      </c>
      <c r="C50">
        <v>56.891813323723142</v>
      </c>
      <c r="D50">
        <v>56.893282417787347</v>
      </c>
      <c r="E50">
        <v>56.894122045551249</v>
      </c>
      <c r="F50">
        <v>56.892107851263432</v>
      </c>
      <c r="G50">
        <v>56.893509990421705</v>
      </c>
      <c r="T50">
        <f t="shared" ref="T50:T81" si="15">T13</f>
        <v>2009</v>
      </c>
      <c r="U50" s="540">
        <f t="shared" ref="U50:AE65" ca="1" si="16">U13/U12-1</f>
        <v>1.8934461514721335E-2</v>
      </c>
      <c r="V50" s="540">
        <f t="shared" ca="1" si="16"/>
        <v>2.1310173134681198E-2</v>
      </c>
      <c r="W50" s="540">
        <f t="shared" ca="1" si="16"/>
        <v>-4.0462709546683961E-2</v>
      </c>
      <c r="X50" s="540">
        <f t="shared" ca="1" si="16"/>
        <v>1.8744527678783873E-2</v>
      </c>
      <c r="Y50" s="540">
        <f t="shared" ca="1" si="14"/>
        <v>-2.6459350669838844E-2</v>
      </c>
      <c r="Z50" s="540">
        <f t="shared" ca="1" si="16"/>
        <v>1.7714996617715251E-2</v>
      </c>
      <c r="AA50" s="540">
        <f t="shared" ca="1" si="16"/>
        <v>2.9310652746127097E-2</v>
      </c>
      <c r="AB50" s="540">
        <f t="shared" ca="1" si="16"/>
        <v>2.8472704062632692E-2</v>
      </c>
      <c r="AC50" s="540">
        <f t="shared" ca="1" si="16"/>
        <v>2.7363112434767967E-2</v>
      </c>
      <c r="AD50" s="540">
        <f t="shared" ca="1" si="16"/>
        <v>2.5443577873355494E-2</v>
      </c>
      <c r="AE50" s="540">
        <f t="shared" ca="1" si="16"/>
        <v>2.6015571288359851E-2</v>
      </c>
    </row>
    <row r="51" spans="2:31" x14ac:dyDescent="0.25">
      <c r="B51" s="87" t="s">
        <v>1490</v>
      </c>
      <c r="C51">
        <v>57.995424131366363</v>
      </c>
      <c r="D51">
        <v>57.998951735917259</v>
      </c>
      <c r="E51">
        <v>58.000945927152586</v>
      </c>
      <c r="F51">
        <v>57.99613529041887</v>
      </c>
      <c r="G51">
        <v>57.999493815336855</v>
      </c>
      <c r="T51">
        <f t="shared" si="15"/>
        <v>2010</v>
      </c>
      <c r="U51" s="540">
        <f t="shared" ca="1" si="16"/>
        <v>1.9439542842432322E-2</v>
      </c>
      <c r="V51" s="540">
        <f t="shared" ca="1" si="16"/>
        <v>2.2726682477385074E-2</v>
      </c>
      <c r="W51" s="540">
        <f t="shared" ca="1" si="16"/>
        <v>-4.0982158724216844E-2</v>
      </c>
      <c r="X51" s="540">
        <f t="shared" ca="1" si="16"/>
        <v>1.9523057262980981E-2</v>
      </c>
      <c r="Y51" s="540">
        <f t="shared" ca="1" si="14"/>
        <v>-3.9372740980218035E-2</v>
      </c>
      <c r="Z51" s="540">
        <f t="shared" ca="1" si="16"/>
        <v>1.7309736008382037E-2</v>
      </c>
      <c r="AA51" s="540">
        <f t="shared" ca="1" si="16"/>
        <v>2.870693386705736E-2</v>
      </c>
      <c r="AB51" s="540">
        <f t="shared" ca="1" si="16"/>
        <v>2.6425669069413349E-2</v>
      </c>
      <c r="AC51" s="540">
        <f t="shared" ca="1" si="16"/>
        <v>2.6604908063559529E-2</v>
      </c>
      <c r="AD51" s="540">
        <f t="shared" ca="1" si="16"/>
        <v>2.5373856386196714E-2</v>
      </c>
      <c r="AE51" s="540">
        <f t="shared" ca="1" si="16"/>
        <v>2.5687204521031237E-2</v>
      </c>
    </row>
    <row r="52" spans="2:31" x14ac:dyDescent="0.25">
      <c r="B52" s="87" t="s">
        <v>1491</v>
      </c>
      <c r="C52">
        <v>59.179800103848187</v>
      </c>
      <c r="D52">
        <v>59.185888830591374</v>
      </c>
      <c r="E52">
        <v>59.189318462859916</v>
      </c>
      <c r="F52">
        <v>59.181029856693023</v>
      </c>
      <c r="G52">
        <v>59.186821979275607</v>
      </c>
      <c r="T52">
        <f t="shared" si="15"/>
        <v>2011</v>
      </c>
      <c r="U52" s="540">
        <f t="shared" ca="1" si="16"/>
        <v>2.0471353900415989E-2</v>
      </c>
      <c r="V52" s="540">
        <f t="shared" ca="1" si="16"/>
        <v>2.2229557322140936E-2</v>
      </c>
      <c r="W52" s="540">
        <f t="shared" ca="1" si="16"/>
        <v>-4.7198780793359596E-2</v>
      </c>
      <c r="X52" s="540">
        <f t="shared" ca="1" si="16"/>
        <v>2.0428191585498245E-2</v>
      </c>
      <c r="Y52" s="540">
        <f t="shared" ca="1" si="14"/>
        <v>-5.8074496973990142E-2</v>
      </c>
      <c r="Z52" s="540">
        <f t="shared" ca="1" si="16"/>
        <v>1.5094838031935787E-2</v>
      </c>
      <c r="AA52" s="540">
        <f t="shared" ca="1" si="16"/>
        <v>2.8752353333914238E-2</v>
      </c>
      <c r="AB52" s="540">
        <f t="shared" ca="1" si="16"/>
        <v>2.7406885207313048E-2</v>
      </c>
      <c r="AC52" s="540">
        <f t="shared" ca="1" si="16"/>
        <v>2.6525844692214751E-2</v>
      </c>
      <c r="AD52" s="540">
        <f t="shared" ca="1" si="16"/>
        <v>2.5122928972262537E-2</v>
      </c>
      <c r="AE52" s="540">
        <f t="shared" ca="1" si="16"/>
        <v>2.5807475176718331E-2</v>
      </c>
    </row>
    <row r="53" spans="2:31" x14ac:dyDescent="0.25">
      <c r="B53" s="87" t="s">
        <v>1492</v>
      </c>
      <c r="C53">
        <v>60.285890947924223</v>
      </c>
      <c r="D53">
        <v>60.29522421430265</v>
      </c>
      <c r="E53">
        <v>60.301303066132348</v>
      </c>
      <c r="F53">
        <v>60.288608087549008</v>
      </c>
      <c r="G53">
        <v>60.296653004672905</v>
      </c>
      <c r="T53">
        <f t="shared" si="15"/>
        <v>2012</v>
      </c>
      <c r="U53" s="540">
        <f t="shared" ca="1" si="16"/>
        <v>1.875131977496447E-2</v>
      </c>
      <c r="V53" s="540">
        <f t="shared" ca="1" si="16"/>
        <v>2.4315206772269615E-2</v>
      </c>
      <c r="W53" s="540">
        <f t="shared" ca="1" si="16"/>
        <v>-3.7095935998176288E-2</v>
      </c>
      <c r="X53" s="540">
        <f t="shared" ca="1" si="16"/>
        <v>1.9436149978668604E-2</v>
      </c>
      <c r="Y53" s="540">
        <f t="shared" ca="1" si="14"/>
        <v>-6.391541409653323E-2</v>
      </c>
      <c r="Z53" s="540">
        <f t="shared" ca="1" si="16"/>
        <v>1.6656255937491427E-2</v>
      </c>
      <c r="AA53" s="540">
        <f t="shared" ca="1" si="16"/>
        <v>2.7039460430355211E-2</v>
      </c>
      <c r="AB53" s="540">
        <f t="shared" ca="1" si="16"/>
        <v>2.4150816603217828E-2</v>
      </c>
      <c r="AC53" s="540">
        <f t="shared" ca="1" si="16"/>
        <v>2.4678717528847871E-2</v>
      </c>
      <c r="AD53" s="540">
        <f t="shared" ca="1" si="16"/>
        <v>2.4190587490971804E-2</v>
      </c>
      <c r="AE53" s="540">
        <f t="shared" ca="1" si="16"/>
        <v>2.4283622645158376E-2</v>
      </c>
    </row>
    <row r="54" spans="2:31" x14ac:dyDescent="0.25">
      <c r="B54" s="87" t="s">
        <v>1493</v>
      </c>
      <c r="C54">
        <v>61.228567253999813</v>
      </c>
      <c r="D54">
        <v>61.241320559860355</v>
      </c>
      <c r="E54">
        <v>61.248241969401455</v>
      </c>
      <c r="F54">
        <v>61.230900141263227</v>
      </c>
      <c r="G54">
        <v>61.243272243599193</v>
      </c>
      <c r="T54">
        <f t="shared" si="15"/>
        <v>2013</v>
      </c>
      <c r="U54" s="540">
        <f t="shared" ca="1" si="16"/>
        <v>1.5699366245966129E-2</v>
      </c>
      <c r="V54" s="540">
        <f t="shared" ca="1" si="16"/>
        <v>2.3899531716088607E-2</v>
      </c>
      <c r="W54" s="540">
        <f t="shared" ca="1" si="16"/>
        <v>-2.2640910286113369E-2</v>
      </c>
      <c r="X54" s="540">
        <f t="shared" ca="1" si="16"/>
        <v>1.7691233429883324E-2</v>
      </c>
      <c r="Y54" s="540">
        <f t="shared" ca="1" si="14"/>
        <v>-6.185930209103585E-2</v>
      </c>
      <c r="Z54" s="540">
        <f t="shared" ca="1" si="16"/>
        <v>1.8926241479035433E-2</v>
      </c>
      <c r="AA54" s="540">
        <f t="shared" ca="1" si="16"/>
        <v>2.4432560473326426E-2</v>
      </c>
      <c r="AB54" s="540">
        <f t="shared" ca="1" si="16"/>
        <v>1.9405559237640313E-2</v>
      </c>
      <c r="AC54" s="540">
        <f t="shared" ca="1" si="16"/>
        <v>2.214825919847474E-2</v>
      </c>
      <c r="AD54" s="540">
        <f t="shared" ca="1" si="16"/>
        <v>2.2769138529204813E-2</v>
      </c>
      <c r="AE54" s="540">
        <f t="shared" ca="1" si="16"/>
        <v>2.1571635225674957E-2</v>
      </c>
    </row>
    <row r="55" spans="2:31" x14ac:dyDescent="0.25">
      <c r="B55" s="87" t="s">
        <v>1494</v>
      </c>
      <c r="C55">
        <v>62.111905474852023</v>
      </c>
      <c r="D55">
        <v>62.516963381406534</v>
      </c>
      <c r="E55">
        <v>63.087080916745379</v>
      </c>
      <c r="F55">
        <v>62.185025340599068</v>
      </c>
      <c r="G55">
        <v>63.227632747772596</v>
      </c>
      <c r="T55">
        <f t="shared" si="15"/>
        <v>2014</v>
      </c>
      <c r="U55" s="540">
        <f t="shared" ca="1" si="16"/>
        <v>3.2401281503713131E-2</v>
      </c>
      <c r="V55" s="540">
        <f t="shared" ca="1" si="16"/>
        <v>3.6700492070441459E-2</v>
      </c>
      <c r="W55" s="540">
        <f t="shared" ca="1" si="16"/>
        <v>2.674113139722567E-2</v>
      </c>
      <c r="X55" s="540">
        <f t="shared" ca="1" si="16"/>
        <v>6.1710115076351713E-2</v>
      </c>
      <c r="Y55" s="540">
        <f t="shared" ca="1" si="14"/>
        <v>-2.4676246350682884E-2</v>
      </c>
      <c r="Z55" s="540">
        <f t="shared" ca="1" si="16"/>
        <v>5.7885683665114263E-2</v>
      </c>
      <c r="AA55" s="540">
        <f t="shared" ca="1" si="16"/>
        <v>6.5633381565102678E-2</v>
      </c>
      <c r="AB55" s="540">
        <f t="shared" ca="1" si="16"/>
        <v>4.9918605679159178E-2</v>
      </c>
      <c r="AC55" s="540">
        <f t="shared" ca="1" si="16"/>
        <v>6.3687811719813414E-2</v>
      </c>
      <c r="AD55" s="540">
        <f t="shared" ca="1" si="16"/>
        <v>5.9399836265396688E-2</v>
      </c>
      <c r="AE55" s="540">
        <f t="shared" ca="1" si="16"/>
        <v>5.9611263635323875E-2</v>
      </c>
    </row>
    <row r="56" spans="2:31" x14ac:dyDescent="0.25">
      <c r="B56" s="87" t="s">
        <v>1495</v>
      </c>
      <c r="C56">
        <v>63.04250223499821</v>
      </c>
      <c r="D56">
        <v>63.985248660329987</v>
      </c>
      <c r="E56">
        <v>65.200638257174276</v>
      </c>
      <c r="F56">
        <v>63.241943587017545</v>
      </c>
      <c r="G56">
        <v>65.486142003585286</v>
      </c>
      <c r="T56">
        <f t="shared" si="15"/>
        <v>2015</v>
      </c>
      <c r="U56" s="540">
        <f t="shared" ca="1" si="16"/>
        <v>3.5720288071235062E-2</v>
      </c>
      <c r="V56" s="540">
        <f t="shared" ca="1" si="16"/>
        <v>3.1409920570595107E-2</v>
      </c>
      <c r="W56" s="540">
        <f t="shared" ca="1" si="16"/>
        <v>5.0116519752423372E-2</v>
      </c>
      <c r="X56" s="540">
        <f t="shared" ca="1" si="16"/>
        <v>6.3786916490631729E-2</v>
      </c>
      <c r="Y56" s="540">
        <f t="shared" ca="1" si="14"/>
        <v>-9.8702736402628277E-3</v>
      </c>
      <c r="Z56" s="540">
        <f t="shared" ca="1" si="16"/>
        <v>6.0524109193331288E-2</v>
      </c>
      <c r="AA56" s="540">
        <f t="shared" ca="1" si="16"/>
        <v>6.7220328991236977E-2</v>
      </c>
      <c r="AB56" s="540">
        <f t="shared" ca="1" si="16"/>
        <v>5.2400184270995354E-2</v>
      </c>
      <c r="AC56" s="540">
        <f t="shared" ca="1" si="16"/>
        <v>6.489907916700477E-2</v>
      </c>
      <c r="AD56" s="540">
        <f t="shared" ca="1" si="16"/>
        <v>6.1602944079468536E-2</v>
      </c>
      <c r="AE56" s="540">
        <f t="shared" ca="1" si="16"/>
        <v>6.0667925816630053E-2</v>
      </c>
    </row>
    <row r="57" spans="2:31" x14ac:dyDescent="0.25">
      <c r="B57" s="87" t="s">
        <v>1496</v>
      </c>
      <c r="C57">
        <v>64.034921185815307</v>
      </c>
      <c r="D57">
        <v>65.693293162026364</v>
      </c>
      <c r="E57">
        <v>67.641573716048342</v>
      </c>
      <c r="F57">
        <v>64.4594922964164</v>
      </c>
      <c r="G57">
        <v>68.025520986468763</v>
      </c>
      <c r="T57">
        <f t="shared" si="15"/>
        <v>2016</v>
      </c>
      <c r="U57" s="540">
        <f t="shared" ca="1" si="16"/>
        <v>3.8777348996134942E-2</v>
      </c>
      <c r="V57" s="540">
        <f t="shared" ca="1" si="16"/>
        <v>3.5871230458720538E-2</v>
      </c>
      <c r="W57" s="540">
        <f t="shared" ca="1" si="16"/>
        <v>5.9785270072131746E-2</v>
      </c>
      <c r="X57" s="540">
        <f t="shared" ca="1" si="16"/>
        <v>6.5972878409933378E-2</v>
      </c>
      <c r="Y57" s="540">
        <f t="shared" ca="1" si="14"/>
        <v>-2.4297113140888671E-3</v>
      </c>
      <c r="Z57" s="540">
        <f t="shared" ca="1" si="16"/>
        <v>6.4774918206186749E-2</v>
      </c>
      <c r="AA57" s="540">
        <f t="shared" ca="1" si="16"/>
        <v>6.980708407000602E-2</v>
      </c>
      <c r="AB57" s="540">
        <f t="shared" ca="1" si="16"/>
        <v>5.281517232052213E-2</v>
      </c>
      <c r="AC57" s="540">
        <f t="shared" ca="1" si="16"/>
        <v>6.6503672110345358E-2</v>
      </c>
      <c r="AD57" s="540">
        <f t="shared" ca="1" si="16"/>
        <v>6.3534350907513248E-2</v>
      </c>
      <c r="AE57" s="540">
        <f t="shared" ca="1" si="16"/>
        <v>6.268537827698073E-2</v>
      </c>
    </row>
    <row r="58" spans="2:31" x14ac:dyDescent="0.25">
      <c r="B58" s="87" t="s">
        <v>1497</v>
      </c>
      <c r="C58">
        <v>65.047323090028485</v>
      </c>
      <c r="D58">
        <v>67.590080650369728</v>
      </c>
      <c r="E58">
        <v>70.356170047389099</v>
      </c>
      <c r="F58">
        <v>65.775462035153865</v>
      </c>
      <c r="G58">
        <v>70.833853062340552</v>
      </c>
      <c r="T58">
        <f t="shared" si="15"/>
        <v>2017</v>
      </c>
      <c r="U58" s="540">
        <f t="shared" ca="1" si="16"/>
        <v>4.1283507059510782E-2</v>
      </c>
      <c r="V58" s="540">
        <f t="shared" ca="1" si="16"/>
        <v>3.7723954956047523E-2</v>
      </c>
      <c r="W58" s="540">
        <f t="shared" ca="1" si="16"/>
        <v>6.2388028475745871E-2</v>
      </c>
      <c r="X58" s="540">
        <f t="shared" ca="1" si="16"/>
        <v>6.7335297434736985E-2</v>
      </c>
      <c r="Y58" s="540">
        <f t="shared" ca="1" si="14"/>
        <v>-5.9398732643167751E-4</v>
      </c>
      <c r="Z58" s="540">
        <f t="shared" ca="1" si="16"/>
        <v>6.6464819505055894E-2</v>
      </c>
      <c r="AA58" s="540">
        <f t="shared" ca="1" si="16"/>
        <v>7.1702676643504271E-2</v>
      </c>
      <c r="AB58" s="540">
        <f t="shared" ca="1" si="16"/>
        <v>5.4269147466979861E-2</v>
      </c>
      <c r="AC58" s="540">
        <f t="shared" ca="1" si="16"/>
        <v>6.7957715217898507E-2</v>
      </c>
      <c r="AD58" s="540">
        <f t="shared" ca="1" si="16"/>
        <v>6.4966907126318585E-2</v>
      </c>
      <c r="AE58" s="540">
        <f t="shared" ca="1" si="16"/>
        <v>6.4335009747119809E-2</v>
      </c>
    </row>
    <row r="59" spans="2:31" x14ac:dyDescent="0.25">
      <c r="B59" s="87" t="s">
        <v>1498</v>
      </c>
      <c r="C59">
        <v>66.616845086865951</v>
      </c>
      <c r="D59">
        <v>70.229990101746196</v>
      </c>
      <c r="E59">
        <v>73.856267087634322</v>
      </c>
      <c r="F59">
        <v>67.732253500051499</v>
      </c>
      <c r="G59">
        <v>74.425075820170093</v>
      </c>
      <c r="T59">
        <f t="shared" si="15"/>
        <v>2018</v>
      </c>
      <c r="U59" s="540">
        <f t="shared" ca="1" si="16"/>
        <v>5.0699243406523653E-2</v>
      </c>
      <c r="V59" s="540">
        <f t="shared" ca="1" si="16"/>
        <v>3.7655420321553779E-2</v>
      </c>
      <c r="W59" s="540">
        <f t="shared" ca="1" si="16"/>
        <v>6.2162426824740935E-2</v>
      </c>
      <c r="X59" s="540">
        <f t="shared" ca="1" si="16"/>
        <v>7.5257598868792464E-2</v>
      </c>
      <c r="Y59" s="540">
        <f t="shared" ca="1" si="14"/>
        <v>9.7817447420767145E-4</v>
      </c>
      <c r="Z59" s="540">
        <f t="shared" ca="1" si="16"/>
        <v>6.6560463095660216E-2</v>
      </c>
      <c r="AA59" s="540">
        <f t="shared" ca="1" si="16"/>
        <v>7.3193053716694045E-2</v>
      </c>
      <c r="AB59" s="540">
        <f t="shared" ca="1" si="16"/>
        <v>5.449174669720569E-2</v>
      </c>
      <c r="AC59" s="540">
        <f t="shared" ca="1" si="16"/>
        <v>7.0042531537969133E-2</v>
      </c>
      <c r="AD59" s="540">
        <f t="shared" ca="1" si="16"/>
        <v>6.4879154930614247E-2</v>
      </c>
      <c r="AE59" s="540">
        <f t="shared" ca="1" si="16"/>
        <v>6.6906703175495741E-2</v>
      </c>
    </row>
    <row r="60" spans="2:31" x14ac:dyDescent="0.25">
      <c r="B60" s="87" t="s">
        <v>1499</v>
      </c>
      <c r="C60">
        <v>68.139086177714347</v>
      </c>
      <c r="D60">
        <v>72.748106023369573</v>
      </c>
      <c r="E60">
        <v>77.417490196544364</v>
      </c>
      <c r="F60">
        <v>69.69750156808918</v>
      </c>
      <c r="G60">
        <v>78.229735640567213</v>
      </c>
      <c r="T60">
        <f t="shared" si="15"/>
        <v>2019</v>
      </c>
      <c r="U60" s="540">
        <f t="shared" ca="1" si="16"/>
        <v>5.1120671070462143E-2</v>
      </c>
      <c r="V60" s="540">
        <f t="shared" ca="1" si="16"/>
        <v>3.84000041476944E-2</v>
      </c>
      <c r="W60" s="540">
        <f t="shared" ca="1" si="16"/>
        <v>6.3431144872047485E-2</v>
      </c>
      <c r="X60" s="540">
        <f t="shared" ca="1" si="16"/>
        <v>7.5057399362278732E-2</v>
      </c>
      <c r="Y60" s="540">
        <f t="shared" ca="1" si="14"/>
        <v>2.9655272740292116E-3</v>
      </c>
      <c r="Z60" s="540">
        <f t="shared" ca="1" si="16"/>
        <v>6.758581029960764E-2</v>
      </c>
      <c r="AA60" s="540">
        <f t="shared" ca="1" si="16"/>
        <v>7.4022103761707481E-2</v>
      </c>
      <c r="AB60" s="540">
        <f t="shared" ca="1" si="16"/>
        <v>5.5754059412228552E-2</v>
      </c>
      <c r="AC60" s="540">
        <f t="shared" ca="1" si="16"/>
        <v>7.0647558736938176E-2</v>
      </c>
      <c r="AD60" s="540">
        <f t="shared" ca="1" si="16"/>
        <v>6.5703551428421214E-2</v>
      </c>
      <c r="AE60" s="540">
        <f t="shared" ca="1" si="16"/>
        <v>6.7909885090799538E-2</v>
      </c>
    </row>
    <row r="61" spans="2:31" x14ac:dyDescent="0.25">
      <c r="B61" s="87" t="s">
        <v>1500</v>
      </c>
      <c r="C61">
        <v>69.613579618635512</v>
      </c>
      <c r="D61">
        <v>75.310042074796542</v>
      </c>
      <c r="E61">
        <v>80.959288149888096</v>
      </c>
      <c r="F61">
        <v>71.581030399608807</v>
      </c>
      <c r="G61">
        <v>82.076290334180669</v>
      </c>
      <c r="T61">
        <f t="shared" si="15"/>
        <v>2020</v>
      </c>
      <c r="U61" s="540">
        <f t="shared" ca="1" si="16"/>
        <v>4.9169982003860468E-2</v>
      </c>
      <c r="V61" s="540">
        <f t="shared" ca="1" si="16"/>
        <v>3.8260898464691273E-2</v>
      </c>
      <c r="W61" s="540">
        <f t="shared" ca="1" si="16"/>
        <v>5.994732402638614E-2</v>
      </c>
      <c r="X61" s="540">
        <f t="shared" ca="1" si="16"/>
        <v>6.7479965344394932E-2</v>
      </c>
      <c r="Y61" s="540">
        <f t="shared" ca="1" si="14"/>
        <v>3.7504764745632801E-3</v>
      </c>
      <c r="Z61" s="540">
        <f t="shared" ca="1" si="16"/>
        <v>6.0478551247993728E-2</v>
      </c>
      <c r="AA61" s="540">
        <f t="shared" ca="1" si="16"/>
        <v>6.4892094133002676E-2</v>
      </c>
      <c r="AB61" s="540">
        <f t="shared" ca="1" si="16"/>
        <v>4.9253870324775129E-2</v>
      </c>
      <c r="AC61" s="540">
        <f t="shared" ca="1" si="16"/>
        <v>6.119639790029674E-2</v>
      </c>
      <c r="AD61" s="540">
        <f t="shared" ca="1" si="16"/>
        <v>5.4570698117050176E-2</v>
      </c>
      <c r="AE61" s="540">
        <f t="shared" ca="1" si="16"/>
        <v>5.5379036984361862E-2</v>
      </c>
    </row>
    <row r="62" spans="2:31" x14ac:dyDescent="0.25">
      <c r="B62" s="87" t="s">
        <v>1501</v>
      </c>
      <c r="C62">
        <v>70.996498457297804</v>
      </c>
      <c r="D62">
        <v>77.883234749225863</v>
      </c>
      <c r="E62">
        <v>84.600747796159155</v>
      </c>
      <c r="F62">
        <v>73.394011374931381</v>
      </c>
      <c r="G62">
        <v>86.051214666114149</v>
      </c>
      <c r="T62">
        <f t="shared" si="15"/>
        <v>2021</v>
      </c>
      <c r="U62" s="540">
        <f t="shared" ca="1" si="16"/>
        <v>4.8429629503834004E-2</v>
      </c>
      <c r="V62" s="540">
        <f t="shared" ca="1" si="16"/>
        <v>3.7176171125762103E-2</v>
      </c>
      <c r="W62" s="540">
        <f t="shared" ca="1" si="16"/>
        <v>6.5659508236290964E-2</v>
      </c>
      <c r="X62" s="540">
        <f t="shared" ca="1" si="16"/>
        <v>6.6777835694926457E-2</v>
      </c>
      <c r="Y62" s="540">
        <f t="shared" ca="1" si="14"/>
        <v>1.1390134197882595E-2</v>
      </c>
      <c r="Z62" s="540">
        <f t="shared" ca="1" si="16"/>
        <v>6.1897713021270784E-2</v>
      </c>
      <c r="AA62" s="540">
        <f t="shared" ca="1" si="16"/>
        <v>6.5409513576630829E-2</v>
      </c>
      <c r="AB62" s="540">
        <f t="shared" ca="1" si="16"/>
        <v>4.9213688858889881E-2</v>
      </c>
      <c r="AC62" s="540">
        <f t="shared" ca="1" si="16"/>
        <v>6.1385817084275152E-2</v>
      </c>
      <c r="AD62" s="540">
        <f t="shared" ca="1" si="16"/>
        <v>5.4650361863084918E-2</v>
      </c>
      <c r="AE62" s="540">
        <f t="shared" ca="1" si="16"/>
        <v>5.571123447324422E-2</v>
      </c>
    </row>
    <row r="63" spans="2:31" x14ac:dyDescent="0.25">
      <c r="B63" s="87" t="s">
        <v>1502</v>
      </c>
      <c r="C63">
        <v>72.411911906592024</v>
      </c>
      <c r="D63">
        <v>80.607670754194501</v>
      </c>
      <c r="E63">
        <v>88.375022865361302</v>
      </c>
      <c r="F63">
        <v>75.264490947220764</v>
      </c>
      <c r="G63">
        <v>90.126454303050238</v>
      </c>
      <c r="T63">
        <f t="shared" si="15"/>
        <v>2022</v>
      </c>
      <c r="U63" s="540">
        <f t="shared" ca="1" si="16"/>
        <v>4.7358304618341007E-2</v>
      </c>
      <c r="V63" s="540">
        <f t="shared" ca="1" si="16"/>
        <v>3.8498993421946182E-2</v>
      </c>
      <c r="W63" s="540">
        <f t="shared" ca="1" si="16"/>
        <v>7.0798876403924238E-2</v>
      </c>
      <c r="X63" s="540">
        <f t="shared" ca="1" si="16"/>
        <v>6.5456558706274759E-2</v>
      </c>
      <c r="Y63" s="540">
        <f t="shared" ca="1" si="14"/>
        <v>2.1548872005429098E-2</v>
      </c>
      <c r="Z63" s="540">
        <f t="shared" ca="1" si="16"/>
        <v>6.3456934622355465E-2</v>
      </c>
      <c r="AA63" s="540">
        <f t="shared" ca="1" si="16"/>
        <v>6.4412033229336529E-2</v>
      </c>
      <c r="AB63" s="540">
        <f t="shared" ca="1" si="16"/>
        <v>4.7960809343950084E-2</v>
      </c>
      <c r="AC63" s="540">
        <f t="shared" ca="1" si="16"/>
        <v>6.0926674712506568E-2</v>
      </c>
      <c r="AD63" s="540">
        <f t="shared" ca="1" si="16"/>
        <v>5.4949483472893856E-2</v>
      </c>
      <c r="AE63" s="540">
        <f t="shared" ca="1" si="16"/>
        <v>5.5522466682379257E-2</v>
      </c>
    </row>
    <row r="64" spans="2:31" x14ac:dyDescent="0.25">
      <c r="B64" s="87" t="s">
        <v>1503</v>
      </c>
      <c r="C64">
        <v>73.717073280947218</v>
      </c>
      <c r="D64">
        <v>83.285313977827442</v>
      </c>
      <c r="E64">
        <v>92.349890115842854</v>
      </c>
      <c r="F64">
        <v>77.060228685224999</v>
      </c>
      <c r="G64">
        <v>94.420517749957369</v>
      </c>
      <c r="T64">
        <f t="shared" si="15"/>
        <v>2023</v>
      </c>
      <c r="U64" s="540">
        <f t="shared" ca="1" si="16"/>
        <v>4.7644872752547585E-2</v>
      </c>
      <c r="V64" s="540">
        <f t="shared" ca="1" si="16"/>
        <v>3.8470696872753951E-2</v>
      </c>
      <c r="W64" s="540">
        <f t="shared" ca="1" si="16"/>
        <v>6.6465947576122897E-2</v>
      </c>
      <c r="X64" s="540">
        <f t="shared" ca="1" si="16"/>
        <v>6.4937227362001027E-2</v>
      </c>
      <c r="Y64" s="540">
        <f t="shared" ca="1" si="14"/>
        <v>2.1683661998914028E-2</v>
      </c>
      <c r="Z64" s="540">
        <f t="shared" ca="1" si="16"/>
        <v>6.2017883089431347E-2</v>
      </c>
      <c r="AA64" s="540">
        <f t="shared" ca="1" si="16"/>
        <v>6.4658244200236359E-2</v>
      </c>
      <c r="AB64" s="540">
        <f t="shared" ca="1" si="16"/>
        <v>4.9714121060849603E-2</v>
      </c>
      <c r="AC64" s="540">
        <f t="shared" ca="1" si="16"/>
        <v>6.1450985875952435E-2</v>
      </c>
      <c r="AD64" s="540">
        <f t="shared" ca="1" si="16"/>
        <v>5.5274663970557469E-2</v>
      </c>
      <c r="AE64" s="540">
        <f t="shared" ca="1" si="16"/>
        <v>5.6303939839299488E-2</v>
      </c>
    </row>
    <row r="65" spans="2:31" x14ac:dyDescent="0.25">
      <c r="B65" s="87" t="s">
        <v>1504</v>
      </c>
      <c r="C65">
        <v>75.036785351986921</v>
      </c>
      <c r="D65">
        <v>85.927944426801147</v>
      </c>
      <c r="E65">
        <v>96.530777142442489</v>
      </c>
      <c r="F65">
        <v>78.863474111329367</v>
      </c>
      <c r="G65">
        <v>98.785350560339964</v>
      </c>
      <c r="T65">
        <f t="shared" si="15"/>
        <v>2024</v>
      </c>
      <c r="U65" s="540">
        <f t="shared" ca="1" si="16"/>
        <v>4.6227588181008139E-2</v>
      </c>
      <c r="V65" s="540">
        <f t="shared" ca="1" si="16"/>
        <v>3.3847108282960781E-2</v>
      </c>
      <c r="W65" s="540">
        <f t="shared" ca="1" si="16"/>
        <v>5.1766990535606627E-2</v>
      </c>
      <c r="X65" s="540">
        <f t="shared" ca="1" si="16"/>
        <v>5.8124047852563754E-2</v>
      </c>
      <c r="Y65" s="540">
        <f t="shared" ca="1" si="16"/>
        <v>1.113296365175187E-2</v>
      </c>
      <c r="Z65" s="540">
        <f t="shared" ca="1" si="16"/>
        <v>5.2422829789847247E-2</v>
      </c>
      <c r="AA65" s="540">
        <f t="shared" ca="1" si="16"/>
        <v>5.6846122613250394E-2</v>
      </c>
      <c r="AB65" s="540">
        <f t="shared" ca="1" si="16"/>
        <v>4.6048146773518761E-2</v>
      </c>
      <c r="AC65" s="540">
        <f t="shared" ca="1" si="16"/>
        <v>5.4882916368596657E-2</v>
      </c>
      <c r="AD65" s="540">
        <f t="shared" ca="1" si="16"/>
        <v>4.8122029409221057E-2</v>
      </c>
      <c r="AE65" s="540">
        <f t="shared" ca="1" si="16"/>
        <v>4.8024129727579856E-2</v>
      </c>
    </row>
    <row r="66" spans="2:31" x14ac:dyDescent="0.25">
      <c r="B66" s="87" t="s">
        <v>1505</v>
      </c>
      <c r="C66">
        <v>76.370605902437248</v>
      </c>
      <c r="D66">
        <v>88.528233747123238</v>
      </c>
      <c r="E66">
        <v>100.91527731993756</v>
      </c>
      <c r="F66">
        <v>80.679574170429021</v>
      </c>
      <c r="G66">
        <v>103.33086729776115</v>
      </c>
      <c r="T66">
        <f t="shared" si="15"/>
        <v>2025</v>
      </c>
      <c r="U66" s="540">
        <f t="shared" ref="U66:AE81" ca="1" si="17">U29/U28-1</f>
        <v>4.6014077103919249E-2</v>
      </c>
      <c r="V66" s="540">
        <f t="shared" ca="1" si="17"/>
        <v>3.4093247625509804E-2</v>
      </c>
      <c r="W66" s="540">
        <f t="shared" ca="1" si="17"/>
        <v>5.2555641172753687E-2</v>
      </c>
      <c r="X66" s="540">
        <f t="shared" ca="1" si="17"/>
        <v>5.7811336191586848E-2</v>
      </c>
      <c r="Y66" s="540">
        <f t="shared" ca="1" si="17"/>
        <v>1.266485929684924E-2</v>
      </c>
      <c r="Z66" s="540">
        <f t="shared" ca="1" si="17"/>
        <v>5.2642505074609103E-2</v>
      </c>
      <c r="AA66" s="540">
        <f t="shared" ca="1" si="17"/>
        <v>5.6326397928189831E-2</v>
      </c>
      <c r="AB66" s="540">
        <f t="shared" ca="1" si="17"/>
        <v>4.6037625762289203E-2</v>
      </c>
      <c r="AC66" s="540">
        <f t="shared" ca="1" si="17"/>
        <v>5.4984210489840146E-2</v>
      </c>
      <c r="AD66" s="540">
        <f t="shared" ca="1" si="17"/>
        <v>4.8636768034894251E-2</v>
      </c>
      <c r="AE66" s="540">
        <f t="shared" ca="1" si="17"/>
        <v>4.8446123301821409E-2</v>
      </c>
    </row>
    <row r="67" spans="2:31" x14ac:dyDescent="0.25">
      <c r="B67" s="87" t="s">
        <v>1506</v>
      </c>
      <c r="C67">
        <v>77.757156425328063</v>
      </c>
      <c r="D67">
        <v>91.237629027346216</v>
      </c>
      <c r="E67">
        <v>105.69266833032215</v>
      </c>
      <c r="F67">
        <v>82.503144986181837</v>
      </c>
      <c r="G67">
        <v>108.13531987732679</v>
      </c>
      <c r="T67">
        <f t="shared" si="15"/>
        <v>2026</v>
      </c>
      <c r="U67" s="540">
        <f t="shared" ca="1" si="17"/>
        <v>4.6495811998954695E-2</v>
      </c>
      <c r="V67" s="540">
        <f t="shared" ca="1" si="17"/>
        <v>3.8227605193404512E-2</v>
      </c>
      <c r="W67" s="540">
        <f t="shared" ca="1" si="17"/>
        <v>5.7637257156127442E-2</v>
      </c>
      <c r="X67" s="540">
        <f t="shared" ca="1" si="17"/>
        <v>5.8074960626540495E-2</v>
      </c>
      <c r="Y67" s="540">
        <f t="shared" ca="1" si="17"/>
        <v>2.0371164646317608E-2</v>
      </c>
      <c r="Z67" s="540">
        <f t="shared" ca="1" si="17"/>
        <v>5.4690894180058125E-2</v>
      </c>
      <c r="AA67" s="540">
        <f t="shared" ca="1" si="17"/>
        <v>5.6787712227542197E-2</v>
      </c>
      <c r="AB67" s="540">
        <f t="shared" ca="1" si="17"/>
        <v>4.5876127852039872E-2</v>
      </c>
      <c r="AC67" s="540">
        <f t="shared" ca="1" si="17"/>
        <v>5.53268707837411E-2</v>
      </c>
      <c r="AD67" s="540">
        <f t="shared" ca="1" si="17"/>
        <v>4.9595597651473033E-2</v>
      </c>
      <c r="AE67" s="540">
        <f t="shared" ca="1" si="17"/>
        <v>4.9462636410610772E-2</v>
      </c>
    </row>
    <row r="68" spans="2:31" x14ac:dyDescent="0.25">
      <c r="B68" s="87" t="s">
        <v>1507</v>
      </c>
      <c r="C68">
        <v>79.096111037797257</v>
      </c>
      <c r="D68">
        <v>94.146590592062736</v>
      </c>
      <c r="E68">
        <v>110.91444658418189</v>
      </c>
      <c r="F68">
        <v>84.371031821650064</v>
      </c>
      <c r="G68">
        <v>113.29202067319231</v>
      </c>
      <c r="T68">
        <f t="shared" si="15"/>
        <v>2027</v>
      </c>
      <c r="U68" s="540">
        <f t="shared" ca="1" si="17"/>
        <v>4.7687479000529054E-2</v>
      </c>
      <c r="V68" s="540">
        <f t="shared" ca="1" si="17"/>
        <v>4.0002793399649628E-2</v>
      </c>
      <c r="W68" s="540">
        <f t="shared" ca="1" si="17"/>
        <v>5.8899735884966331E-2</v>
      </c>
      <c r="X68" s="540">
        <f t="shared" ca="1" si="17"/>
        <v>5.8947748943507072E-2</v>
      </c>
      <c r="Y68" s="540">
        <f t="shared" ca="1" si="17"/>
        <v>2.4290310748514621E-2</v>
      </c>
      <c r="Z68" s="540">
        <f t="shared" ca="1" si="17"/>
        <v>5.5770079843807885E-2</v>
      </c>
      <c r="AA68" s="540">
        <f t="shared" ca="1" si="17"/>
        <v>5.7826435683422384E-2</v>
      </c>
      <c r="AB68" s="540">
        <f t="shared" ca="1" si="17"/>
        <v>4.7391205775024314E-2</v>
      </c>
      <c r="AC68" s="540">
        <f t="shared" ca="1" si="17"/>
        <v>5.6630971865581969E-2</v>
      </c>
      <c r="AD68" s="540">
        <f t="shared" ca="1" si="17"/>
        <v>5.0934081550929378E-2</v>
      </c>
      <c r="AE68" s="540">
        <f t="shared" ca="1" si="17"/>
        <v>5.0968499731458117E-2</v>
      </c>
    </row>
    <row r="69" spans="2:31" x14ac:dyDescent="0.25">
      <c r="B69" s="87" t="s">
        <v>1508</v>
      </c>
      <c r="C69">
        <v>80.379650992660203</v>
      </c>
      <c r="D69">
        <v>97.319637224176148</v>
      </c>
      <c r="E69">
        <v>116.64681362571355</v>
      </c>
      <c r="F69">
        <v>86.330569458994717</v>
      </c>
      <c r="G69">
        <v>118.86381359389219</v>
      </c>
      <c r="T69">
        <f t="shared" si="15"/>
        <v>2028</v>
      </c>
      <c r="U69" s="540">
        <f t="shared" ca="1" si="17"/>
        <v>4.9180806270306965E-2</v>
      </c>
      <c r="V69" s="540">
        <f t="shared" ca="1" si="17"/>
        <v>4.1588819680318023E-2</v>
      </c>
      <c r="W69" s="540">
        <f t="shared" ca="1" si="17"/>
        <v>5.9351399556448303E-2</v>
      </c>
      <c r="X69" s="540">
        <f t="shared" ca="1" si="17"/>
        <v>6.0091977780146077E-2</v>
      </c>
      <c r="Y69" s="540">
        <f t="shared" ca="1" si="17"/>
        <v>2.678041918844043E-2</v>
      </c>
      <c r="Z69" s="540">
        <f t="shared" ca="1" si="17"/>
        <v>5.6794447563145889E-2</v>
      </c>
      <c r="AA69" s="540">
        <f t="shared" ca="1" si="17"/>
        <v>5.9159234246899395E-2</v>
      </c>
      <c r="AB69" s="540">
        <f t="shared" ca="1" si="17"/>
        <v>5.0192926704573759E-2</v>
      </c>
      <c r="AC69" s="540">
        <f t="shared" ca="1" si="17"/>
        <v>5.8303963284296989E-2</v>
      </c>
      <c r="AD69" s="540">
        <f t="shared" ca="1" si="17"/>
        <v>5.2208680256254691E-2</v>
      </c>
      <c r="AE69" s="540">
        <f t="shared" ca="1" si="17"/>
        <v>5.2540925058573773E-2</v>
      </c>
    </row>
    <row r="70" spans="2:31" x14ac:dyDescent="0.25">
      <c r="B70" s="87" t="s">
        <v>1509</v>
      </c>
      <c r="C70">
        <v>81.65978427098851</v>
      </c>
      <c r="D70">
        <v>100.18474612408312</v>
      </c>
      <c r="E70">
        <v>122.13275061197622</v>
      </c>
      <c r="F70">
        <v>88.119827003213103</v>
      </c>
      <c r="G70">
        <v>123.77376918842222</v>
      </c>
      <c r="T70">
        <f t="shared" si="15"/>
        <v>2029</v>
      </c>
      <c r="U70" s="540">
        <f t="shared" ca="1" si="17"/>
        <v>4.1307404213912324E-2</v>
      </c>
      <c r="V70" s="540">
        <f t="shared" ca="1" si="17"/>
        <v>3.6040481957935633E-2</v>
      </c>
      <c r="W70" s="540">
        <f t="shared" ca="1" si="17"/>
        <v>4.8618103890698761E-2</v>
      </c>
      <c r="X70" s="540">
        <f t="shared" ca="1" si="17"/>
        <v>4.9612643824896274E-2</v>
      </c>
      <c r="Y70" s="540">
        <f t="shared" ca="1" si="17"/>
        <v>2.8944614006278346E-2</v>
      </c>
      <c r="Z70" s="540">
        <f t="shared" ca="1" si="17"/>
        <v>4.2177925938134297E-2</v>
      </c>
      <c r="AA70" s="540">
        <f t="shared" ca="1" si="17"/>
        <v>4.3519628139995215E-2</v>
      </c>
      <c r="AB70" s="540">
        <f t="shared" ca="1" si="17"/>
        <v>4.0146793698536909E-2</v>
      </c>
      <c r="AC70" s="540">
        <f t="shared" ca="1" si="17"/>
        <v>4.3469446630842734E-2</v>
      </c>
      <c r="AD70" s="540">
        <f t="shared" ca="1" si="17"/>
        <v>3.1316254066643623E-2</v>
      </c>
      <c r="AE70" s="540">
        <f t="shared" ca="1" si="17"/>
        <v>2.9666628307348342E-2</v>
      </c>
    </row>
    <row r="71" spans="2:31" x14ac:dyDescent="0.25">
      <c r="B71" s="87" t="s">
        <v>1510</v>
      </c>
      <c r="C71">
        <v>83.089258145767843</v>
      </c>
      <c r="D71">
        <v>103.13077466185138</v>
      </c>
      <c r="E71">
        <v>127.78957973791697</v>
      </c>
      <c r="F71">
        <v>89.915719470555089</v>
      </c>
      <c r="G71">
        <v>128.70710551909556</v>
      </c>
      <c r="T71">
        <f t="shared" si="15"/>
        <v>2030</v>
      </c>
      <c r="U71" s="540">
        <f t="shared" ca="1" si="17"/>
        <v>3.9857688450638307E-2</v>
      </c>
      <c r="V71" s="540">
        <f t="shared" ca="1" si="17"/>
        <v>3.6491039443426354E-2</v>
      </c>
      <c r="W71" s="540">
        <f t="shared" ca="1" si="17"/>
        <v>4.7073575902494502E-2</v>
      </c>
      <c r="X71" s="540">
        <f t="shared" ca="1" si="17"/>
        <v>4.7591971642449549E-2</v>
      </c>
      <c r="Y71" s="540">
        <f t="shared" ca="1" si="17"/>
        <v>3.1820467760018456E-2</v>
      </c>
      <c r="Z71" s="540">
        <f t="shared" ca="1" si="17"/>
        <v>4.0544318140036895E-2</v>
      </c>
      <c r="AA71" s="540">
        <f t="shared" ca="1" si="17"/>
        <v>4.1794286811067449E-2</v>
      </c>
      <c r="AB71" s="540">
        <f t="shared" ca="1" si="17"/>
        <v>3.9194904374874495E-2</v>
      </c>
      <c r="AC71" s="540">
        <f t="shared" ca="1" si="17"/>
        <v>4.2844614955496851E-2</v>
      </c>
      <c r="AD71" s="540">
        <f t="shared" ca="1" si="17"/>
        <v>3.1140573115639114E-2</v>
      </c>
      <c r="AE71" s="540">
        <f t="shared" ca="1" si="17"/>
        <v>2.9391098843581487E-2</v>
      </c>
    </row>
    <row r="72" spans="2:31" x14ac:dyDescent="0.25">
      <c r="B72" s="87" t="s">
        <v>1511</v>
      </c>
      <c r="C72">
        <v>84.560735023722913</v>
      </c>
      <c r="D72">
        <v>106.23718482114568</v>
      </c>
      <c r="E72">
        <v>133.67408301565231</v>
      </c>
      <c r="F72">
        <v>91.761280886394175</v>
      </c>
      <c r="G72">
        <v>133.70514311214757</v>
      </c>
      <c r="T72">
        <f t="shared" si="15"/>
        <v>2031</v>
      </c>
      <c r="U72" s="540">
        <f t="shared" ca="1" si="17"/>
        <v>3.8832646984749974E-2</v>
      </c>
      <c r="V72" s="540">
        <f t="shared" ca="1" si="17"/>
        <v>3.7407266522432314E-2</v>
      </c>
      <c r="W72" s="540">
        <f t="shared" ca="1" si="17"/>
        <v>4.668580755518037E-2</v>
      </c>
      <c r="X72" s="540">
        <f t="shared" ca="1" si="17"/>
        <v>4.5809294681876667E-2</v>
      </c>
      <c r="Y72" s="540">
        <f t="shared" ca="1" si="17"/>
        <v>3.6134961653323749E-2</v>
      </c>
      <c r="Z72" s="540">
        <f t="shared" ca="1" si="17"/>
        <v>3.9626122068995517E-2</v>
      </c>
      <c r="AA72" s="540">
        <f t="shared" ca="1" si="17"/>
        <v>4.0120486444117143E-2</v>
      </c>
      <c r="AB72" s="540">
        <f t="shared" ca="1" si="17"/>
        <v>3.8086778662977716E-2</v>
      </c>
      <c r="AC72" s="540">
        <f t="shared" ca="1" si="17"/>
        <v>4.2164811838736549E-2</v>
      </c>
      <c r="AD72" s="540">
        <f t="shared" ca="1" si="17"/>
        <v>3.1093206971287479E-2</v>
      </c>
      <c r="AE72" s="540">
        <f t="shared" ca="1" si="17"/>
        <v>2.9308190164812897E-2</v>
      </c>
    </row>
    <row r="73" spans="2:31" x14ac:dyDescent="0.25">
      <c r="B73" s="87" t="s">
        <v>1512</v>
      </c>
      <c r="C73">
        <v>86.130571901535006</v>
      </c>
      <c r="D73">
        <v>109.44516460853626</v>
      </c>
      <c r="E73">
        <v>139.78130522260895</v>
      </c>
      <c r="F73">
        <v>93.622933065526624</v>
      </c>
      <c r="G73">
        <v>138.78419159230856</v>
      </c>
      <c r="T73">
        <f t="shared" si="15"/>
        <v>2032</v>
      </c>
      <c r="U73" s="540">
        <f t="shared" ca="1" si="17"/>
        <v>3.7986934249050197E-2</v>
      </c>
      <c r="V73" s="540">
        <f t="shared" ca="1" si="17"/>
        <v>3.781239527257596E-2</v>
      </c>
      <c r="W73" s="540">
        <f t="shared" ca="1" si="17"/>
        <v>4.5563657411623382E-2</v>
      </c>
      <c r="X73" s="540">
        <f t="shared" ca="1" si="17"/>
        <v>4.4323289107249364E-2</v>
      </c>
      <c r="Y73" s="540">
        <f t="shared" ca="1" si="17"/>
        <v>3.9357066220305992E-2</v>
      </c>
      <c r="Z73" s="540">
        <f t="shared" ca="1" si="17"/>
        <v>3.8513433425723775E-2</v>
      </c>
      <c r="AA73" s="540">
        <f t="shared" ca="1" si="17"/>
        <v>3.8757074663407609E-2</v>
      </c>
      <c r="AB73" s="540">
        <f t="shared" ca="1" si="17"/>
        <v>3.7389347753487678E-2</v>
      </c>
      <c r="AC73" s="540">
        <f t="shared" ca="1" si="17"/>
        <v>4.157259048103934E-2</v>
      </c>
      <c r="AD73" s="540">
        <f t="shared" ca="1" si="17"/>
        <v>3.090242437294477E-2</v>
      </c>
      <c r="AE73" s="540">
        <f t="shared" ca="1" si="17"/>
        <v>2.9215073507242728E-2</v>
      </c>
    </row>
    <row r="74" spans="2:31" x14ac:dyDescent="0.25">
      <c r="B74" s="87" t="s">
        <v>1513</v>
      </c>
      <c r="C74">
        <v>87.783035783124163</v>
      </c>
      <c r="D74">
        <v>112.72813902631965</v>
      </c>
      <c r="E74">
        <v>146.2072835940422</v>
      </c>
      <c r="F74">
        <v>95.448837783568209</v>
      </c>
      <c r="G74">
        <v>143.96802033554712</v>
      </c>
      <c r="T74">
        <f t="shared" si="15"/>
        <v>2033</v>
      </c>
      <c r="U74" s="540">
        <f t="shared" ca="1" si="17"/>
        <v>3.7351723447484053E-2</v>
      </c>
      <c r="V74" s="540">
        <f t="shared" ca="1" si="17"/>
        <v>3.8020731772896887E-2</v>
      </c>
      <c r="W74" s="540">
        <f t="shared" ca="1" si="17"/>
        <v>4.5209632219963547E-2</v>
      </c>
      <c r="X74" s="540">
        <f t="shared" ca="1" si="17"/>
        <v>4.3209372550274017E-2</v>
      </c>
      <c r="Y74" s="540">
        <f t="shared" ca="1" si="17"/>
        <v>4.2986005504329405E-2</v>
      </c>
      <c r="Z74" s="540">
        <f t="shared" ca="1" si="17"/>
        <v>3.7966063287078189E-2</v>
      </c>
      <c r="AA74" s="540">
        <f t="shared" ca="1" si="17"/>
        <v>3.7652757130114622E-2</v>
      </c>
      <c r="AB74" s="540">
        <f t="shared" ca="1" si="17"/>
        <v>3.6853420211616417E-2</v>
      </c>
      <c r="AC74" s="540">
        <f t="shared" ca="1" si="17"/>
        <v>4.1130171198023424E-2</v>
      </c>
      <c r="AD74" s="540">
        <f t="shared" ca="1" si="17"/>
        <v>3.0804818679227575E-2</v>
      </c>
      <c r="AE74" s="540">
        <f t="shared" ca="1" si="17"/>
        <v>2.916662800196157E-2</v>
      </c>
    </row>
    <row r="75" spans="2:31" x14ac:dyDescent="0.25">
      <c r="B75" s="87" t="s">
        <v>1514</v>
      </c>
      <c r="C75">
        <v>89.509135186067027</v>
      </c>
      <c r="D75">
        <v>115.48039894782539</v>
      </c>
      <c r="E75">
        <v>152.0992812201641</v>
      </c>
      <c r="F75">
        <v>96.925035658291719</v>
      </c>
      <c r="G75">
        <v>148.78446254471766</v>
      </c>
      <c r="T75">
        <f t="shared" si="15"/>
        <v>2034</v>
      </c>
      <c r="U75" s="540">
        <f t="shared" ca="1" si="17"/>
        <v>3.3454945049218754E-2</v>
      </c>
      <c r="V75" s="540">
        <f t="shared" ca="1" si="17"/>
        <v>3.5138366945852262E-2</v>
      </c>
      <c r="W75" s="540">
        <f t="shared" ca="1" si="17"/>
        <v>4.1467943057753809E-2</v>
      </c>
      <c r="X75" s="540">
        <f t="shared" ca="1" si="17"/>
        <v>3.8477714756646186E-2</v>
      </c>
      <c r="Y75" s="540">
        <f t="shared" ca="1" si="17"/>
        <v>4.392677694414493E-2</v>
      </c>
      <c r="Z75" s="540">
        <f t="shared" ca="1" si="17"/>
        <v>3.3825934892334431E-2</v>
      </c>
      <c r="AA75" s="540">
        <f t="shared" ca="1" si="17"/>
        <v>3.2744741975575531E-2</v>
      </c>
      <c r="AB75" s="540">
        <f t="shared" ca="1" si="17"/>
        <v>3.3088564079693406E-2</v>
      </c>
      <c r="AC75" s="540">
        <f t="shared" ca="1" si="17"/>
        <v>3.6686643484438397E-2</v>
      </c>
      <c r="AD75" s="540">
        <f t="shared" ca="1" si="17"/>
        <v>2.6366641337860708E-2</v>
      </c>
      <c r="AE75" s="540">
        <f t="shared" ca="1" si="17"/>
        <v>2.4703328665414137E-2</v>
      </c>
    </row>
    <row r="76" spans="2:31" x14ac:dyDescent="0.25">
      <c r="B76" s="87" t="s">
        <v>1515</v>
      </c>
      <c r="C76">
        <v>91.24534443862072</v>
      </c>
      <c r="D76">
        <v>118.21687162526413</v>
      </c>
      <c r="E76">
        <v>157.9628902696787</v>
      </c>
      <c r="F76">
        <v>98.389931652050791</v>
      </c>
      <c r="G76">
        <v>153.60741854166778</v>
      </c>
      <c r="T76">
        <f t="shared" si="15"/>
        <v>2035</v>
      </c>
      <c r="U76" s="540">
        <f t="shared" ca="1" si="17"/>
        <v>3.2415723486587611E-2</v>
      </c>
      <c r="V76" s="540">
        <f t="shared" ca="1" si="17"/>
        <v>3.6861888766817286E-2</v>
      </c>
      <c r="W76" s="540">
        <f t="shared" ca="1" si="17"/>
        <v>3.7920247519322103E-2</v>
      </c>
      <c r="X76" s="540">
        <f t="shared" ca="1" si="17"/>
        <v>3.6721982533081343E-2</v>
      </c>
      <c r="Y76" s="540">
        <f t="shared" ca="1" si="17"/>
        <v>4.5017040919477225E-2</v>
      </c>
      <c r="Z76" s="540">
        <f t="shared" ca="1" si="17"/>
        <v>3.1417251204191698E-2</v>
      </c>
      <c r="AA76" s="540">
        <f t="shared" ca="1" si="17"/>
        <v>3.1238720262125153E-2</v>
      </c>
      <c r="AB76" s="540">
        <f t="shared" ca="1" si="17"/>
        <v>3.2298278956060855E-2</v>
      </c>
      <c r="AC76" s="540">
        <f t="shared" ca="1" si="17"/>
        <v>3.5692467368379166E-2</v>
      </c>
      <c r="AD76" s="540">
        <f t="shared" ca="1" si="17"/>
        <v>2.5619252076022558E-2</v>
      </c>
      <c r="AE76" s="540">
        <f t="shared" ca="1" si="17"/>
        <v>2.4096166651211615E-2</v>
      </c>
    </row>
    <row r="77" spans="2:31" x14ac:dyDescent="0.25">
      <c r="B77" s="87" t="s">
        <v>1516</v>
      </c>
      <c r="C77">
        <v>93.017010868294278</v>
      </c>
      <c r="D77">
        <v>121.01960182047856</v>
      </c>
      <c r="E77">
        <v>163.91311451275661</v>
      </c>
      <c r="F77">
        <v>99.91321588304919</v>
      </c>
      <c r="G77">
        <v>158.4148294837982</v>
      </c>
      <c r="T77">
        <f t="shared" si="15"/>
        <v>2036</v>
      </c>
      <c r="U77" s="540">
        <f t="shared" ca="1" si="17"/>
        <v>3.1296736757713051E-2</v>
      </c>
      <c r="V77" s="540">
        <f t="shared" ca="1" si="17"/>
        <v>3.5424004271600085E-2</v>
      </c>
      <c r="W77" s="540">
        <f t="shared" ca="1" si="17"/>
        <v>3.7355368861789362E-2</v>
      </c>
      <c r="X77" s="540">
        <f t="shared" ca="1" si="17"/>
        <v>3.5437027358707907E-2</v>
      </c>
      <c r="Y77" s="540">
        <f t="shared" ca="1" si="17"/>
        <v>4.6937928166994602E-2</v>
      </c>
      <c r="Z77" s="540">
        <f t="shared" ca="1" si="17"/>
        <v>3.0822026158474625E-2</v>
      </c>
      <c r="AA77" s="540">
        <f t="shared" ca="1" si="17"/>
        <v>2.9658216055478803E-2</v>
      </c>
      <c r="AB77" s="540">
        <f t="shared" ca="1" si="17"/>
        <v>3.1347394897194958E-2</v>
      </c>
      <c r="AC77" s="540">
        <f t="shared" ca="1" si="17"/>
        <v>3.4722877626732096E-2</v>
      </c>
      <c r="AD77" s="540">
        <f t="shared" ca="1" si="17"/>
        <v>2.4947005187329951E-2</v>
      </c>
      <c r="AE77" s="540">
        <f t="shared" ca="1" si="17"/>
        <v>2.3308017994583929E-2</v>
      </c>
    </row>
    <row r="78" spans="2:31" x14ac:dyDescent="0.25">
      <c r="B78" s="87" t="s">
        <v>1517</v>
      </c>
      <c r="C78">
        <v>94.724906031634532</v>
      </c>
      <c r="D78">
        <v>123.7259901683795</v>
      </c>
      <c r="E78">
        <v>169.7337344664513</v>
      </c>
      <c r="F78">
        <v>101.33607233928895</v>
      </c>
      <c r="G78">
        <v>163.10496548248253</v>
      </c>
      <c r="T78">
        <f t="shared" si="15"/>
        <v>2037</v>
      </c>
      <c r="U78" s="540">
        <f t="shared" ca="1" si="17"/>
        <v>2.9606672645277943E-2</v>
      </c>
      <c r="V78" s="540">
        <f t="shared" ca="1" si="17"/>
        <v>3.4540813805939319E-2</v>
      </c>
      <c r="W78" s="540">
        <f t="shared" ca="1" si="17"/>
        <v>3.5029361751997223E-2</v>
      </c>
      <c r="X78" s="540">
        <f t="shared" ca="1" si="17"/>
        <v>3.3441911943678182E-2</v>
      </c>
      <c r="Y78" s="540">
        <f t="shared" ca="1" si="17"/>
        <v>4.7131345061478092E-2</v>
      </c>
      <c r="Z78" s="540">
        <f t="shared" ca="1" si="17"/>
        <v>2.8971327685165305E-2</v>
      </c>
      <c r="AA78" s="540">
        <f t="shared" ca="1" si="17"/>
        <v>2.7599154297656803E-2</v>
      </c>
      <c r="AB78" s="540">
        <f t="shared" ca="1" si="17"/>
        <v>3.020960203025691E-2</v>
      </c>
      <c r="AC78" s="540">
        <f t="shared" ca="1" si="17"/>
        <v>3.3180035320252932E-2</v>
      </c>
      <c r="AD78" s="540">
        <f t="shared" ca="1" si="17"/>
        <v>2.356198453826952E-2</v>
      </c>
      <c r="AE78" s="540">
        <f t="shared" ca="1" si="17"/>
        <v>2.1873339272876713E-2</v>
      </c>
    </row>
    <row r="79" spans="2:31" x14ac:dyDescent="0.25">
      <c r="B79" s="87" t="s">
        <v>1518</v>
      </c>
      <c r="C79">
        <v>96.548577934890218</v>
      </c>
      <c r="D79">
        <v>126.54376087789468</v>
      </c>
      <c r="E79">
        <v>175.74899485405729</v>
      </c>
      <c r="F79">
        <v>102.82031317900049</v>
      </c>
      <c r="G79">
        <v>167.92190106703273</v>
      </c>
      <c r="T79">
        <f t="shared" si="15"/>
        <v>2038</v>
      </c>
      <c r="U79" s="540">
        <f t="shared" ca="1" si="17"/>
        <v>2.9532734152520668E-2</v>
      </c>
      <c r="V79" s="540">
        <f t="shared" ca="1" si="17"/>
        <v>3.5666919548831055E-2</v>
      </c>
      <c r="W79" s="540">
        <f t="shared" ca="1" si="17"/>
        <v>3.3483488916568716E-2</v>
      </c>
      <c r="X79" s="540">
        <f t="shared" ca="1" si="17"/>
        <v>3.2744952019307716E-2</v>
      </c>
      <c r="Y79" s="540">
        <f t="shared" ca="1" si="17"/>
        <v>4.7955573502016957E-2</v>
      </c>
      <c r="Z79" s="540">
        <f t="shared" ca="1" si="17"/>
        <v>2.8054253767260562E-2</v>
      </c>
      <c r="AA79" s="540">
        <f t="shared" ca="1" si="17"/>
        <v>2.7064605755041216E-2</v>
      </c>
      <c r="AB79" s="540">
        <f t="shared" ca="1" si="17"/>
        <v>2.9716356397342381E-2</v>
      </c>
      <c r="AC79" s="540">
        <f t="shared" ca="1" si="17"/>
        <v>3.27764654124032E-2</v>
      </c>
      <c r="AD79" s="540">
        <f t="shared" ca="1" si="17"/>
        <v>2.3465909836380305E-2</v>
      </c>
      <c r="AE79" s="540">
        <f t="shared" ca="1" si="17"/>
        <v>2.1940967926602717E-2</v>
      </c>
    </row>
    <row r="80" spans="2:31" x14ac:dyDescent="0.25">
      <c r="B80" s="87" t="s">
        <v>1519</v>
      </c>
      <c r="C80">
        <v>98.440385672747055</v>
      </c>
      <c r="D80">
        <v>129.34835684078439</v>
      </c>
      <c r="E80">
        <v>181.82054075218576</v>
      </c>
      <c r="F80">
        <v>104.34082027159563</v>
      </c>
      <c r="G80">
        <v>172.70897152802769</v>
      </c>
      <c r="T80">
        <f t="shared" si="15"/>
        <v>2039</v>
      </c>
      <c r="U80" s="540">
        <f t="shared" ca="1" si="17"/>
        <v>2.8507719544480503E-2</v>
      </c>
      <c r="V80" s="540">
        <f t="shared" ca="1" si="17"/>
        <v>3.4195925340027467E-2</v>
      </c>
      <c r="W80" s="540">
        <f t="shared" ca="1" si="17"/>
        <v>3.4010376870560188E-2</v>
      </c>
      <c r="X80" s="540">
        <f t="shared" ca="1" si="17"/>
        <v>3.1592019161287288E-2</v>
      </c>
      <c r="Y80" s="540">
        <f t="shared" ca="1" si="17"/>
        <v>5.0369698175736222E-2</v>
      </c>
      <c r="Z80" s="540">
        <f t="shared" ca="1" si="17"/>
        <v>2.8051389725213483E-2</v>
      </c>
      <c r="AA80" s="540">
        <f t="shared" ca="1" si="17"/>
        <v>2.5686209841301988E-2</v>
      </c>
      <c r="AB80" s="540">
        <f t="shared" ca="1" si="17"/>
        <v>2.8663233476235561E-2</v>
      </c>
      <c r="AC80" s="540">
        <f t="shared" ca="1" si="17"/>
        <v>3.1818057658941523E-2</v>
      </c>
      <c r="AD80" s="540">
        <f t="shared" ca="1" si="17"/>
        <v>2.2784140353515392E-2</v>
      </c>
      <c r="AE80" s="540">
        <f t="shared" ca="1" si="17"/>
        <v>2.1087146038733628E-2</v>
      </c>
    </row>
    <row r="81" spans="1:31" x14ac:dyDescent="0.25">
      <c r="B81" s="87" t="s">
        <v>1520</v>
      </c>
      <c r="C81">
        <v>100.34493639091704</v>
      </c>
      <c r="D81">
        <v>132.11116924806359</v>
      </c>
      <c r="E81">
        <v>187.95580327230937</v>
      </c>
      <c r="F81">
        <v>105.81451937211619</v>
      </c>
      <c r="G81">
        <v>177.46445815642164</v>
      </c>
      <c r="T81">
        <f t="shared" si="15"/>
        <v>2040</v>
      </c>
      <c r="U81" s="540">
        <f t="shared" ca="1" si="17"/>
        <v>2.7534682108984798E-2</v>
      </c>
      <c r="V81" s="540">
        <f t="shared" ca="1" si="17"/>
        <v>3.3832826770538782E-2</v>
      </c>
      <c r="W81" s="540">
        <f t="shared" ca="1" si="17"/>
        <v>3.0636667054732447E-2</v>
      </c>
      <c r="X81" s="540">
        <f t="shared" ca="1" si="17"/>
        <v>3.0193001924015972E-2</v>
      </c>
      <c r="Y81" s="540">
        <f t="shared" ca="1" si="17"/>
        <v>4.8420787435843993E-2</v>
      </c>
      <c r="Z81" s="540">
        <f t="shared" ca="1" si="17"/>
        <v>2.6041901328758055E-2</v>
      </c>
      <c r="AA81" s="540">
        <f t="shared" ca="1" si="17"/>
        <v>2.4222436378440904E-2</v>
      </c>
      <c r="AB81" s="540">
        <f t="shared" ca="1" si="17"/>
        <v>2.783325911756962E-2</v>
      </c>
      <c r="AC81" s="540">
        <f t="shared" ca="1" si="17"/>
        <v>3.0694726474677969E-2</v>
      </c>
      <c r="AD81" s="540">
        <f t="shared" ca="1" si="17"/>
        <v>2.1942999862388568E-2</v>
      </c>
      <c r="AE81" s="540">
        <f t="shared" ca="1" si="17"/>
        <v>2.0266043384832066E-2</v>
      </c>
    </row>
    <row r="83" spans="1:31" x14ac:dyDescent="0.25">
      <c r="A83" t="s">
        <v>1521</v>
      </c>
      <c r="B83" s="87" t="str">
        <f>MID(A83,5,LEN(A83)-5)</f>
        <v xml:space="preserve">Commerce                                              </v>
      </c>
    </row>
    <row r="84" spans="1:31" x14ac:dyDescent="0.25">
      <c r="A84" t="s">
        <v>1522</v>
      </c>
      <c r="C84" s="87" t="s">
        <v>1470</v>
      </c>
      <c r="D84" s="87" t="s">
        <v>1481</v>
      </c>
      <c r="E84" s="87" t="s">
        <v>1482</v>
      </c>
      <c r="F84" s="87" t="s">
        <v>1483</v>
      </c>
      <c r="G84" s="87" t="s">
        <v>1484</v>
      </c>
    </row>
    <row r="85" spans="1:31" x14ac:dyDescent="0.25">
      <c r="B85" s="87" t="s">
        <v>1487</v>
      </c>
      <c r="C85">
        <v>1069.5625745571906</v>
      </c>
      <c r="D85">
        <v>1069.5625745571906</v>
      </c>
      <c r="E85">
        <v>1069.5625745571906</v>
      </c>
      <c r="F85">
        <v>1069.5625745571906</v>
      </c>
      <c r="G85">
        <v>1069.5625745571906</v>
      </c>
    </row>
    <row r="86" spans="1:31" x14ac:dyDescent="0.25">
      <c r="B86" s="87" t="s">
        <v>1488</v>
      </c>
      <c r="C86">
        <v>1097.2368222136918</v>
      </c>
      <c r="D86">
        <v>1097.2368222142341</v>
      </c>
      <c r="E86">
        <v>1097.2368222142284</v>
      </c>
      <c r="F86">
        <v>1097.2368222142352</v>
      </c>
      <c r="G86">
        <v>1097.2368222034802</v>
      </c>
    </row>
    <row r="87" spans="1:31" x14ac:dyDescent="0.25">
      <c r="B87" s="87" t="s">
        <v>1489</v>
      </c>
      <c r="C87">
        <v>1125.128868613278</v>
      </c>
      <c r="D87">
        <v>1125.151021804219</v>
      </c>
      <c r="E87">
        <v>1125.1636792901879</v>
      </c>
      <c r="F87">
        <v>1125.1333109712596</v>
      </c>
      <c r="G87">
        <v>1125.1544527347276</v>
      </c>
    </row>
    <row r="88" spans="1:31" x14ac:dyDescent="0.25">
      <c r="B88" s="87" t="s">
        <v>1490</v>
      </c>
      <c r="C88">
        <v>1153.646846338967</v>
      </c>
      <c r="D88">
        <v>1153.6963612885961</v>
      </c>
      <c r="E88">
        <v>1153.7243028518194</v>
      </c>
      <c r="F88">
        <v>1153.6568373999789</v>
      </c>
      <c r="G88">
        <v>1153.7039602307084</v>
      </c>
    </row>
    <row r="89" spans="1:31" x14ac:dyDescent="0.25">
      <c r="B89" s="87" t="s">
        <v>1491</v>
      </c>
      <c r="C89">
        <v>1182.5946057739206</v>
      </c>
      <c r="D89">
        <v>1182.6759347497057</v>
      </c>
      <c r="E89">
        <v>1182.7216642516396</v>
      </c>
      <c r="F89">
        <v>1182.6110467912606</v>
      </c>
      <c r="G89">
        <v>1182.6883828786024</v>
      </c>
    </row>
    <row r="90" spans="1:31" x14ac:dyDescent="0.25">
      <c r="B90" s="87" t="s">
        <v>1492</v>
      </c>
      <c r="C90">
        <v>1211.1593180949862</v>
      </c>
      <c r="D90">
        <v>1211.2798766429096</v>
      </c>
      <c r="E90">
        <v>1211.3268434602583</v>
      </c>
      <c r="F90">
        <v>1211.163002722036</v>
      </c>
      <c r="G90">
        <v>1211.2983096791831</v>
      </c>
    </row>
    <row r="91" spans="1:31" x14ac:dyDescent="0.25">
      <c r="B91" s="87" t="s">
        <v>1493</v>
      </c>
      <c r="C91">
        <v>1238.6943038846566</v>
      </c>
      <c r="D91">
        <v>1238.8541010976728</v>
      </c>
      <c r="E91">
        <v>1238.9396904302048</v>
      </c>
      <c r="F91">
        <v>1238.7225611008944</v>
      </c>
      <c r="G91">
        <v>1238.8785286924601</v>
      </c>
    </row>
    <row r="92" spans="1:31" x14ac:dyDescent="0.25">
      <c r="B92" s="87" t="s">
        <v>1494</v>
      </c>
      <c r="C92">
        <v>1265.626076547087</v>
      </c>
      <c r="D92">
        <v>1317.3375117136125</v>
      </c>
      <c r="E92">
        <v>1317.9848052843399</v>
      </c>
      <c r="F92">
        <v>1285.5717023262362</v>
      </c>
      <c r="G92">
        <v>1312.4677104495079</v>
      </c>
    </row>
    <row r="93" spans="1:31" x14ac:dyDescent="0.25">
      <c r="B93" s="87" t="s">
        <v>1495</v>
      </c>
      <c r="C93">
        <v>1294.4610443073493</v>
      </c>
      <c r="D93">
        <v>1402.7230422963617</v>
      </c>
      <c r="E93">
        <v>1404.9774109836026</v>
      </c>
      <c r="F93">
        <v>1335.8436000493548</v>
      </c>
      <c r="G93">
        <v>1393.3195854224371</v>
      </c>
    </row>
    <row r="94" spans="1:31" x14ac:dyDescent="0.25">
      <c r="B94" s="87" t="s">
        <v>1496</v>
      </c>
      <c r="C94">
        <v>1325.0068450402534</v>
      </c>
      <c r="D94">
        <v>1495.7309187123826</v>
      </c>
      <c r="E94">
        <v>1500.6229523154243</v>
      </c>
      <c r="F94">
        <v>1389.7481385464503</v>
      </c>
      <c r="G94">
        <v>1481.8432408889771</v>
      </c>
    </row>
    <row r="95" spans="1:31" x14ac:dyDescent="0.25">
      <c r="B95" s="87" t="s">
        <v>1497</v>
      </c>
      <c r="C95">
        <v>1356.5175495399965</v>
      </c>
      <c r="D95">
        <v>1596.0707205951101</v>
      </c>
      <c r="E95">
        <v>1604.8987308794158</v>
      </c>
      <c r="F95">
        <v>1446.513194524234</v>
      </c>
      <c r="G95">
        <v>1578.1140130955744</v>
      </c>
    </row>
    <row r="96" spans="1:31" x14ac:dyDescent="0.25">
      <c r="B96" s="87" t="s">
        <v>1498</v>
      </c>
      <c r="C96">
        <v>1388.062683268877</v>
      </c>
      <c r="D96">
        <v>1703.2652565167064</v>
      </c>
      <c r="E96">
        <v>1716.0787809870269</v>
      </c>
      <c r="F96">
        <v>1505.4170120245981</v>
      </c>
      <c r="G96">
        <v>1680.5007166493756</v>
      </c>
    </row>
    <row r="97" spans="2:7" x14ac:dyDescent="0.25">
      <c r="B97" s="87" t="s">
        <v>1499</v>
      </c>
      <c r="C97">
        <v>1419.9620022767151</v>
      </c>
      <c r="D97">
        <v>1818.6901229144726</v>
      </c>
      <c r="E97">
        <v>1836.5121690699716</v>
      </c>
      <c r="F97">
        <v>1566.754621511016</v>
      </c>
      <c r="G97">
        <v>1790.9155819112464</v>
      </c>
    </row>
    <row r="98" spans="2:7" x14ac:dyDescent="0.25">
      <c r="B98" s="87" t="s">
        <v>1500</v>
      </c>
      <c r="C98">
        <v>1452.6136630550859</v>
      </c>
      <c r="D98">
        <v>1934.0844622067905</v>
      </c>
      <c r="E98">
        <v>1942.0817404620836</v>
      </c>
      <c r="F98">
        <v>1621.4578789512555</v>
      </c>
      <c r="G98">
        <v>1888.6470954848462</v>
      </c>
    </row>
    <row r="99" spans="2:7" x14ac:dyDescent="0.25">
      <c r="B99" s="87" t="s">
        <v>1501</v>
      </c>
      <c r="C99">
        <v>1485.1704310340026</v>
      </c>
      <c r="D99">
        <v>2056.8309605803647</v>
      </c>
      <c r="E99">
        <v>2061.0208353032676</v>
      </c>
      <c r="F99">
        <v>1677.3772098714771</v>
      </c>
      <c r="G99">
        <v>1991.8623426847573</v>
      </c>
    </row>
    <row r="100" spans="2:7" x14ac:dyDescent="0.25">
      <c r="B100" s="87" t="s">
        <v>1502</v>
      </c>
      <c r="C100">
        <v>1518.6481502843149</v>
      </c>
      <c r="D100">
        <v>2188.6115041518792</v>
      </c>
      <c r="E100">
        <v>2188.5978310709588</v>
      </c>
      <c r="F100">
        <v>1735.8776714891417</v>
      </c>
      <c r="G100">
        <v>2101.3141495643931</v>
      </c>
    </row>
    <row r="101" spans="2:7" x14ac:dyDescent="0.25">
      <c r="B101" s="87" t="s">
        <v>1503</v>
      </c>
      <c r="C101">
        <v>1551.8307643933956</v>
      </c>
      <c r="D101">
        <v>2327.1577431252122</v>
      </c>
      <c r="E101">
        <v>2324.3544244735449</v>
      </c>
      <c r="F101">
        <v>1795.4732659108438</v>
      </c>
      <c r="G101">
        <v>2217.4635830781426</v>
      </c>
    </row>
    <row r="102" spans="2:7" x14ac:dyDescent="0.25">
      <c r="B102" s="87" t="s">
        <v>1504</v>
      </c>
      <c r="C102">
        <v>1586.0141884006543</v>
      </c>
      <c r="D102">
        <v>2460.6668963142979</v>
      </c>
      <c r="E102">
        <v>2460.546763259078</v>
      </c>
      <c r="F102">
        <v>1854.2492399372475</v>
      </c>
      <c r="G102">
        <v>2324.1724308369057</v>
      </c>
    </row>
    <row r="103" spans="2:7" x14ac:dyDescent="0.25">
      <c r="B103" s="87" t="s">
        <v>1505</v>
      </c>
      <c r="C103">
        <v>1621.3985365871877</v>
      </c>
      <c r="D103">
        <v>2601.6591349998344</v>
      </c>
      <c r="E103">
        <v>2605.7915689151009</v>
      </c>
      <c r="F103">
        <v>1915.2188792537268</v>
      </c>
      <c r="G103">
        <v>2437.2126662286164</v>
      </c>
    </row>
    <row r="104" spans="2:7" x14ac:dyDescent="0.25">
      <c r="B104" s="87" t="s">
        <v>1506</v>
      </c>
      <c r="C104">
        <v>1658.503692114547</v>
      </c>
      <c r="D104">
        <v>2752.2324045833643</v>
      </c>
      <c r="E104">
        <v>2764.1238746677022</v>
      </c>
      <c r="F104">
        <v>1977.7289445539145</v>
      </c>
      <c r="G104">
        <v>2558.0876850139648</v>
      </c>
    </row>
    <row r="105" spans="2:7" x14ac:dyDescent="0.25">
      <c r="B105" s="87" t="s">
        <v>1507</v>
      </c>
      <c r="C105">
        <v>1695.6270000239058</v>
      </c>
      <c r="D105">
        <v>2914.9058240346772</v>
      </c>
      <c r="E105">
        <v>2936.8009222781038</v>
      </c>
      <c r="F105">
        <v>2042.0276064843627</v>
      </c>
      <c r="G105">
        <v>2688.3815317768945</v>
      </c>
    </row>
    <row r="106" spans="2:7" x14ac:dyDescent="0.25">
      <c r="B106" s="87" t="s">
        <v>1508</v>
      </c>
      <c r="C106">
        <v>1732.5169970260295</v>
      </c>
      <c r="D106">
        <v>3091.62257097876</v>
      </c>
      <c r="E106">
        <v>3125.5807386139254</v>
      </c>
      <c r="F106">
        <v>2108.9630592325102</v>
      </c>
      <c r="G106">
        <v>2828.7383835762544</v>
      </c>
    </row>
    <row r="107" spans="2:7" x14ac:dyDescent="0.25">
      <c r="B107" s="87" t="s">
        <v>1509</v>
      </c>
      <c r="C107">
        <v>1769.6715476953268</v>
      </c>
      <c r="D107">
        <v>3265.6184922076241</v>
      </c>
      <c r="E107">
        <v>3282.3613151074846</v>
      </c>
      <c r="F107">
        <v>2159.1919650416312</v>
      </c>
      <c r="G107">
        <v>2917.3238734843953</v>
      </c>
    </row>
    <row r="108" spans="2:7" x14ac:dyDescent="0.25">
      <c r="B108" s="87" t="s">
        <v>1510</v>
      </c>
      <c r="C108">
        <v>1808.1381094508556</v>
      </c>
      <c r="D108">
        <v>3450.264913274053</v>
      </c>
      <c r="E108">
        <v>3447.4415282322057</v>
      </c>
      <c r="F108">
        <v>2210.7501392685549</v>
      </c>
      <c r="G108">
        <v>3008.1710108686357</v>
      </c>
    </row>
    <row r="109" spans="2:7" x14ac:dyDescent="0.25">
      <c r="B109" s="87" t="s">
        <v>1511</v>
      </c>
      <c r="C109">
        <v>1848.7705662248277</v>
      </c>
      <c r="D109">
        <v>3648.0028688426387</v>
      </c>
      <c r="E109">
        <v>3621.533081114052</v>
      </c>
      <c r="F109">
        <v>2264.3900095556191</v>
      </c>
      <c r="G109">
        <v>3101.7046947146009</v>
      </c>
    </row>
    <row r="110" spans="2:7" x14ac:dyDescent="0.25">
      <c r="B110" s="87" t="s">
        <v>1512</v>
      </c>
      <c r="C110">
        <v>1891.6976203359977</v>
      </c>
      <c r="D110">
        <v>3858.2596579513124</v>
      </c>
      <c r="E110">
        <v>3804.0564250416978</v>
      </c>
      <c r="F110">
        <v>2319.2656651170696</v>
      </c>
      <c r="G110">
        <v>3197.554889470227</v>
      </c>
    </row>
    <row r="111" spans="2:7" x14ac:dyDescent="0.25">
      <c r="B111" s="87" t="s">
        <v>1513</v>
      </c>
      <c r="C111">
        <v>1936.5426226430118</v>
      </c>
      <c r="D111">
        <v>4081.1760195061256</v>
      </c>
      <c r="E111">
        <v>3997.4119650234165</v>
      </c>
      <c r="F111">
        <v>2374.3817711860229</v>
      </c>
      <c r="G111">
        <v>3296.0549880572348</v>
      </c>
    </row>
    <row r="112" spans="2:7" x14ac:dyDescent="0.25">
      <c r="B112" s="87" t="s">
        <v>1514</v>
      </c>
      <c r="C112">
        <v>1983.2535209921491</v>
      </c>
      <c r="D112">
        <v>4294.7231078325012</v>
      </c>
      <c r="E112">
        <v>4150.7422354259115</v>
      </c>
      <c r="F112">
        <v>2426.1439150083229</v>
      </c>
      <c r="G112">
        <v>3382.9608877572064</v>
      </c>
    </row>
    <row r="113" spans="1:7" x14ac:dyDescent="0.25">
      <c r="B113" s="87" t="s">
        <v>1515</v>
      </c>
      <c r="C113">
        <v>2030.6089378236859</v>
      </c>
      <c r="D113">
        <v>4518.7654465529868</v>
      </c>
      <c r="E113">
        <v>4307.7933146110145</v>
      </c>
      <c r="F113">
        <v>2478.3319620566813</v>
      </c>
      <c r="G113">
        <v>3469.6298155039831</v>
      </c>
    </row>
    <row r="114" spans="1:7" x14ac:dyDescent="0.25">
      <c r="B114" s="87" t="s">
        <v>1516</v>
      </c>
      <c r="C114">
        <v>2079.0423873187383</v>
      </c>
      <c r="D114">
        <v>4756.0732719323396</v>
      </c>
      <c r="E114">
        <v>4468.9832350440611</v>
      </c>
      <c r="F114">
        <v>2532.1101701475241</v>
      </c>
      <c r="G114">
        <v>3556.186688509476</v>
      </c>
    </row>
    <row r="115" spans="1:7" x14ac:dyDescent="0.25">
      <c r="B115" s="87" t="s">
        <v>1517</v>
      </c>
      <c r="C115">
        <v>2126.801010275829</v>
      </c>
      <c r="D115">
        <v>5002.3738674922297</v>
      </c>
      <c r="E115">
        <v>4629.9110829972888</v>
      </c>
      <c r="F115">
        <v>2584.2583016207091</v>
      </c>
      <c r="G115">
        <v>3639.9775042793358</v>
      </c>
    </row>
    <row r="116" spans="1:7" x14ac:dyDescent="0.25">
      <c r="B116" s="87" t="s">
        <v>1518</v>
      </c>
      <c r="C116">
        <v>2177.1193898184601</v>
      </c>
      <c r="D116">
        <v>5263.571352107173</v>
      </c>
      <c r="E116">
        <v>4796.4372623447971</v>
      </c>
      <c r="F116">
        <v>2638.0520971874389</v>
      </c>
      <c r="G116">
        <v>3725.3928882012074</v>
      </c>
    </row>
    <row r="117" spans="1:7" x14ac:dyDescent="0.25">
      <c r="B117" s="87" t="s">
        <v>1519</v>
      </c>
      <c r="C117">
        <v>2229.2550904891577</v>
      </c>
      <c r="D117">
        <v>5537.7160996844568</v>
      </c>
      <c r="E117">
        <v>4966.2381440511745</v>
      </c>
      <c r="F117">
        <v>2692.880989664392</v>
      </c>
      <c r="G117">
        <v>3810.2727626379715</v>
      </c>
    </row>
    <row r="118" spans="1:7" x14ac:dyDescent="0.25">
      <c r="B118" s="87" t="s">
        <v>1520</v>
      </c>
      <c r="C118">
        <v>2281.7402924950961</v>
      </c>
      <c r="D118">
        <v>5824.8277468645329</v>
      </c>
      <c r="E118">
        <v>5138.865918147033</v>
      </c>
      <c r="F118">
        <v>2747.3839427123603</v>
      </c>
      <c r="G118">
        <v>3893.8815773441993</v>
      </c>
    </row>
    <row r="120" spans="1:7" x14ac:dyDescent="0.25">
      <c r="A120" t="s">
        <v>1523</v>
      </c>
      <c r="B120" s="87" t="str">
        <f>MID(A120,16,LEN(A120)-16)</f>
        <v xml:space="preserve">Mining                                     </v>
      </c>
    </row>
    <row r="121" spans="1:7" x14ac:dyDescent="0.25">
      <c r="A121" t="s">
        <v>1524</v>
      </c>
      <c r="C121" s="87" t="s">
        <v>1470</v>
      </c>
      <c r="D121" s="87" t="s">
        <v>1481</v>
      </c>
      <c r="E121" s="87" t="s">
        <v>1482</v>
      </c>
      <c r="F121" s="87" t="s">
        <v>1483</v>
      </c>
      <c r="G121" s="87" t="s">
        <v>1484</v>
      </c>
    </row>
    <row r="122" spans="1:7" x14ac:dyDescent="0.25">
      <c r="B122" s="87" t="s">
        <v>1487</v>
      </c>
      <c r="C122">
        <v>155.67982576619326</v>
      </c>
      <c r="D122">
        <v>155.67982576619326</v>
      </c>
      <c r="E122">
        <v>155.67982576619326</v>
      </c>
      <c r="F122">
        <v>155.67982576619326</v>
      </c>
      <c r="G122">
        <v>155.67982576619326</v>
      </c>
    </row>
    <row r="123" spans="1:7" x14ac:dyDescent="0.25">
      <c r="B123" s="87" t="s">
        <v>1488</v>
      </c>
      <c r="C123">
        <v>159.14760855331218</v>
      </c>
      <c r="D123">
        <v>159.14760855358588</v>
      </c>
      <c r="E123">
        <v>159.14760855358102</v>
      </c>
      <c r="F123">
        <v>159.14760855358509</v>
      </c>
      <c r="G123">
        <v>159.1476085535065</v>
      </c>
    </row>
    <row r="124" spans="1:7" x14ac:dyDescent="0.25">
      <c r="B124" s="87" t="s">
        <v>1489</v>
      </c>
      <c r="C124">
        <v>162.56912467383711</v>
      </c>
      <c r="D124">
        <v>162.5431034867272</v>
      </c>
      <c r="E124">
        <v>162.52822670877885</v>
      </c>
      <c r="F124">
        <v>162.56390863238926</v>
      </c>
      <c r="G124">
        <v>162.53907164575219</v>
      </c>
    </row>
    <row r="125" spans="1:7" x14ac:dyDescent="0.25">
      <c r="B125" s="87" t="s">
        <v>1490</v>
      </c>
      <c r="C125">
        <v>166.29948239993456</v>
      </c>
      <c r="D125">
        <v>166.24188744254349</v>
      </c>
      <c r="E125">
        <v>166.20937170440331</v>
      </c>
      <c r="F125">
        <v>166.28786374184912</v>
      </c>
      <c r="G125">
        <v>166.23304551721415</v>
      </c>
    </row>
    <row r="126" spans="1:7" x14ac:dyDescent="0.25">
      <c r="B126" s="87" t="s">
        <v>1491</v>
      </c>
      <c r="C126">
        <v>170.03670127496807</v>
      </c>
      <c r="D126">
        <v>169.94272354929331</v>
      </c>
      <c r="E126">
        <v>169.88984802598503</v>
      </c>
      <c r="F126">
        <v>170.01770966483372</v>
      </c>
      <c r="G126">
        <v>169.92833253137312</v>
      </c>
    </row>
    <row r="127" spans="1:7" x14ac:dyDescent="0.25">
      <c r="B127" s="87" t="s">
        <v>1492</v>
      </c>
      <c r="C127">
        <v>174.21891675703569</v>
      </c>
      <c r="D127">
        <v>174.08123936534986</v>
      </c>
      <c r="E127">
        <v>174.01570878731107</v>
      </c>
      <c r="F127">
        <v>174.20289563569946</v>
      </c>
      <c r="G127">
        <v>174.06017507334045</v>
      </c>
    </row>
    <row r="128" spans="1:7" x14ac:dyDescent="0.25">
      <c r="B128" s="87" t="s">
        <v>1493</v>
      </c>
      <c r="C128">
        <v>178.42732300820276</v>
      </c>
      <c r="D128">
        <v>178.2476221678088</v>
      </c>
      <c r="E128">
        <v>178.14769723613452</v>
      </c>
      <c r="F128">
        <v>178.39198553297012</v>
      </c>
      <c r="G128">
        <v>178.22013174801367</v>
      </c>
    </row>
    <row r="129" spans="2:7" x14ac:dyDescent="0.25">
      <c r="B129" s="87" t="s">
        <v>1494</v>
      </c>
      <c r="C129">
        <v>182.44535182561859</v>
      </c>
      <c r="D129">
        <v>182.77307532934773</v>
      </c>
      <c r="E129">
        <v>184.08679952041592</v>
      </c>
      <c r="F129">
        <v>182.12605934562774</v>
      </c>
      <c r="G129">
        <v>184.76089828002469</v>
      </c>
    </row>
    <row r="130" spans="2:7" x14ac:dyDescent="0.25">
      <c r="B130" s="87" t="s">
        <v>1495</v>
      </c>
      <c r="C130">
        <v>185.18317703872532</v>
      </c>
      <c r="D130">
        <v>186.35253387948481</v>
      </c>
      <c r="E130">
        <v>189.31973895889956</v>
      </c>
      <c r="F130">
        <v>184.78798302197131</v>
      </c>
      <c r="G130">
        <v>190.56422341955206</v>
      </c>
    </row>
    <row r="131" spans="2:7" x14ac:dyDescent="0.25">
      <c r="B131" s="87" t="s">
        <v>1496</v>
      </c>
      <c r="C131">
        <v>188.42873449615223</v>
      </c>
      <c r="D131">
        <v>190.56978675314843</v>
      </c>
      <c r="E131">
        <v>195.42951768665708</v>
      </c>
      <c r="F131">
        <v>187.95030827460295</v>
      </c>
      <c r="G131">
        <v>197.39999659502195</v>
      </c>
    </row>
    <row r="132" spans="2:7" x14ac:dyDescent="0.25">
      <c r="B132" s="87" t="s">
        <v>1497</v>
      </c>
      <c r="C132">
        <v>191.79700903901127</v>
      </c>
      <c r="D132">
        <v>195.08407187213663</v>
      </c>
      <c r="E132">
        <v>202.15198449316091</v>
      </c>
      <c r="F132">
        <v>191.34887683010129</v>
      </c>
      <c r="G132">
        <v>204.84670517489647</v>
      </c>
    </row>
    <row r="133" spans="2:7" x14ac:dyDescent="0.25">
      <c r="B133" s="87" t="s">
        <v>1498</v>
      </c>
      <c r="C133">
        <v>195.11980500682759</v>
      </c>
      <c r="D133">
        <v>199.70298352123149</v>
      </c>
      <c r="E133">
        <v>209.09177916569567</v>
      </c>
      <c r="F133">
        <v>194.7103976774228</v>
      </c>
      <c r="G133">
        <v>212.56029395974258</v>
      </c>
    </row>
    <row r="134" spans="2:7" x14ac:dyDescent="0.25">
      <c r="B134" s="87" t="s">
        <v>1499</v>
      </c>
      <c r="C134">
        <v>198.29243295748714</v>
      </c>
      <c r="D134">
        <v>203.65530716964784</v>
      </c>
      <c r="E134">
        <v>215.83244571355823</v>
      </c>
      <c r="F134">
        <v>198.09531512819325</v>
      </c>
      <c r="G134">
        <v>220.72261012943181</v>
      </c>
    </row>
    <row r="135" spans="2:7" x14ac:dyDescent="0.25">
      <c r="B135" s="87" t="s">
        <v>1500</v>
      </c>
      <c r="C135">
        <v>201.65905966212571</v>
      </c>
      <c r="D135">
        <v>207.7467044325083</v>
      </c>
      <c r="E135">
        <v>222.78463204350481</v>
      </c>
      <c r="F135">
        <v>201.46228391629498</v>
      </c>
      <c r="G135">
        <v>229.16765550445564</v>
      </c>
    </row>
    <row r="136" spans="2:7" x14ac:dyDescent="0.25">
      <c r="B136" s="87" t="s">
        <v>1501</v>
      </c>
      <c r="C136">
        <v>205.01687636310234</v>
      </c>
      <c r="D136">
        <v>212.0559056114335</v>
      </c>
      <c r="E136">
        <v>229.4403647244244</v>
      </c>
      <c r="F136">
        <v>204.91143305393274</v>
      </c>
      <c r="G136">
        <v>237.68723148197898</v>
      </c>
    </row>
    <row r="137" spans="2:7" x14ac:dyDescent="0.25">
      <c r="B137" s="87" t="s">
        <v>1502</v>
      </c>
      <c r="C137">
        <v>208.44294485096123</v>
      </c>
      <c r="D137">
        <v>216.35758904261615</v>
      </c>
      <c r="E137">
        <v>236.85215052423663</v>
      </c>
      <c r="F137">
        <v>208.3688282784513</v>
      </c>
      <c r="G137">
        <v>246.83795064328427</v>
      </c>
    </row>
    <row r="138" spans="2:7" x14ac:dyDescent="0.25">
      <c r="B138" s="87" t="s">
        <v>1503</v>
      </c>
      <c r="C138">
        <v>211.80956877802288</v>
      </c>
      <c r="D138">
        <v>220.41543318816738</v>
      </c>
      <c r="E138">
        <v>244.20164688503581</v>
      </c>
      <c r="F138">
        <v>211.88520174039235</v>
      </c>
      <c r="G138">
        <v>256.33397861917388</v>
      </c>
    </row>
    <row r="139" spans="2:7" x14ac:dyDescent="0.25">
      <c r="B139" s="87" t="s">
        <v>1504</v>
      </c>
      <c r="C139">
        <v>215.25172072201559</v>
      </c>
      <c r="D139">
        <v>223.6926346459266</v>
      </c>
      <c r="E139">
        <v>250.83861979275605</v>
      </c>
      <c r="F139">
        <v>215.45367864133542</v>
      </c>
      <c r="G139">
        <v>265.0101425500992</v>
      </c>
    </row>
    <row r="140" spans="2:7" x14ac:dyDescent="0.25">
      <c r="B140" s="87" t="s">
        <v>1505</v>
      </c>
      <c r="C140">
        <v>218.90990099654044</v>
      </c>
      <c r="D140">
        <v>226.41113357351949</v>
      </c>
      <c r="E140">
        <v>257.7890569261267</v>
      </c>
      <c r="F140">
        <v>219.15752442135852</v>
      </c>
      <c r="G140">
        <v>274.04519896333142</v>
      </c>
    </row>
    <row r="141" spans="2:7" x14ac:dyDescent="0.25">
      <c r="B141" s="87" t="s">
        <v>1506</v>
      </c>
      <c r="C141">
        <v>222.8077109018009</v>
      </c>
      <c r="D141">
        <v>229.75707378090522</v>
      </c>
      <c r="E141">
        <v>266.11526196447079</v>
      </c>
      <c r="F141">
        <v>222.99549521084845</v>
      </c>
      <c r="G141">
        <v>284.52129063444966</v>
      </c>
    </row>
    <row r="142" spans="2:7" x14ac:dyDescent="0.25">
      <c r="B142" s="87" t="s">
        <v>1507</v>
      </c>
      <c r="C142">
        <v>226.69196153223913</v>
      </c>
      <c r="D142">
        <v>233.34247045015729</v>
      </c>
      <c r="E142">
        <v>275.34344680163417</v>
      </c>
      <c r="F142">
        <v>226.57723030200341</v>
      </c>
      <c r="G142">
        <v>295.90293704150122</v>
      </c>
    </row>
    <row r="143" spans="2:7" x14ac:dyDescent="0.25">
      <c r="B143" s="87" t="s">
        <v>1508</v>
      </c>
      <c r="C143">
        <v>230.50786782913983</v>
      </c>
      <c r="D143">
        <v>237.30161846282294</v>
      </c>
      <c r="E143">
        <v>285.36322950925478</v>
      </c>
      <c r="F143">
        <v>230.02078175498946</v>
      </c>
      <c r="G143">
        <v>308.20919093299671</v>
      </c>
    </row>
    <row r="144" spans="2:7" x14ac:dyDescent="0.25">
      <c r="B144" s="87" t="s">
        <v>1509</v>
      </c>
      <c r="C144">
        <v>234.30182451230323</v>
      </c>
      <c r="D144">
        <v>240.41677580994582</v>
      </c>
      <c r="E144">
        <v>294.85512048587145</v>
      </c>
      <c r="F144">
        <v>233.34655062306379</v>
      </c>
      <c r="G144">
        <v>319.3171987180873</v>
      </c>
    </row>
    <row r="145" spans="1:7" x14ac:dyDescent="0.25">
      <c r="B145" s="87" t="s">
        <v>1510</v>
      </c>
      <c r="C145">
        <v>237.84097347474929</v>
      </c>
      <c r="D145">
        <v>243.55593183526869</v>
      </c>
      <c r="E145">
        <v>304.86967584816364</v>
      </c>
      <c r="F145">
        <v>236.71149447503996</v>
      </c>
      <c r="G145">
        <v>330.96941521147346</v>
      </c>
    </row>
    <row r="146" spans="1:7" x14ac:dyDescent="0.25">
      <c r="B146" s="87" t="s">
        <v>1511</v>
      </c>
      <c r="C146">
        <v>241.76542287710265</v>
      </c>
      <c r="D146">
        <v>247.0172439290676</v>
      </c>
      <c r="E146">
        <v>315.44256022280518</v>
      </c>
      <c r="F146">
        <v>240.17611285894077</v>
      </c>
      <c r="G146">
        <v>343.3500763370626</v>
      </c>
    </row>
    <row r="147" spans="1:7" x14ac:dyDescent="0.25">
      <c r="B147" s="87" t="s">
        <v>1512</v>
      </c>
      <c r="C147">
        <v>245.92981103296643</v>
      </c>
      <c r="D147">
        <v>250.43983624387982</v>
      </c>
      <c r="E147">
        <v>326.87542996874208</v>
      </c>
      <c r="F147">
        <v>243.69223303801789</v>
      </c>
      <c r="G147">
        <v>356.33296514038875</v>
      </c>
    </row>
    <row r="148" spans="1:7" x14ac:dyDescent="0.25">
      <c r="B148" s="87" t="s">
        <v>1513</v>
      </c>
      <c r="C148">
        <v>250.3613481302786</v>
      </c>
      <c r="D148">
        <v>253.99861892301391</v>
      </c>
      <c r="E148">
        <v>339.21782372242342</v>
      </c>
      <c r="F148">
        <v>247.20152508025365</v>
      </c>
      <c r="G148">
        <v>369.88100522983251</v>
      </c>
    </row>
    <row r="149" spans="1:7" x14ac:dyDescent="0.25">
      <c r="B149" s="87" t="s">
        <v>1514</v>
      </c>
      <c r="C149">
        <v>255.08969189627666</v>
      </c>
      <c r="D149">
        <v>256.84367736939782</v>
      </c>
      <c r="E149">
        <v>350.60776546406851</v>
      </c>
      <c r="F149">
        <v>249.84553761529304</v>
      </c>
      <c r="G149">
        <v>382.87801971789906</v>
      </c>
    </row>
    <row r="150" spans="1:7" x14ac:dyDescent="0.25">
      <c r="B150" s="87" t="s">
        <v>1515</v>
      </c>
      <c r="C150">
        <v>259.79240420064076</v>
      </c>
      <c r="D150">
        <v>259.69430698902028</v>
      </c>
      <c r="E150">
        <v>362.28929607722085</v>
      </c>
      <c r="F150">
        <v>252.28148490602968</v>
      </c>
      <c r="G150">
        <v>396.9916266919995</v>
      </c>
    </row>
    <row r="151" spans="1:7" x14ac:dyDescent="0.25">
      <c r="B151" s="87" t="s">
        <v>1516</v>
      </c>
      <c r="C151">
        <v>264.47951908485396</v>
      </c>
      <c r="D151">
        <v>262.67379451993907</v>
      </c>
      <c r="E151">
        <v>375.15443328044512</v>
      </c>
      <c r="F151">
        <v>254.74878006630496</v>
      </c>
      <c r="G151">
        <v>411.05465977172639</v>
      </c>
    </row>
    <row r="152" spans="1:7" x14ac:dyDescent="0.25">
      <c r="B152" s="87" t="s">
        <v>1517</v>
      </c>
      <c r="C152">
        <v>269.02522881735621</v>
      </c>
      <c r="D152">
        <v>265.65401945431466</v>
      </c>
      <c r="E152">
        <v>387.85418307340069</v>
      </c>
      <c r="F152">
        <v>257.05286476993069</v>
      </c>
      <c r="G152">
        <v>425.25282223896534</v>
      </c>
    </row>
    <row r="153" spans="1:7" x14ac:dyDescent="0.25">
      <c r="B153" s="87" t="s">
        <v>1518</v>
      </c>
      <c r="C153">
        <v>273.80542925546928</v>
      </c>
      <c r="D153">
        <v>269.7956026783969</v>
      </c>
      <c r="E153">
        <v>401.55313998079015</v>
      </c>
      <c r="F153">
        <v>259.41838881780222</v>
      </c>
      <c r="G153">
        <v>440.42028043767584</v>
      </c>
    </row>
    <row r="154" spans="1:7" x14ac:dyDescent="0.25">
      <c r="B154" s="87" t="s">
        <v>1519</v>
      </c>
      <c r="C154">
        <v>278.8244478733057</v>
      </c>
      <c r="D154">
        <v>274.04868142996816</v>
      </c>
      <c r="E154">
        <v>415.26341378922086</v>
      </c>
      <c r="F154">
        <v>261.84400611183509</v>
      </c>
      <c r="G154">
        <v>455.48085946575657</v>
      </c>
    </row>
    <row r="155" spans="1:7" x14ac:dyDescent="0.25">
      <c r="B155" s="87" t="s">
        <v>1520</v>
      </c>
      <c r="C155">
        <v>283.89705580036116</v>
      </c>
      <c r="D155">
        <v>278.34465672817629</v>
      </c>
      <c r="E155">
        <v>429.22717868466736</v>
      </c>
      <c r="F155">
        <v>264.28185491294403</v>
      </c>
      <c r="G155">
        <v>470.89106448135766</v>
      </c>
    </row>
    <row r="157" spans="1:7" x14ac:dyDescent="0.25">
      <c r="A157" t="s">
        <v>1525</v>
      </c>
      <c r="B157" s="87" t="str">
        <f>MID(A157,16,LEN(A157)-16)</f>
        <v xml:space="preserve">Food and Beverages                         </v>
      </c>
    </row>
    <row r="158" spans="1:7" x14ac:dyDescent="0.25">
      <c r="A158" t="s">
        <v>1526</v>
      </c>
      <c r="C158" s="87" t="s">
        <v>1470</v>
      </c>
      <c r="D158" s="87" t="s">
        <v>1481</v>
      </c>
      <c r="E158" s="87" t="s">
        <v>1482</v>
      </c>
      <c r="F158" s="87" t="s">
        <v>1483</v>
      </c>
      <c r="G158" s="87" t="s">
        <v>1484</v>
      </c>
    </row>
    <row r="159" spans="1:7" x14ac:dyDescent="0.25">
      <c r="B159" s="87" t="s">
        <v>1487</v>
      </c>
      <c r="C159">
        <v>56.144074008326953</v>
      </c>
      <c r="D159">
        <v>56.144074008326953</v>
      </c>
      <c r="E159">
        <v>56.144074008326953</v>
      </c>
      <c r="F159">
        <v>56.144074008326953</v>
      </c>
      <c r="G159">
        <v>56.144074008326953</v>
      </c>
    </row>
    <row r="160" spans="1:7" x14ac:dyDescent="0.25">
      <c r="B160" s="87" t="s">
        <v>1488</v>
      </c>
      <c r="C160">
        <v>57.596247890122157</v>
      </c>
      <c r="D160">
        <v>57.596247889931732</v>
      </c>
      <c r="E160">
        <v>57.596247889934389</v>
      </c>
      <c r="F160">
        <v>57.596247889932684</v>
      </c>
      <c r="G160">
        <v>57.596247884689845</v>
      </c>
    </row>
    <row r="161" spans="2:7" x14ac:dyDescent="0.25">
      <c r="B161" s="87" t="s">
        <v>1489</v>
      </c>
      <c r="C161">
        <v>59.232699755227394</v>
      </c>
      <c r="D161">
        <v>59.235703517452258</v>
      </c>
      <c r="E161">
        <v>59.237420161869473</v>
      </c>
      <c r="F161">
        <v>59.233301924326696</v>
      </c>
      <c r="G161">
        <v>59.236168805828655</v>
      </c>
    </row>
    <row r="162" spans="2:7" x14ac:dyDescent="0.25">
      <c r="B162" s="87" t="s">
        <v>1490</v>
      </c>
      <c r="C162">
        <v>60.793750188284335</v>
      </c>
      <c r="D162">
        <v>60.800488978187609</v>
      </c>
      <c r="E162">
        <v>60.804296905949769</v>
      </c>
      <c r="F162">
        <v>60.795108987198262</v>
      </c>
      <c r="G162">
        <v>60.801524199631395</v>
      </c>
    </row>
    <row r="163" spans="2:7" x14ac:dyDescent="0.25">
      <c r="B163" s="87" t="s">
        <v>1491</v>
      </c>
      <c r="C163">
        <v>62.455273744901262</v>
      </c>
      <c r="D163">
        <v>62.466226632355031</v>
      </c>
      <c r="E163">
        <v>62.472392820607539</v>
      </c>
      <c r="F163">
        <v>62.457486523909388</v>
      </c>
      <c r="G163">
        <v>62.467904593800355</v>
      </c>
    </row>
    <row r="164" spans="2:7" x14ac:dyDescent="0.25">
      <c r="B164" s="87" t="s">
        <v>1492</v>
      </c>
      <c r="C164">
        <v>63.958001732679193</v>
      </c>
      <c r="D164">
        <v>63.97409328241821</v>
      </c>
      <c r="E164">
        <v>63.980909153634002</v>
      </c>
      <c r="F164">
        <v>63.959029433176653</v>
      </c>
      <c r="G164">
        <v>63.976555501232532</v>
      </c>
    </row>
    <row r="165" spans="2:7" x14ac:dyDescent="0.25">
      <c r="B165" s="87" t="s">
        <v>1493</v>
      </c>
      <c r="C165">
        <v>65.193729038425474</v>
      </c>
      <c r="D165">
        <v>65.214829063627093</v>
      </c>
      <c r="E165">
        <v>65.226240724567901</v>
      </c>
      <c r="F165">
        <v>65.197559429191713</v>
      </c>
      <c r="G165">
        <v>65.218056338831886</v>
      </c>
    </row>
    <row r="166" spans="2:7" x14ac:dyDescent="0.25">
      <c r="B166" s="87" t="s">
        <v>1494</v>
      </c>
      <c r="C166">
        <v>66.417823570083485</v>
      </c>
      <c r="D166">
        <v>67.609642708755018</v>
      </c>
      <c r="E166">
        <v>68.573628719797497</v>
      </c>
      <c r="F166">
        <v>67.070204089742305</v>
      </c>
      <c r="G166">
        <v>68.473650776371215</v>
      </c>
    </row>
    <row r="167" spans="2:7" x14ac:dyDescent="0.25">
      <c r="B167" s="87" t="s">
        <v>1495</v>
      </c>
      <c r="C167">
        <v>67.750581147538185</v>
      </c>
      <c r="D167">
        <v>70.220464729067857</v>
      </c>
      <c r="E167">
        <v>72.232170085133021</v>
      </c>
      <c r="F167">
        <v>69.049122784616827</v>
      </c>
      <c r="G167">
        <v>72.061682694760847</v>
      </c>
    </row>
    <row r="168" spans="2:7" x14ac:dyDescent="0.25">
      <c r="B168" s="87" t="s">
        <v>1496</v>
      </c>
      <c r="C168">
        <v>69.069708110224113</v>
      </c>
      <c r="D168">
        <v>73.007033383618236</v>
      </c>
      <c r="E168">
        <v>76.208238421941672</v>
      </c>
      <c r="F168">
        <v>71.12502191073655</v>
      </c>
      <c r="G168">
        <v>75.867632883991433</v>
      </c>
    </row>
    <row r="169" spans="2:7" x14ac:dyDescent="0.25">
      <c r="B169" s="87" t="s">
        <v>1497</v>
      </c>
      <c r="C169">
        <v>70.418781245579495</v>
      </c>
      <c r="D169">
        <v>76.007325388535364</v>
      </c>
      <c r="E169">
        <v>80.494240138954837</v>
      </c>
      <c r="F169">
        <v>73.293101478109293</v>
      </c>
      <c r="G169">
        <v>79.984904640943455</v>
      </c>
    </row>
    <row r="170" spans="2:7" x14ac:dyDescent="0.25">
      <c r="B170" s="87" t="s">
        <v>1498</v>
      </c>
      <c r="C170">
        <v>71.761706029595246</v>
      </c>
      <c r="D170">
        <v>79.157135053380102</v>
      </c>
      <c r="E170">
        <v>85.051837858729982</v>
      </c>
      <c r="F170">
        <v>75.548672981001516</v>
      </c>
      <c r="G170">
        <v>84.343421804237892</v>
      </c>
    </row>
    <row r="171" spans="2:7" x14ac:dyDescent="0.25">
      <c r="B171" s="87" t="s">
        <v>1499</v>
      </c>
      <c r="C171">
        <v>73.133894117282253</v>
      </c>
      <c r="D171">
        <v>82.49949364316339</v>
      </c>
      <c r="E171">
        <v>89.9700200148215</v>
      </c>
      <c r="F171">
        <v>77.875817650230644</v>
      </c>
      <c r="G171">
        <v>89.045909954542026</v>
      </c>
    </row>
    <row r="172" spans="2:7" x14ac:dyDescent="0.25">
      <c r="B172" s="87" t="s">
        <v>1500</v>
      </c>
      <c r="C172">
        <v>74.444652593376119</v>
      </c>
      <c r="D172">
        <v>85.759558769711333</v>
      </c>
      <c r="E172">
        <v>94.210869961144624</v>
      </c>
      <c r="F172">
        <v>79.917366656651751</v>
      </c>
      <c r="G172">
        <v>93.431765656394646</v>
      </c>
    </row>
    <row r="173" spans="2:7" x14ac:dyDescent="0.25">
      <c r="B173" s="87" t="s">
        <v>1501</v>
      </c>
      <c r="C173">
        <v>75.680335481704034</v>
      </c>
      <c r="D173">
        <v>89.056627164392793</v>
      </c>
      <c r="E173">
        <v>98.815059579012285</v>
      </c>
      <c r="F173">
        <v>81.908518794737489</v>
      </c>
      <c r="G173">
        <v>98.029887500945165</v>
      </c>
    </row>
    <row r="174" spans="2:7" x14ac:dyDescent="0.25">
      <c r="B174" s="87" t="s">
        <v>1502</v>
      </c>
      <c r="C174">
        <v>76.88902841917924</v>
      </c>
      <c r="D174">
        <v>92.581364651604417</v>
      </c>
      <c r="E174">
        <v>103.56803086617397</v>
      </c>
      <c r="F174">
        <v>83.939817946533537</v>
      </c>
      <c r="G174">
        <v>102.73148024538688</v>
      </c>
    </row>
    <row r="175" spans="2:7" x14ac:dyDescent="0.25">
      <c r="B175" s="87" t="s">
        <v>1503</v>
      </c>
      <c r="C175">
        <v>78.089011691220378</v>
      </c>
      <c r="D175">
        <v>96.217136892421337</v>
      </c>
      <c r="E175">
        <v>108.7283387517877</v>
      </c>
      <c r="F175">
        <v>86.009134469204554</v>
      </c>
      <c r="G175">
        <v>107.83868549106631</v>
      </c>
    </row>
    <row r="176" spans="2:7" x14ac:dyDescent="0.25">
      <c r="B176" s="87" t="s">
        <v>1504</v>
      </c>
      <c r="C176">
        <v>79.328110133435842</v>
      </c>
      <c r="D176">
        <v>99.664884228855328</v>
      </c>
      <c r="E176">
        <v>114.24250860303459</v>
      </c>
      <c r="F176">
        <v>88.089033368121562</v>
      </c>
      <c r="G176">
        <v>112.80445710842227</v>
      </c>
    </row>
    <row r="177" spans="2:7" x14ac:dyDescent="0.25">
      <c r="B177" s="87" t="s">
        <v>1505</v>
      </c>
      <c r="C177">
        <v>80.563228768477671</v>
      </c>
      <c r="D177">
        <v>103.15135063072725</v>
      </c>
      <c r="E177">
        <v>120.02623267535731</v>
      </c>
      <c r="F177">
        <v>90.18926782121973</v>
      </c>
      <c r="G177">
        <v>117.99770648909802</v>
      </c>
    </row>
    <row r="178" spans="2:7" x14ac:dyDescent="0.25">
      <c r="B178" s="87" t="s">
        <v>1506</v>
      </c>
      <c r="C178">
        <v>81.855207757495904</v>
      </c>
      <c r="D178">
        <v>106.80082988409251</v>
      </c>
      <c r="E178">
        <v>126.24131869055853</v>
      </c>
      <c r="F178">
        <v>92.31959233843429</v>
      </c>
      <c r="G178">
        <v>123.41098435823935</v>
      </c>
    </row>
    <row r="179" spans="2:7" x14ac:dyDescent="0.25">
      <c r="B179" s="87" t="s">
        <v>1507</v>
      </c>
      <c r="C179">
        <v>83.114072870026462</v>
      </c>
      <c r="D179">
        <v>110.73820326748972</v>
      </c>
      <c r="E179">
        <v>133.08094964820526</v>
      </c>
      <c r="F179">
        <v>94.534693281853436</v>
      </c>
      <c r="G179">
        <v>129.25957971285897</v>
      </c>
    </row>
    <row r="180" spans="2:7" x14ac:dyDescent="0.25">
      <c r="B180" s="87" t="s">
        <v>1508</v>
      </c>
      <c r="C180">
        <v>84.344532030078369</v>
      </c>
      <c r="D180">
        <v>115.15051121376067</v>
      </c>
      <c r="E180">
        <v>140.76903955500848</v>
      </c>
      <c r="F180">
        <v>96.862874993513984</v>
      </c>
      <c r="G180">
        <v>135.74749632325052</v>
      </c>
    </row>
    <row r="181" spans="2:7" x14ac:dyDescent="0.25">
      <c r="B181" s="87" t="s">
        <v>1509</v>
      </c>
      <c r="C181">
        <v>85.595628870763107</v>
      </c>
      <c r="D181">
        <v>119.45929513223831</v>
      </c>
      <c r="E181">
        <v>147.87376469864239</v>
      </c>
      <c r="F181">
        <v>98.93447140028718</v>
      </c>
      <c r="G181">
        <v>141.19732305323296</v>
      </c>
    </row>
    <row r="182" spans="2:7" x14ac:dyDescent="0.25">
      <c r="B182" s="87" t="s">
        <v>1510</v>
      </c>
      <c r="C182">
        <v>86.949179291956085</v>
      </c>
      <c r="D182">
        <v>123.98442977633187</v>
      </c>
      <c r="E182">
        <v>155.37270802067223</v>
      </c>
      <c r="F182">
        <v>101.04012756976482</v>
      </c>
      <c r="G182">
        <v>146.7315386282927</v>
      </c>
    </row>
    <row r="183" spans="2:7" x14ac:dyDescent="0.25">
      <c r="B183" s="87" t="s">
        <v>1511</v>
      </c>
      <c r="C183">
        <v>88.402456539653599</v>
      </c>
      <c r="D183">
        <v>128.78233540857306</v>
      </c>
      <c r="E183">
        <v>163.26302902638008</v>
      </c>
      <c r="F183">
        <v>103.21586594720426</v>
      </c>
      <c r="G183">
        <v>152.32007026290665</v>
      </c>
    </row>
    <row r="184" spans="2:7" x14ac:dyDescent="0.25">
      <c r="B184" s="87" t="s">
        <v>1512</v>
      </c>
      <c r="C184">
        <v>89.98211660390615</v>
      </c>
      <c r="D184">
        <v>133.84457916636615</v>
      </c>
      <c r="E184">
        <v>171.47703403201524</v>
      </c>
      <c r="F184">
        <v>105.43247885615062</v>
      </c>
      <c r="G184">
        <v>158.01521833980215</v>
      </c>
    </row>
    <row r="185" spans="2:7" x14ac:dyDescent="0.25">
      <c r="B185" s="87" t="s">
        <v>1513</v>
      </c>
      <c r="C185">
        <v>91.642636817854623</v>
      </c>
      <c r="D185">
        <v>139.14094324239406</v>
      </c>
      <c r="E185">
        <v>180.18869137932711</v>
      </c>
      <c r="F185">
        <v>107.64536292746516</v>
      </c>
      <c r="G185">
        <v>163.83861958110919</v>
      </c>
    </row>
    <row r="186" spans="2:7" x14ac:dyDescent="0.25">
      <c r="B186" s="87" t="s">
        <v>1514</v>
      </c>
      <c r="C186">
        <v>93.37001915776122</v>
      </c>
      <c r="D186">
        <v>143.93431652844222</v>
      </c>
      <c r="E186">
        <v>186.87054588479344</v>
      </c>
      <c r="F186">
        <v>109.67915759769289</v>
      </c>
      <c r="G186">
        <v>169.25980424384721</v>
      </c>
    </row>
    <row r="187" spans="2:7" x14ac:dyDescent="0.25">
      <c r="B187" s="87" t="s">
        <v>1515</v>
      </c>
      <c r="C187">
        <v>95.14005449467183</v>
      </c>
      <c r="D187">
        <v>148.87840108492986</v>
      </c>
      <c r="E187">
        <v>193.77021273034745</v>
      </c>
      <c r="F187">
        <v>111.69922038816239</v>
      </c>
      <c r="G187">
        <v>174.72660461736325</v>
      </c>
    </row>
    <row r="188" spans="2:7" x14ac:dyDescent="0.25">
      <c r="B188" s="87" t="s">
        <v>1516</v>
      </c>
      <c r="C188">
        <v>96.949578026604897</v>
      </c>
      <c r="D188">
        <v>154.07220226150056</v>
      </c>
      <c r="E188">
        <v>200.97705418567261</v>
      </c>
      <c r="F188">
        <v>113.81804403869724</v>
      </c>
      <c r="G188">
        <v>180.20382849134978</v>
      </c>
    </row>
    <row r="189" spans="2:7" x14ac:dyDescent="0.25">
      <c r="B189" s="87" t="s">
        <v>1517</v>
      </c>
      <c r="C189">
        <v>98.737492869519315</v>
      </c>
      <c r="D189">
        <v>159.38676860590255</v>
      </c>
      <c r="E189">
        <v>208.23363854296159</v>
      </c>
      <c r="F189">
        <v>115.88582067029937</v>
      </c>
      <c r="G189">
        <v>185.64771443440213</v>
      </c>
    </row>
    <row r="190" spans="2:7" x14ac:dyDescent="0.25">
      <c r="B190" s="87" t="s">
        <v>1518</v>
      </c>
      <c r="C190">
        <v>100.61375977832054</v>
      </c>
      <c r="D190">
        <v>165.05664687961468</v>
      </c>
      <c r="E190">
        <v>215.80632006950222</v>
      </c>
      <c r="F190">
        <v>118.02078304552396</v>
      </c>
      <c r="G190">
        <v>191.16448808088688</v>
      </c>
    </row>
    <row r="191" spans="2:7" x14ac:dyDescent="0.25">
      <c r="B191" s="87" t="s">
        <v>1519</v>
      </c>
      <c r="C191">
        <v>102.53970407585214</v>
      </c>
      <c r="D191">
        <v>170.93526753746519</v>
      </c>
      <c r="E191">
        <v>223.56274349275634</v>
      </c>
      <c r="F191">
        <v>120.19184423601351</v>
      </c>
      <c r="G191">
        <v>196.6438804351144</v>
      </c>
    </row>
    <row r="192" spans="2:7" x14ac:dyDescent="0.25">
      <c r="B192" s="87" t="s">
        <v>1520</v>
      </c>
      <c r="C192">
        <v>104.49735795361025</v>
      </c>
      <c r="D192">
        <v>177.01518326503401</v>
      </c>
      <c r="E192">
        <v>231.53631736404105</v>
      </c>
      <c r="F192">
        <v>122.36318074342333</v>
      </c>
      <c r="G192">
        <v>202.11712051314933</v>
      </c>
    </row>
    <row r="194" spans="1:7" x14ac:dyDescent="0.25">
      <c r="A194" t="s">
        <v>1527</v>
      </c>
      <c r="B194" s="87" t="str">
        <f>MID(A194,16,LEN(A194)-16)</f>
        <v xml:space="preserve">Pulp and Paper                             </v>
      </c>
    </row>
    <row r="195" spans="1:7" x14ac:dyDescent="0.25">
      <c r="A195" t="s">
        <v>1528</v>
      </c>
      <c r="C195" s="87" t="s">
        <v>1470</v>
      </c>
      <c r="D195" s="87" t="s">
        <v>1481</v>
      </c>
      <c r="E195" s="87" t="s">
        <v>1482</v>
      </c>
      <c r="F195" s="87" t="s">
        <v>1483</v>
      </c>
      <c r="G195" s="87" t="s">
        <v>1484</v>
      </c>
    </row>
    <row r="196" spans="1:7" x14ac:dyDescent="0.25">
      <c r="B196" s="87" t="s">
        <v>1487</v>
      </c>
      <c r="C196">
        <v>10.773909774696385</v>
      </c>
      <c r="D196">
        <v>10.773909774696385</v>
      </c>
      <c r="E196">
        <v>10.773909774696385</v>
      </c>
      <c r="F196">
        <v>10.773909774696385</v>
      </c>
      <c r="G196">
        <v>10.773909774696385</v>
      </c>
    </row>
    <row r="197" spans="1:7" x14ac:dyDescent="0.25">
      <c r="B197" s="87" t="s">
        <v>1488</v>
      </c>
      <c r="C197">
        <v>11.080574868084977</v>
      </c>
      <c r="D197">
        <v>11.080574868082167</v>
      </c>
      <c r="E197">
        <v>11.080574868082238</v>
      </c>
      <c r="F197">
        <v>11.080574868082319</v>
      </c>
      <c r="G197">
        <v>11.080574867291002</v>
      </c>
    </row>
    <row r="198" spans="1:7" x14ac:dyDescent="0.25">
      <c r="B198" s="87" t="s">
        <v>1489</v>
      </c>
      <c r="C198">
        <v>11.404975858167683</v>
      </c>
      <c r="D198">
        <v>11.405303075327518</v>
      </c>
      <c r="E198">
        <v>11.405490017490191</v>
      </c>
      <c r="F198">
        <v>11.405041469485623</v>
      </c>
      <c r="G198">
        <v>11.405353749453631</v>
      </c>
    </row>
    <row r="199" spans="1:7" x14ac:dyDescent="0.25">
      <c r="B199" s="87" t="s">
        <v>1490</v>
      </c>
      <c r="C199">
        <v>11.731916317041854</v>
      </c>
      <c r="D199">
        <v>11.732653359971909</v>
      </c>
      <c r="E199">
        <v>11.733069345663228</v>
      </c>
      <c r="F199">
        <v>11.732065024678292</v>
      </c>
      <c r="G199">
        <v>11.732766485269591</v>
      </c>
    </row>
    <row r="200" spans="1:7" x14ac:dyDescent="0.25">
      <c r="B200" s="87" t="s">
        <v>1491</v>
      </c>
      <c r="C200">
        <v>12.068699859508824</v>
      </c>
      <c r="D200">
        <v>12.069923820120563</v>
      </c>
      <c r="E200">
        <v>12.070611908318241</v>
      </c>
      <c r="F200">
        <v>12.06894731111751</v>
      </c>
      <c r="G200">
        <v>12.070111132838369</v>
      </c>
    </row>
    <row r="201" spans="1:7" x14ac:dyDescent="0.25">
      <c r="B201" s="87" t="s">
        <v>1492</v>
      </c>
      <c r="C201">
        <v>12.394351879231415</v>
      </c>
      <c r="D201">
        <v>12.396198252393138</v>
      </c>
      <c r="E201">
        <v>12.397658018210329</v>
      </c>
      <c r="F201">
        <v>12.395149568721063</v>
      </c>
      <c r="G201">
        <v>12.396480425204741</v>
      </c>
    </row>
    <row r="202" spans="1:7" x14ac:dyDescent="0.25">
      <c r="B202" s="87" t="s">
        <v>1493</v>
      </c>
      <c r="C202">
        <v>12.696495023983587</v>
      </c>
      <c r="D202">
        <v>12.698978812112246</v>
      </c>
      <c r="E202">
        <v>12.700308019470871</v>
      </c>
      <c r="F202">
        <v>12.696934969351672</v>
      </c>
      <c r="G202">
        <v>12.699358182849963</v>
      </c>
    </row>
    <row r="203" spans="1:7" x14ac:dyDescent="0.25">
      <c r="B203" s="87" t="s">
        <v>1494</v>
      </c>
      <c r="C203">
        <v>12.985124404963239</v>
      </c>
      <c r="D203">
        <v>13.38616428628076</v>
      </c>
      <c r="E203">
        <v>13.577801178937619</v>
      </c>
      <c r="F203">
        <v>13.183833035204424</v>
      </c>
      <c r="G203">
        <v>13.532860004096863</v>
      </c>
    </row>
    <row r="204" spans="1:7" x14ac:dyDescent="0.25">
      <c r="B204" s="87" t="s">
        <v>1495</v>
      </c>
      <c r="C204">
        <v>13.276334298866518</v>
      </c>
      <c r="D204">
        <v>14.131452085303833</v>
      </c>
      <c r="E204">
        <v>14.539660737111445</v>
      </c>
      <c r="F204">
        <v>13.695724530178254</v>
      </c>
      <c r="G204">
        <v>14.442543305764605</v>
      </c>
    </row>
    <row r="205" spans="1:7" x14ac:dyDescent="0.25">
      <c r="B205" s="87" t="s">
        <v>1496</v>
      </c>
      <c r="C205">
        <v>13.580656824016559</v>
      </c>
      <c r="D205">
        <v>14.958600021634627</v>
      </c>
      <c r="E205">
        <v>15.615677743056823</v>
      </c>
      <c r="F205">
        <v>14.252137145265074</v>
      </c>
      <c r="G205">
        <v>15.450735140494817</v>
      </c>
    </row>
    <row r="206" spans="1:7" x14ac:dyDescent="0.25">
      <c r="B206" s="87" t="s">
        <v>1497</v>
      </c>
      <c r="C206">
        <v>13.887446292078312</v>
      </c>
      <c r="D206">
        <v>15.862344732720416</v>
      </c>
      <c r="E206">
        <v>16.805608619423207</v>
      </c>
      <c r="F206">
        <v>14.842271697738754</v>
      </c>
      <c r="G206">
        <v>16.558594206178146</v>
      </c>
    </row>
    <row r="207" spans="1:7" x14ac:dyDescent="0.25">
      <c r="B207" s="87" t="s">
        <v>1498</v>
      </c>
      <c r="C207">
        <v>14.204543183267388</v>
      </c>
      <c r="D207">
        <v>16.837789742714474</v>
      </c>
      <c r="E207">
        <v>18.113689820057132</v>
      </c>
      <c r="F207">
        <v>15.473145283856988</v>
      </c>
      <c r="G207">
        <v>17.770568281383881</v>
      </c>
    </row>
    <row r="208" spans="1:7" x14ac:dyDescent="0.25">
      <c r="B208" s="87" t="s">
        <v>1499</v>
      </c>
      <c r="C208">
        <v>14.517373252834341</v>
      </c>
      <c r="D208">
        <v>17.881936974209825</v>
      </c>
      <c r="E208">
        <v>19.538846951044697</v>
      </c>
      <c r="F208">
        <v>16.127821351763686</v>
      </c>
      <c r="G208">
        <v>19.085983130612984</v>
      </c>
    </row>
    <row r="209" spans="2:7" x14ac:dyDescent="0.25">
      <c r="B209" s="87" t="s">
        <v>1500</v>
      </c>
      <c r="C209">
        <v>14.831069109142891</v>
      </c>
      <c r="D209">
        <v>18.928885219860344</v>
      </c>
      <c r="E209">
        <v>20.824603995122061</v>
      </c>
      <c r="F209">
        <v>16.713688410205087</v>
      </c>
      <c r="G209">
        <v>20.324512544545623</v>
      </c>
    </row>
    <row r="210" spans="2:7" x14ac:dyDescent="0.25">
      <c r="B210" s="87" t="s">
        <v>1501</v>
      </c>
      <c r="C210">
        <v>15.136495695864962</v>
      </c>
      <c r="D210">
        <v>20.027270039040182</v>
      </c>
      <c r="E210">
        <v>22.250731492679723</v>
      </c>
      <c r="F210">
        <v>17.306085534127178</v>
      </c>
      <c r="G210">
        <v>21.653929023766484</v>
      </c>
    </row>
    <row r="211" spans="2:7" x14ac:dyDescent="0.25">
      <c r="B211" s="87" t="s">
        <v>1502</v>
      </c>
      <c r="C211">
        <v>15.467645410733631</v>
      </c>
      <c r="D211">
        <v>21.216934284025488</v>
      </c>
      <c r="E211">
        <v>23.763855445485</v>
      </c>
      <c r="F211">
        <v>17.941248543967504</v>
      </c>
      <c r="G211">
        <v>23.048702619591026</v>
      </c>
    </row>
    <row r="212" spans="2:7" x14ac:dyDescent="0.25">
      <c r="B212" s="87" t="s">
        <v>1503</v>
      </c>
      <c r="C212">
        <v>15.770841271028782</v>
      </c>
      <c r="D212">
        <v>22.42914676484823</v>
      </c>
      <c r="E212">
        <v>25.390378005307653</v>
      </c>
      <c r="F212">
        <v>18.562450631412098</v>
      </c>
      <c r="G212">
        <v>24.538991262067171</v>
      </c>
    </row>
    <row r="213" spans="2:7" x14ac:dyDescent="0.25">
      <c r="B213" s="87" t="s">
        <v>1504</v>
      </c>
      <c r="C213">
        <v>16.081179347743674</v>
      </c>
      <c r="D213">
        <v>23.61399209389689</v>
      </c>
      <c r="E213">
        <v>27.056305928991435</v>
      </c>
      <c r="F213">
        <v>19.184668285534869</v>
      </c>
      <c r="G213">
        <v>25.93393776815612</v>
      </c>
    </row>
    <row r="214" spans="2:7" x14ac:dyDescent="0.25">
      <c r="B214" s="87" t="s">
        <v>1505</v>
      </c>
      <c r="C214">
        <v>16.401370607743846</v>
      </c>
      <c r="D214">
        <v>24.790197345896384</v>
      </c>
      <c r="E214">
        <v>28.829633791729723</v>
      </c>
      <c r="F214">
        <v>19.826898588356165</v>
      </c>
      <c r="G214">
        <v>27.394703066730195</v>
      </c>
    </row>
    <row r="215" spans="2:7" x14ac:dyDescent="0.25">
      <c r="B215" s="87" t="s">
        <v>1506</v>
      </c>
      <c r="C215">
        <v>16.736754324862041</v>
      </c>
      <c r="D215">
        <v>26.029024381468233</v>
      </c>
      <c r="E215">
        <v>30.776108458662971</v>
      </c>
      <c r="F215">
        <v>20.486904686274393</v>
      </c>
      <c r="G215">
        <v>28.950385581042635</v>
      </c>
    </row>
    <row r="216" spans="2:7" x14ac:dyDescent="0.25">
      <c r="B216" s="87" t="s">
        <v>1507</v>
      </c>
      <c r="C216">
        <v>17.067931366319876</v>
      </c>
      <c r="D216">
        <v>27.353480433282709</v>
      </c>
      <c r="E216">
        <v>32.915218996786059</v>
      </c>
      <c r="F216">
        <v>21.179974139772177</v>
      </c>
      <c r="G216">
        <v>30.624483190855074</v>
      </c>
    </row>
    <row r="217" spans="2:7" x14ac:dyDescent="0.25">
      <c r="B217" s="87" t="s">
        <v>1508</v>
      </c>
      <c r="C217">
        <v>17.392058553279551</v>
      </c>
      <c r="D217">
        <v>28.78177879405267</v>
      </c>
      <c r="E217">
        <v>35.271263675702514</v>
      </c>
      <c r="F217">
        <v>21.910125006397752</v>
      </c>
      <c r="G217">
        <v>32.4362041656331</v>
      </c>
    </row>
    <row r="218" spans="2:7" x14ac:dyDescent="0.25">
      <c r="B218" s="87" t="s">
        <v>1509</v>
      </c>
      <c r="C218">
        <v>17.718798870733654</v>
      </c>
      <c r="D218">
        <v>30.161500957252631</v>
      </c>
      <c r="E218">
        <v>37.43463645656319</v>
      </c>
      <c r="F218">
        <v>22.499664810831995</v>
      </c>
      <c r="G218">
        <v>33.847815709194414</v>
      </c>
    </row>
    <row r="219" spans="2:7" x14ac:dyDescent="0.25">
      <c r="B219" s="87" t="s">
        <v>1510</v>
      </c>
      <c r="C219">
        <v>18.09295562916466</v>
      </c>
      <c r="D219">
        <v>31.594118774507923</v>
      </c>
      <c r="E219">
        <v>39.697578353079088</v>
      </c>
      <c r="F219">
        <v>23.097646698110164</v>
      </c>
      <c r="G219">
        <v>35.262461026872643</v>
      </c>
    </row>
    <row r="220" spans="2:7" x14ac:dyDescent="0.25">
      <c r="B220" s="87" t="s">
        <v>1511</v>
      </c>
      <c r="C220">
        <v>18.456968419577613</v>
      </c>
      <c r="D220">
        <v>33.103140943257259</v>
      </c>
      <c r="E220">
        <v>42.077269157963059</v>
      </c>
      <c r="F220">
        <v>23.712236751898384</v>
      </c>
      <c r="G220">
        <v>36.677208116487492</v>
      </c>
    </row>
    <row r="221" spans="2:7" x14ac:dyDescent="0.25">
      <c r="B221" s="87" t="s">
        <v>1512</v>
      </c>
      <c r="C221">
        <v>18.838238889561726</v>
      </c>
      <c r="D221">
        <v>34.667789420872303</v>
      </c>
      <c r="E221">
        <v>44.576714435758696</v>
      </c>
      <c r="F221">
        <v>24.334549933047469</v>
      </c>
      <c r="G221">
        <v>38.098709409903535</v>
      </c>
    </row>
    <row r="222" spans="2:7" x14ac:dyDescent="0.25">
      <c r="B222" s="87" t="s">
        <v>1513</v>
      </c>
      <c r="C222">
        <v>19.23786295188015</v>
      </c>
      <c r="D222">
        <v>36.282823766137348</v>
      </c>
      <c r="E222">
        <v>47.226061333169902</v>
      </c>
      <c r="F222">
        <v>24.953257320340196</v>
      </c>
      <c r="G222">
        <v>39.533230862285443</v>
      </c>
    </row>
    <row r="223" spans="2:7" x14ac:dyDescent="0.25">
      <c r="B223" s="87" t="s">
        <v>1514</v>
      </c>
      <c r="C223">
        <v>19.654986668080415</v>
      </c>
      <c r="D223">
        <v>37.737861228179547</v>
      </c>
      <c r="E223">
        <v>49.364903526021322</v>
      </c>
      <c r="F223">
        <v>25.531991625147345</v>
      </c>
      <c r="G223">
        <v>40.827736306331836</v>
      </c>
    </row>
    <row r="224" spans="2:7" x14ac:dyDescent="0.25">
      <c r="B224" s="87" t="s">
        <v>1515</v>
      </c>
      <c r="C224">
        <v>20.075675304396739</v>
      </c>
      <c r="D224">
        <v>39.206526081004206</v>
      </c>
      <c r="E224">
        <v>51.515678896643784</v>
      </c>
      <c r="F224">
        <v>26.113095209547087</v>
      </c>
      <c r="G224">
        <v>42.10314253974115</v>
      </c>
    </row>
    <row r="225" spans="1:7" x14ac:dyDescent="0.25">
      <c r="B225" s="87" t="s">
        <v>1516</v>
      </c>
      <c r="C225">
        <v>20.505243599412996</v>
      </c>
      <c r="D225">
        <v>40.712896912040591</v>
      </c>
      <c r="E225">
        <v>53.700057403276226</v>
      </c>
      <c r="F225">
        <v>26.713362017196566</v>
      </c>
      <c r="G225">
        <v>43.351846637799412</v>
      </c>
    </row>
    <row r="226" spans="1:7" x14ac:dyDescent="0.25">
      <c r="B226" s="87" t="s">
        <v>1517</v>
      </c>
      <c r="C226">
        <v>20.923808708234546</v>
      </c>
      <c r="D226">
        <v>42.205084263404423</v>
      </c>
      <c r="E226">
        <v>55.853083444131805</v>
      </c>
      <c r="F226">
        <v>27.294224931047687</v>
      </c>
      <c r="G226">
        <v>44.548320942244395</v>
      </c>
    </row>
    <row r="227" spans="1:7" x14ac:dyDescent="0.25">
      <c r="B227" s="87" t="s">
        <v>1518</v>
      </c>
      <c r="C227">
        <v>21.368007037695222</v>
      </c>
      <c r="D227">
        <v>43.737749509316338</v>
      </c>
      <c r="E227">
        <v>58.084489501033154</v>
      </c>
      <c r="F227">
        <v>27.894729677424628</v>
      </c>
      <c r="G227">
        <v>45.754003685595286</v>
      </c>
    </row>
    <row r="228" spans="1:7" x14ac:dyDescent="0.25">
      <c r="B228" s="87" t="s">
        <v>1519</v>
      </c>
      <c r="C228">
        <v>21.829112225547174</v>
      </c>
      <c r="D228">
        <v>45.276802088220428</v>
      </c>
      <c r="E228">
        <v>60.347728616769388</v>
      </c>
      <c r="F228">
        <v>28.513154396909798</v>
      </c>
      <c r="G228">
        <v>46.929250625343194</v>
      </c>
    </row>
    <row r="229" spans="1:7" x14ac:dyDescent="0.25">
      <c r="B229" s="87" t="s">
        <v>1520</v>
      </c>
      <c r="C229">
        <v>22.291707335539343</v>
      </c>
      <c r="D229">
        <v>46.812374386866573</v>
      </c>
      <c r="E229">
        <v>62.642186176454899</v>
      </c>
      <c r="F229">
        <v>29.117163530492505</v>
      </c>
      <c r="G229">
        <v>48.065991412903479</v>
      </c>
    </row>
    <row r="231" spans="1:7" x14ac:dyDescent="0.25">
      <c r="A231" t="s">
        <v>1529</v>
      </c>
      <c r="B231" s="87" t="str">
        <f>MID(A231,16,LEN(A231)-16)</f>
        <v xml:space="preserve">Chemicals                                  </v>
      </c>
    </row>
    <row r="232" spans="1:7" x14ac:dyDescent="0.25">
      <c r="A232" t="s">
        <v>1530</v>
      </c>
      <c r="C232" s="87" t="s">
        <v>1470</v>
      </c>
      <c r="D232" s="87" t="s">
        <v>1481</v>
      </c>
      <c r="E232" s="87" t="s">
        <v>1482</v>
      </c>
      <c r="F232" s="87" t="s">
        <v>1483</v>
      </c>
      <c r="G232" s="87" t="s">
        <v>1484</v>
      </c>
    </row>
    <row r="233" spans="1:7" x14ac:dyDescent="0.25">
      <c r="B233" s="87" t="s">
        <v>1487</v>
      </c>
      <c r="C233">
        <v>49.700979865439152</v>
      </c>
      <c r="D233">
        <v>49.700979865439152</v>
      </c>
      <c r="E233">
        <v>49.700979865439152</v>
      </c>
      <c r="F233">
        <v>49.700979865439152</v>
      </c>
      <c r="G233">
        <v>49.700979865439152</v>
      </c>
    </row>
    <row r="234" spans="1:7" x14ac:dyDescent="0.25">
      <c r="B234" s="87" t="s">
        <v>1488</v>
      </c>
      <c r="C234">
        <v>50.656978508317977</v>
      </c>
      <c r="D234">
        <v>50.656978508272374</v>
      </c>
      <c r="E234">
        <v>50.656978508272594</v>
      </c>
      <c r="F234">
        <v>50.65697850827268</v>
      </c>
      <c r="G234">
        <v>50.656978504690798</v>
      </c>
    </row>
    <row r="235" spans="1:7" x14ac:dyDescent="0.25">
      <c r="B235" s="87" t="s">
        <v>1489</v>
      </c>
      <c r="C235">
        <v>51.552121184763969</v>
      </c>
      <c r="D235">
        <v>51.554065499655856</v>
      </c>
      <c r="E235">
        <v>51.55517683146423</v>
      </c>
      <c r="F235">
        <v>51.552510971629054</v>
      </c>
      <c r="G235">
        <v>51.554366707565073</v>
      </c>
    </row>
    <row r="236" spans="1:7" x14ac:dyDescent="0.25">
      <c r="B236" s="87" t="s">
        <v>1490</v>
      </c>
      <c r="C236">
        <v>52.441631559379303</v>
      </c>
      <c r="D236">
        <v>52.446076307481817</v>
      </c>
      <c r="E236">
        <v>52.448588279393476</v>
      </c>
      <c r="F236">
        <v>52.442527735691641</v>
      </c>
      <c r="G236">
        <v>52.446759185352349</v>
      </c>
    </row>
    <row r="237" spans="1:7" x14ac:dyDescent="0.25">
      <c r="B237" s="87" t="s">
        <v>1491</v>
      </c>
      <c r="C237">
        <v>53.22999094988549</v>
      </c>
      <c r="D237">
        <v>53.237312550730806</v>
      </c>
      <c r="E237">
        <v>53.241435994939877</v>
      </c>
      <c r="F237">
        <v>53.231469830750981</v>
      </c>
      <c r="G237">
        <v>53.238434520555188</v>
      </c>
    </row>
    <row r="238" spans="1:7" x14ac:dyDescent="0.25">
      <c r="B238" s="87" t="s">
        <v>1492</v>
      </c>
      <c r="C238">
        <v>54.112692566695614</v>
      </c>
      <c r="D238">
        <v>54.123528623239288</v>
      </c>
      <c r="E238">
        <v>54.130410742873735</v>
      </c>
      <c r="F238">
        <v>54.115671307059159</v>
      </c>
      <c r="G238">
        <v>54.125187511640931</v>
      </c>
    </row>
    <row r="239" spans="1:7" x14ac:dyDescent="0.25">
      <c r="B239" s="87" t="s">
        <v>1493</v>
      </c>
      <c r="C239">
        <v>55.133073133385714</v>
      </c>
      <c r="D239">
        <v>55.147383544291145</v>
      </c>
      <c r="E239">
        <v>55.155218302385833</v>
      </c>
      <c r="F239">
        <v>55.135757192807013</v>
      </c>
      <c r="G239">
        <v>55.14957388058432</v>
      </c>
    </row>
    <row r="240" spans="1:7" x14ac:dyDescent="0.25">
      <c r="B240" s="87" t="s">
        <v>1494</v>
      </c>
      <c r="C240">
        <v>56.054591478088149</v>
      </c>
      <c r="D240">
        <v>57.61139096344526</v>
      </c>
      <c r="E240">
        <v>58.525508039011441</v>
      </c>
      <c r="F240">
        <v>56.834763386936288</v>
      </c>
      <c r="G240">
        <v>58.341944668501668</v>
      </c>
    </row>
    <row r="241" spans="2:7" x14ac:dyDescent="0.25">
      <c r="B241" s="87" t="s">
        <v>1495</v>
      </c>
      <c r="C241">
        <v>56.996014757590373</v>
      </c>
      <c r="D241">
        <v>60.415924727929649</v>
      </c>
      <c r="E241">
        <v>62.320790066071829</v>
      </c>
      <c r="F241">
        <v>58.720479604201351</v>
      </c>
      <c r="G241">
        <v>61.873038898169355</v>
      </c>
    </row>
    <row r="242" spans="2:7" x14ac:dyDescent="0.25">
      <c r="B242" s="87" t="s">
        <v>1496</v>
      </c>
      <c r="C242">
        <v>58.113807526658896</v>
      </c>
      <c r="D242">
        <v>63.59084015019176</v>
      </c>
      <c r="E242">
        <v>66.555476415936013</v>
      </c>
      <c r="F242">
        <v>60.834069685383156</v>
      </c>
      <c r="G242">
        <v>65.880859931966484</v>
      </c>
    </row>
    <row r="243" spans="2:7" x14ac:dyDescent="0.25">
      <c r="B243" s="87" t="s">
        <v>1497</v>
      </c>
      <c r="C243">
        <v>59.277898835409388</v>
      </c>
      <c r="D243">
        <v>67.059037117682266</v>
      </c>
      <c r="E243">
        <v>71.252463214670925</v>
      </c>
      <c r="F243">
        <v>63.099538568752422</v>
      </c>
      <c r="G243">
        <v>70.259619396182501</v>
      </c>
    </row>
    <row r="244" spans="2:7" x14ac:dyDescent="0.25">
      <c r="B244" s="87" t="s">
        <v>1498</v>
      </c>
      <c r="C244">
        <v>60.414508111325695</v>
      </c>
      <c r="D244">
        <v>70.691512934471191</v>
      </c>
      <c r="E244">
        <v>76.255690967196557</v>
      </c>
      <c r="F244">
        <v>65.409300492931749</v>
      </c>
      <c r="G244">
        <v>74.936132200117243</v>
      </c>
    </row>
    <row r="245" spans="2:7" x14ac:dyDescent="0.25">
      <c r="B245" s="87" t="s">
        <v>1499</v>
      </c>
      <c r="C245">
        <v>61.540440323251097</v>
      </c>
      <c r="D245">
        <v>74.611361308255084</v>
      </c>
      <c r="E245">
        <v>81.751096850672084</v>
      </c>
      <c r="F245">
        <v>67.845516491872971</v>
      </c>
      <c r="G245">
        <v>80.00075141558068</v>
      </c>
    </row>
    <row r="246" spans="2:7" x14ac:dyDescent="0.25">
      <c r="B246" s="87" t="s">
        <v>1500</v>
      </c>
      <c r="C246">
        <v>62.796575056170305</v>
      </c>
      <c r="D246">
        <v>78.578826763630275</v>
      </c>
      <c r="E246">
        <v>86.668093113531228</v>
      </c>
      <c r="F246">
        <v>70.076303858672929</v>
      </c>
      <c r="G246">
        <v>84.839080959945875</v>
      </c>
    </row>
    <row r="247" spans="2:7" x14ac:dyDescent="0.25">
      <c r="B247" s="87" t="s">
        <v>1501</v>
      </c>
      <c r="C247">
        <v>64.110799948552199</v>
      </c>
      <c r="D247">
        <v>82.911350717948892</v>
      </c>
      <c r="E247">
        <v>92.134267560406911</v>
      </c>
      <c r="F247">
        <v>72.441778706069314</v>
      </c>
      <c r="G247">
        <v>90.09042604619296</v>
      </c>
    </row>
    <row r="248" spans="2:7" x14ac:dyDescent="0.25">
      <c r="B248" s="87" t="s">
        <v>1502</v>
      </c>
      <c r="C248">
        <v>65.586162925247578</v>
      </c>
      <c r="D248">
        <v>87.566425785903263</v>
      </c>
      <c r="E248">
        <v>98.210125492823806</v>
      </c>
      <c r="F248">
        <v>75.04958261478285</v>
      </c>
      <c r="G248">
        <v>95.807288321906384</v>
      </c>
    </row>
    <row r="249" spans="2:7" x14ac:dyDescent="0.25">
      <c r="B249" s="87" t="s">
        <v>1503</v>
      </c>
      <c r="C249">
        <v>66.966220353759368</v>
      </c>
      <c r="D249">
        <v>92.332099231612432</v>
      </c>
      <c r="E249">
        <v>104.52513063127722</v>
      </c>
      <c r="F249">
        <v>77.609843399402422</v>
      </c>
      <c r="G249">
        <v>101.74905352816982</v>
      </c>
    </row>
    <row r="250" spans="2:7" x14ac:dyDescent="0.25">
      <c r="B250" s="87" t="s">
        <v>1504</v>
      </c>
      <c r="C250">
        <v>68.374199236148598</v>
      </c>
      <c r="D250">
        <v>96.828388814900023</v>
      </c>
      <c r="E250">
        <v>110.76612531505438</v>
      </c>
      <c r="F250">
        <v>80.188444291184965</v>
      </c>
      <c r="G250">
        <v>107.08302684255513</v>
      </c>
    </row>
    <row r="251" spans="2:7" x14ac:dyDescent="0.25">
      <c r="B251" s="87" t="s">
        <v>1505</v>
      </c>
      <c r="C251">
        <v>69.88356406327145</v>
      </c>
      <c r="D251">
        <v>101.22682402200184</v>
      </c>
      <c r="E251">
        <v>117.45846698090199</v>
      </c>
      <c r="F251">
        <v>82.930269487032959</v>
      </c>
      <c r="G251">
        <v>112.72014562651884</v>
      </c>
    </row>
    <row r="252" spans="2:7" x14ac:dyDescent="0.25">
      <c r="B252" s="87" t="s">
        <v>1506</v>
      </c>
      <c r="C252">
        <v>71.481778621788933</v>
      </c>
      <c r="D252">
        <v>105.98731628643631</v>
      </c>
      <c r="E252">
        <v>124.92037669179319</v>
      </c>
      <c r="F252">
        <v>85.746113492459131</v>
      </c>
      <c r="G252">
        <v>118.88491118293953</v>
      </c>
    </row>
    <row r="253" spans="2:7" x14ac:dyDescent="0.25">
      <c r="B253" s="87" t="s">
        <v>1507</v>
      </c>
      <c r="C253">
        <v>73.09493110071756</v>
      </c>
      <c r="D253">
        <v>111.05777211089119</v>
      </c>
      <c r="E253">
        <v>133.05386358972345</v>
      </c>
      <c r="F253">
        <v>88.681667810176322</v>
      </c>
      <c r="G253">
        <v>125.51513217183607</v>
      </c>
    </row>
    <row r="254" spans="2:7" x14ac:dyDescent="0.25">
      <c r="B254" s="87" t="s">
        <v>1508</v>
      </c>
      <c r="C254">
        <v>74.692634168480765</v>
      </c>
      <c r="D254">
        <v>116.47700876462648</v>
      </c>
      <c r="E254">
        <v>141.98298104358494</v>
      </c>
      <c r="F254">
        <v>91.678302683312509</v>
      </c>
      <c r="G254">
        <v>132.64369476435076</v>
      </c>
    </row>
    <row r="255" spans="2:7" x14ac:dyDescent="0.25">
      <c r="B255" s="87" t="s">
        <v>1509</v>
      </c>
      <c r="C255">
        <v>76.265247839243386</v>
      </c>
      <c r="D255">
        <v>121.71515038120596</v>
      </c>
      <c r="E255">
        <v>150.01979952015665</v>
      </c>
      <c r="F255">
        <v>94.072062090762657</v>
      </c>
      <c r="G255">
        <v>138.23833069828203</v>
      </c>
    </row>
    <row r="256" spans="2:7" x14ac:dyDescent="0.25">
      <c r="B256" s="87" t="s">
        <v>1510</v>
      </c>
      <c r="C256">
        <v>77.975135787584875</v>
      </c>
      <c r="D256">
        <v>127.15271228658014</v>
      </c>
      <c r="E256">
        <v>158.43747497887301</v>
      </c>
      <c r="F256">
        <v>96.471921991402311</v>
      </c>
      <c r="G256">
        <v>143.84310955726079</v>
      </c>
    </row>
    <row r="257" spans="1:7" x14ac:dyDescent="0.25">
      <c r="B257" s="87" t="s">
        <v>1511</v>
      </c>
      <c r="C257">
        <v>79.605425208502098</v>
      </c>
      <c r="D257">
        <v>132.91536914727169</v>
      </c>
      <c r="E257">
        <v>167.36814738730584</v>
      </c>
      <c r="F257">
        <v>98.973993915396875</v>
      </c>
      <c r="G257">
        <v>149.54305417536071</v>
      </c>
    </row>
    <row r="258" spans="1:7" x14ac:dyDescent="0.25">
      <c r="B258" s="87" t="s">
        <v>1512</v>
      </c>
      <c r="C258">
        <v>81.303519237487862</v>
      </c>
      <c r="D258">
        <v>138.90379765941876</v>
      </c>
      <c r="E258">
        <v>176.63163935902085</v>
      </c>
      <c r="F258">
        <v>101.49921708916126</v>
      </c>
      <c r="G258">
        <v>155.30247063662287</v>
      </c>
    </row>
    <row r="259" spans="1:7" x14ac:dyDescent="0.25">
      <c r="B259" s="87" t="s">
        <v>1513</v>
      </c>
      <c r="C259">
        <v>83.077395974902899</v>
      </c>
      <c r="D259">
        <v>145.11947333337886</v>
      </c>
      <c r="E259">
        <v>186.44866608795189</v>
      </c>
      <c r="F259">
        <v>104.03234574043638</v>
      </c>
      <c r="G259">
        <v>161.19869406545249</v>
      </c>
    </row>
    <row r="260" spans="1:7" x14ac:dyDescent="0.25">
      <c r="B260" s="87" t="s">
        <v>1514</v>
      </c>
      <c r="C260">
        <v>84.937108866263827</v>
      </c>
      <c r="D260">
        <v>150.70847131836177</v>
      </c>
      <c r="E260">
        <v>193.95372895196289</v>
      </c>
      <c r="F260">
        <v>106.45927534731322</v>
      </c>
      <c r="G260">
        <v>166.65139059563981</v>
      </c>
    </row>
    <row r="261" spans="1:7" x14ac:dyDescent="0.25">
      <c r="B261" s="87" t="s">
        <v>1515</v>
      </c>
      <c r="C261">
        <v>86.801432021169958</v>
      </c>
      <c r="D261">
        <v>156.35950659593442</v>
      </c>
      <c r="E261">
        <v>201.74305701684648</v>
      </c>
      <c r="F261">
        <v>108.86887750632322</v>
      </c>
      <c r="G261">
        <v>171.88711919751088</v>
      </c>
    </row>
    <row r="262" spans="1:7" x14ac:dyDescent="0.25">
      <c r="B262" s="87" t="s">
        <v>1516</v>
      </c>
      <c r="C262">
        <v>88.677678128030408</v>
      </c>
      <c r="D262">
        <v>162.21892997941069</v>
      </c>
      <c r="E262">
        <v>209.54230236941626</v>
      </c>
      <c r="F262">
        <v>111.32210152981338</v>
      </c>
      <c r="G262">
        <v>177.18502848172142</v>
      </c>
    </row>
    <row r="263" spans="1:7" x14ac:dyDescent="0.25">
      <c r="B263" s="87" t="s">
        <v>1517</v>
      </c>
      <c r="C263">
        <v>90.527601273460746</v>
      </c>
      <c r="D263">
        <v>168.0674816108297</v>
      </c>
      <c r="E263">
        <v>217.41818849229537</v>
      </c>
      <c r="F263">
        <v>113.72493413145882</v>
      </c>
      <c r="G263">
        <v>182.31831400277071</v>
      </c>
    </row>
    <row r="264" spans="1:7" x14ac:dyDescent="0.25">
      <c r="B264" s="87" t="s">
        <v>1518</v>
      </c>
      <c r="C264">
        <v>92.47996978848019</v>
      </c>
      <c r="D264">
        <v>173.92482579874459</v>
      </c>
      <c r="E264">
        <v>225.51532128692671</v>
      </c>
      <c r="F264">
        <v>116.20110102255249</v>
      </c>
      <c r="G264">
        <v>187.43311825022354</v>
      </c>
    </row>
    <row r="265" spans="1:7" x14ac:dyDescent="0.25">
      <c r="B265" s="87" t="s">
        <v>1519</v>
      </c>
      <c r="C265">
        <v>94.535196863697479</v>
      </c>
      <c r="D265">
        <v>179.90406085511648</v>
      </c>
      <c r="E265">
        <v>233.95359044956797</v>
      </c>
      <c r="F265">
        <v>118.77430316463652</v>
      </c>
      <c r="G265">
        <v>192.69087769767259</v>
      </c>
    </row>
    <row r="266" spans="1:7" x14ac:dyDescent="0.25">
      <c r="B266" s="87" t="s">
        <v>1520</v>
      </c>
      <c r="C266">
        <v>96.502759319688948</v>
      </c>
      <c r="D266">
        <v>185.92801502839797</v>
      </c>
      <c r="E266">
        <v>242.42504350908825</v>
      </c>
      <c r="F266">
        <v>121.23716976829085</v>
      </c>
      <c r="G266">
        <v>197.70891452162715</v>
      </c>
    </row>
    <row r="268" spans="1:7" x14ac:dyDescent="0.25">
      <c r="A268" t="s">
        <v>1531</v>
      </c>
      <c r="B268" s="87" t="str">
        <f>MID(A268,16,LEN(A268)-16)</f>
        <v xml:space="preserve">Non Metallic Minerals                      </v>
      </c>
    </row>
    <row r="269" spans="1:7" x14ac:dyDescent="0.25">
      <c r="A269" t="s">
        <v>1532</v>
      </c>
      <c r="C269" s="87" t="s">
        <v>1470</v>
      </c>
      <c r="D269" s="87" t="s">
        <v>1481</v>
      </c>
      <c r="E269" s="87" t="s">
        <v>1482</v>
      </c>
      <c r="F269" s="87" t="s">
        <v>1483</v>
      </c>
      <c r="G269" s="87" t="s">
        <v>1484</v>
      </c>
    </row>
    <row r="270" spans="1:7" x14ac:dyDescent="0.25">
      <c r="B270" s="87" t="s">
        <v>1487</v>
      </c>
      <c r="C270">
        <v>11.665559420251226</v>
      </c>
      <c r="D270">
        <v>11.665559420251226</v>
      </c>
      <c r="E270">
        <v>11.665559420251226</v>
      </c>
      <c r="F270">
        <v>11.665559420251226</v>
      </c>
      <c r="G270">
        <v>11.665559420251226</v>
      </c>
    </row>
    <row r="271" spans="1:7" x14ac:dyDescent="0.25">
      <c r="B271" s="87" t="s">
        <v>1488</v>
      </c>
      <c r="C271">
        <v>11.865061490071845</v>
      </c>
      <c r="D271">
        <v>11.865061490056204</v>
      </c>
      <c r="E271">
        <v>11.865061490056142</v>
      </c>
      <c r="F271">
        <v>11.865061490056249</v>
      </c>
      <c r="G271">
        <v>11.865061489182866</v>
      </c>
    </row>
    <row r="272" spans="1:7" x14ac:dyDescent="0.25">
      <c r="B272" s="87" t="s">
        <v>1489</v>
      </c>
      <c r="C272">
        <v>12.08715559209509</v>
      </c>
      <c r="D272">
        <v>12.087424776939166</v>
      </c>
      <c r="E272">
        <v>12.08757855852633</v>
      </c>
      <c r="F272">
        <v>12.087209568486148</v>
      </c>
      <c r="G272">
        <v>12.087466462677327</v>
      </c>
    </row>
    <row r="273" spans="2:7" x14ac:dyDescent="0.25">
      <c r="B273" s="87" t="s">
        <v>1490</v>
      </c>
      <c r="C273">
        <v>12.322764671409836</v>
      </c>
      <c r="D273">
        <v>12.323359486645352</v>
      </c>
      <c r="E273">
        <v>12.323695102762231</v>
      </c>
      <c r="F273">
        <v>12.322884699679399</v>
      </c>
      <c r="G273">
        <v>12.323450762592538</v>
      </c>
    </row>
    <row r="274" spans="2:7" x14ac:dyDescent="0.25">
      <c r="B274" s="87" t="s">
        <v>1491</v>
      </c>
      <c r="C274">
        <v>12.574074216540735</v>
      </c>
      <c r="D274">
        <v>12.575047641963613</v>
      </c>
      <c r="E274">
        <v>12.575594701202213</v>
      </c>
      <c r="F274">
        <v>12.574271049154591</v>
      </c>
      <c r="G274">
        <v>12.575196575765233</v>
      </c>
    </row>
    <row r="275" spans="2:7" x14ac:dyDescent="0.25">
      <c r="B275" s="87" t="s">
        <v>1492</v>
      </c>
      <c r="C275">
        <v>12.817937322719883</v>
      </c>
      <c r="D275">
        <v>12.819388283059592</v>
      </c>
      <c r="E275">
        <v>12.820502299575704</v>
      </c>
      <c r="F275">
        <v>12.818531347555382</v>
      </c>
      <c r="G275">
        <v>12.819609982423046</v>
      </c>
    </row>
    <row r="276" spans="2:7" x14ac:dyDescent="0.25">
      <c r="B276" s="87" t="s">
        <v>1493</v>
      </c>
      <c r="C276">
        <v>13.044180988060196</v>
      </c>
      <c r="D276">
        <v>13.046110096146931</v>
      </c>
      <c r="E276">
        <v>13.047183326200264</v>
      </c>
      <c r="F276">
        <v>13.04456383109012</v>
      </c>
      <c r="G276">
        <v>13.046404695102154</v>
      </c>
    </row>
    <row r="277" spans="2:7" x14ac:dyDescent="0.25">
      <c r="B277" s="87" t="s">
        <v>1494</v>
      </c>
      <c r="C277">
        <v>13.260552830665347</v>
      </c>
      <c r="D277">
        <v>13.504047074603371</v>
      </c>
      <c r="E277">
        <v>13.873831611566768</v>
      </c>
      <c r="F277">
        <v>13.431548672788731</v>
      </c>
      <c r="G277">
        <v>13.851499830169564</v>
      </c>
    </row>
    <row r="278" spans="2:7" x14ac:dyDescent="0.25">
      <c r="B278" s="87" t="s">
        <v>1495</v>
      </c>
      <c r="C278">
        <v>13.491169409775621</v>
      </c>
      <c r="D278">
        <v>14.00014883979942</v>
      </c>
      <c r="E278">
        <v>14.78123412433359</v>
      </c>
      <c r="F278">
        <v>13.845673695322285</v>
      </c>
      <c r="G278">
        <v>14.73504429310659</v>
      </c>
    </row>
    <row r="279" spans="2:7" x14ac:dyDescent="0.25">
      <c r="B279" s="87" t="s">
        <v>1496</v>
      </c>
      <c r="C279">
        <v>13.741351351371508</v>
      </c>
      <c r="D279">
        <v>14.545121664426514</v>
      </c>
      <c r="E279">
        <v>15.783529857197941</v>
      </c>
      <c r="F279">
        <v>14.297482898000494</v>
      </c>
      <c r="G279">
        <v>15.707157578620693</v>
      </c>
    </row>
    <row r="280" spans="2:7" x14ac:dyDescent="0.25">
      <c r="B280" s="87" t="s">
        <v>1497</v>
      </c>
      <c r="C280">
        <v>13.997772310339254</v>
      </c>
      <c r="D280">
        <v>15.126417183270005</v>
      </c>
      <c r="E280">
        <v>16.875326438160549</v>
      </c>
      <c r="F280">
        <v>14.773610340897012</v>
      </c>
      <c r="G280">
        <v>16.764803706031401</v>
      </c>
    </row>
    <row r="281" spans="2:7" x14ac:dyDescent="0.25">
      <c r="B281" s="87" t="s">
        <v>1498</v>
      </c>
      <c r="C281">
        <v>14.373367249600893</v>
      </c>
      <c r="D281">
        <v>15.879553123542367</v>
      </c>
      <c r="E281">
        <v>18.175601066991533</v>
      </c>
      <c r="F281">
        <v>15.395510221761761</v>
      </c>
      <c r="G281">
        <v>18.026482578453958</v>
      </c>
    </row>
    <row r="282" spans="2:7" x14ac:dyDescent="0.25">
      <c r="B282" s="87" t="s">
        <v>1499</v>
      </c>
      <c r="C282">
        <v>14.744961306333602</v>
      </c>
      <c r="D282">
        <v>16.672513182698339</v>
      </c>
      <c r="E282">
        <v>19.572440862465253</v>
      </c>
      <c r="F282">
        <v>16.035079727903167</v>
      </c>
      <c r="G282">
        <v>19.379503480442136</v>
      </c>
    </row>
    <row r="283" spans="2:7" x14ac:dyDescent="0.25">
      <c r="B283" s="87" t="s">
        <v>1500</v>
      </c>
      <c r="C283">
        <v>15.118887184001508</v>
      </c>
      <c r="D283">
        <v>17.443963047731199</v>
      </c>
      <c r="E283">
        <v>20.794298825754886</v>
      </c>
      <c r="F283">
        <v>16.607398121758258</v>
      </c>
      <c r="G283">
        <v>20.68723170369395</v>
      </c>
    </row>
    <row r="284" spans="2:7" x14ac:dyDescent="0.25">
      <c r="B284" s="87" t="s">
        <v>1501</v>
      </c>
      <c r="C284">
        <v>15.48241564460721</v>
      </c>
      <c r="D284">
        <v>18.229490286931984</v>
      </c>
      <c r="E284">
        <v>22.103182214690467</v>
      </c>
      <c r="F284">
        <v>17.181149112760984</v>
      </c>
      <c r="G284">
        <v>22.068680263386099</v>
      </c>
    </row>
    <row r="285" spans="2:7" x14ac:dyDescent="0.25">
      <c r="B285" s="87" t="s">
        <v>1502</v>
      </c>
      <c r="C285">
        <v>15.863472343833779</v>
      </c>
      <c r="D285">
        <v>19.054990188897868</v>
      </c>
      <c r="E285">
        <v>23.48546608352882</v>
      </c>
      <c r="F285">
        <v>17.784730991081659</v>
      </c>
      <c r="G285">
        <v>23.513220128616439</v>
      </c>
    </row>
    <row r="286" spans="2:7" x14ac:dyDescent="0.25">
      <c r="B286" s="87" t="s">
        <v>1503</v>
      </c>
      <c r="C286">
        <v>16.221390240065869</v>
      </c>
      <c r="D286">
        <v>19.863638400665415</v>
      </c>
      <c r="E286">
        <v>24.949662456557938</v>
      </c>
      <c r="F286">
        <v>18.375653834327476</v>
      </c>
      <c r="G286">
        <v>25.040103450121183</v>
      </c>
    </row>
    <row r="287" spans="2:7" x14ac:dyDescent="0.25">
      <c r="B287" s="87" t="s">
        <v>1504</v>
      </c>
      <c r="C287">
        <v>16.584641782891264</v>
      </c>
      <c r="D287">
        <v>20.600265890891084</v>
      </c>
      <c r="E287">
        <v>26.468044806039192</v>
      </c>
      <c r="F287">
        <v>18.971080241818701</v>
      </c>
      <c r="G287">
        <v>26.495535621289172</v>
      </c>
    </row>
    <row r="288" spans="2:7" x14ac:dyDescent="0.25">
      <c r="B288" s="87" t="s">
        <v>1505</v>
      </c>
      <c r="C288">
        <v>16.957031504795285</v>
      </c>
      <c r="D288">
        <v>21.307928081557712</v>
      </c>
      <c r="E288">
        <v>28.072584297502122</v>
      </c>
      <c r="F288">
        <v>19.578899475695781</v>
      </c>
      <c r="G288">
        <v>28.027277938667687</v>
      </c>
    </row>
    <row r="289" spans="2:7" x14ac:dyDescent="0.25">
      <c r="B289" s="87" t="s">
        <v>1506</v>
      </c>
      <c r="C289">
        <v>17.34540024927627</v>
      </c>
      <c r="D289">
        <v>22.030350530194607</v>
      </c>
      <c r="E289">
        <v>29.811955695836339</v>
      </c>
      <c r="F289">
        <v>20.193649213827417</v>
      </c>
      <c r="G289">
        <v>29.654961001424919</v>
      </c>
    </row>
    <row r="290" spans="2:7" x14ac:dyDescent="0.25">
      <c r="B290" s="87" t="s">
        <v>1507</v>
      </c>
      <c r="C290">
        <v>17.726219931663856</v>
      </c>
      <c r="D290">
        <v>22.782362321507286</v>
      </c>
      <c r="E290">
        <v>31.702152284366697</v>
      </c>
      <c r="F290">
        <v>20.826787843285587</v>
      </c>
      <c r="G290">
        <v>31.40305419746641</v>
      </c>
    </row>
    <row r="291" spans="2:7" x14ac:dyDescent="0.25">
      <c r="B291" s="87" t="s">
        <v>1508</v>
      </c>
      <c r="C291">
        <v>18.095955758475938</v>
      </c>
      <c r="D291">
        <v>23.572277951000082</v>
      </c>
      <c r="E291">
        <v>33.766446716765557</v>
      </c>
      <c r="F291">
        <v>21.485436315005824</v>
      </c>
      <c r="G291">
        <v>33.290125832529284</v>
      </c>
    </row>
    <row r="292" spans="2:7" x14ac:dyDescent="0.25">
      <c r="B292" s="87" t="s">
        <v>1509</v>
      </c>
      <c r="C292">
        <v>18.462238830351961</v>
      </c>
      <c r="D292">
        <v>24.289493549873256</v>
      </c>
      <c r="E292">
        <v>35.698510714450052</v>
      </c>
      <c r="F292">
        <v>22.071981739422625</v>
      </c>
      <c r="G292">
        <v>34.941736988344537</v>
      </c>
    </row>
    <row r="293" spans="2:7" x14ac:dyDescent="0.25">
      <c r="B293" s="87" t="s">
        <v>1510</v>
      </c>
      <c r="C293">
        <v>18.865280396105444</v>
      </c>
      <c r="D293">
        <v>24.998300637259053</v>
      </c>
      <c r="E293">
        <v>37.716557901688596</v>
      </c>
      <c r="F293">
        <v>22.664399717844141</v>
      </c>
      <c r="G293">
        <v>36.604683144231764</v>
      </c>
    </row>
    <row r="294" spans="2:7" x14ac:dyDescent="0.25">
      <c r="B294" s="87" t="s">
        <v>1511</v>
      </c>
      <c r="C294">
        <v>19.270842441804412</v>
      </c>
      <c r="D294">
        <v>25.712205138569935</v>
      </c>
      <c r="E294">
        <v>39.830180156174947</v>
      </c>
      <c r="F294">
        <v>23.273957585845842</v>
      </c>
      <c r="G294">
        <v>38.281517861122602</v>
      </c>
    </row>
    <row r="295" spans="2:7" x14ac:dyDescent="0.25">
      <c r="B295" s="87" t="s">
        <v>1512</v>
      </c>
      <c r="C295">
        <v>19.698591490299588</v>
      </c>
      <c r="D295">
        <v>26.413719474961781</v>
      </c>
      <c r="E295">
        <v>42.0316800953346</v>
      </c>
      <c r="F295">
        <v>23.889904482519391</v>
      </c>
      <c r="G295">
        <v>39.978280644745467</v>
      </c>
    </row>
    <row r="296" spans="2:7" x14ac:dyDescent="0.25">
      <c r="B296" s="87" t="s">
        <v>1513</v>
      </c>
      <c r="C296">
        <v>20.145954035295002</v>
      </c>
      <c r="D296">
        <v>27.093642224204608</v>
      </c>
      <c r="E296">
        <v>44.352406260314055</v>
      </c>
      <c r="F296">
        <v>24.500430917018434</v>
      </c>
      <c r="G296">
        <v>41.705717067043679</v>
      </c>
    </row>
    <row r="297" spans="2:7" x14ac:dyDescent="0.25">
      <c r="B297" s="87" t="s">
        <v>1514</v>
      </c>
      <c r="C297">
        <v>20.612246162527192</v>
      </c>
      <c r="D297">
        <v>27.592505365753958</v>
      </c>
      <c r="E297">
        <v>46.097141115057212</v>
      </c>
      <c r="F297">
        <v>25.068529166638765</v>
      </c>
      <c r="G297">
        <v>43.310457752070775</v>
      </c>
    </row>
    <row r="298" spans="2:7" x14ac:dyDescent="0.25">
      <c r="B298" s="87" t="s">
        <v>1515</v>
      </c>
      <c r="C298">
        <v>21.080982024738827</v>
      </c>
      <c r="D298">
        <v>28.042780549052427</v>
      </c>
      <c r="E298">
        <v>47.912650122056448</v>
      </c>
      <c r="F298">
        <v>25.631455509043949</v>
      </c>
      <c r="G298">
        <v>44.900903625142078</v>
      </c>
    </row>
    <row r="299" spans="2:7" x14ac:dyDescent="0.25">
      <c r="B299" s="87" t="s">
        <v>1516</v>
      </c>
      <c r="C299">
        <v>21.556776707405039</v>
      </c>
      <c r="D299">
        <v>28.458147406357867</v>
      </c>
      <c r="E299">
        <v>49.791312962491077</v>
      </c>
      <c r="F299">
        <v>26.205843021395605</v>
      </c>
      <c r="G299">
        <v>46.492058175336943</v>
      </c>
    </row>
    <row r="300" spans="2:7" x14ac:dyDescent="0.25">
      <c r="B300" s="87" t="s">
        <v>1517</v>
      </c>
      <c r="C300">
        <v>22.01697078723307</v>
      </c>
      <c r="D300">
        <v>28.80246015240547</v>
      </c>
      <c r="E300">
        <v>51.681516444736417</v>
      </c>
      <c r="F300">
        <v>26.752781102400498</v>
      </c>
      <c r="G300">
        <v>48.046841490916925</v>
      </c>
    </row>
    <row r="301" spans="2:7" x14ac:dyDescent="0.25">
      <c r="B301" s="87" t="s">
        <v>1518</v>
      </c>
      <c r="C301">
        <v>22.505862520919923</v>
      </c>
      <c r="D301">
        <v>29.101231168774028</v>
      </c>
      <c r="E301">
        <v>53.653583254038139</v>
      </c>
      <c r="F301">
        <v>27.313569363875221</v>
      </c>
      <c r="G301">
        <v>49.620133010216279</v>
      </c>
    </row>
    <row r="302" spans="2:7" x14ac:dyDescent="0.25">
      <c r="B302" s="87" t="s">
        <v>1519</v>
      </c>
      <c r="C302">
        <v>23.012967657792213</v>
      </c>
      <c r="D302">
        <v>29.342417383900191</v>
      </c>
      <c r="E302">
        <v>55.678163945074317</v>
      </c>
      <c r="F302">
        <v>27.883326050743232</v>
      </c>
      <c r="G302">
        <v>51.187733203060652</v>
      </c>
    </row>
    <row r="303" spans="2:7" x14ac:dyDescent="0.25">
      <c r="B303" s="87" t="s">
        <v>1520</v>
      </c>
      <c r="C303">
        <v>23.515156422883244</v>
      </c>
      <c r="D303">
        <v>29.519342653464882</v>
      </c>
      <c r="E303">
        <v>57.74390897130715</v>
      </c>
      <c r="F303">
        <v>28.43599151973222</v>
      </c>
      <c r="G303">
        <v>52.733244530146678</v>
      </c>
    </row>
    <row r="305" spans="1:7" x14ac:dyDescent="0.25">
      <c r="A305" t="s">
        <v>1533</v>
      </c>
      <c r="B305" s="87" t="str">
        <f>MID(A305,16,LEN(A305)-16)</f>
        <v xml:space="preserve">Iron and Steel                             </v>
      </c>
    </row>
    <row r="306" spans="1:7" x14ac:dyDescent="0.25">
      <c r="A306" t="s">
        <v>1534</v>
      </c>
      <c r="C306" s="87" t="s">
        <v>1470</v>
      </c>
      <c r="D306" s="87" t="s">
        <v>1481</v>
      </c>
      <c r="E306" s="87" t="s">
        <v>1482</v>
      </c>
      <c r="F306" s="87" t="s">
        <v>1483</v>
      </c>
      <c r="G306" s="87" t="s">
        <v>1484</v>
      </c>
    </row>
    <row r="307" spans="1:7" x14ac:dyDescent="0.25">
      <c r="B307" s="87" t="s">
        <v>1487</v>
      </c>
      <c r="C307">
        <v>23.556482865603172</v>
      </c>
      <c r="D307">
        <v>23.556482865603172</v>
      </c>
      <c r="E307">
        <v>23.556482865603172</v>
      </c>
      <c r="F307">
        <v>23.556482865603172</v>
      </c>
      <c r="G307">
        <v>23.556482865603172</v>
      </c>
    </row>
    <row r="308" spans="1:7" x14ac:dyDescent="0.25">
      <c r="B308" s="87" t="s">
        <v>1488</v>
      </c>
      <c r="C308">
        <v>22.719013833998098</v>
      </c>
      <c r="D308">
        <v>22.719013834234026</v>
      </c>
      <c r="E308">
        <v>22.719013834233394</v>
      </c>
      <c r="F308">
        <v>22.719013834233568</v>
      </c>
      <c r="G308">
        <v>22.719013842802688</v>
      </c>
    </row>
    <row r="309" spans="1:7" x14ac:dyDescent="0.25">
      <c r="B309" s="87" t="s">
        <v>1489</v>
      </c>
      <c r="C309">
        <v>21.797798818923543</v>
      </c>
      <c r="D309">
        <v>21.799480456055889</v>
      </c>
      <c r="E309">
        <v>21.800441712609299</v>
      </c>
      <c r="F309">
        <v>21.798135921629509</v>
      </c>
      <c r="G309">
        <v>21.799740984494271</v>
      </c>
    </row>
    <row r="310" spans="1:7" x14ac:dyDescent="0.25">
      <c r="B310" s="87" t="s">
        <v>1490</v>
      </c>
      <c r="C310">
        <v>20.902230901541337</v>
      </c>
      <c r="D310">
        <v>20.905793354274628</v>
      </c>
      <c r="E310">
        <v>20.907805964345798</v>
      </c>
      <c r="F310">
        <v>20.902949311692971</v>
      </c>
      <c r="G310">
        <v>20.906340539320912</v>
      </c>
    </row>
    <row r="311" spans="1:7" x14ac:dyDescent="0.25">
      <c r="B311" s="87" t="s">
        <v>1491</v>
      </c>
      <c r="C311">
        <v>19.913334558827913</v>
      </c>
      <c r="D311">
        <v>19.918756177503354</v>
      </c>
      <c r="E311">
        <v>19.921808360731511</v>
      </c>
      <c r="F311">
        <v>19.914429882655948</v>
      </c>
      <c r="G311">
        <v>19.919586755014176</v>
      </c>
    </row>
    <row r="312" spans="1:7" x14ac:dyDescent="0.25">
      <c r="B312" s="87" t="s">
        <v>1492</v>
      </c>
      <c r="C312">
        <v>19.172098358699291</v>
      </c>
      <c r="D312">
        <v>19.179515879484569</v>
      </c>
      <c r="E312">
        <v>19.185895346017872</v>
      </c>
      <c r="F312">
        <v>19.175806973875435</v>
      </c>
      <c r="G312">
        <v>19.18065103964005</v>
      </c>
    </row>
    <row r="313" spans="1:7" x14ac:dyDescent="0.25">
      <c r="B313" s="87" t="s">
        <v>1493</v>
      </c>
      <c r="C313">
        <v>18.735908637409608</v>
      </c>
      <c r="D313">
        <v>18.744993676591569</v>
      </c>
      <c r="E313">
        <v>18.750160651842428</v>
      </c>
      <c r="F313">
        <v>18.737809018196081</v>
      </c>
      <c r="G313">
        <v>18.746383640222312</v>
      </c>
    </row>
    <row r="314" spans="1:7" x14ac:dyDescent="0.25">
      <c r="B314" s="87" t="s">
        <v>1494</v>
      </c>
      <c r="C314">
        <v>18.278221207996822</v>
      </c>
      <c r="D314">
        <v>18.767952274588126</v>
      </c>
      <c r="E314">
        <v>19.324551224632607</v>
      </c>
      <c r="F314">
        <v>18.573904877399894</v>
      </c>
      <c r="G314">
        <v>19.247683148368299</v>
      </c>
    </row>
    <row r="315" spans="1:7" x14ac:dyDescent="0.25">
      <c r="B315" s="87" t="s">
        <v>1495</v>
      </c>
      <c r="C315">
        <v>18.154651714024467</v>
      </c>
      <c r="D315">
        <v>19.273753447465751</v>
      </c>
      <c r="E315">
        <v>20.42498665515572</v>
      </c>
      <c r="F315">
        <v>18.856780227882673</v>
      </c>
      <c r="G315">
        <v>20.212310041061887</v>
      </c>
    </row>
    <row r="316" spans="1:7" x14ac:dyDescent="0.25">
      <c r="B316" s="87" t="s">
        <v>1496</v>
      </c>
      <c r="C316">
        <v>18.179099739691637</v>
      </c>
      <c r="D316">
        <v>19.921234737613091</v>
      </c>
      <c r="E316">
        <v>21.680931748803889</v>
      </c>
      <c r="F316">
        <v>19.258400986488226</v>
      </c>
      <c r="G316">
        <v>21.42070845564843</v>
      </c>
    </row>
    <row r="317" spans="1:7" x14ac:dyDescent="0.25">
      <c r="B317" s="87" t="s">
        <v>1497</v>
      </c>
      <c r="C317">
        <v>18.236252193771012</v>
      </c>
      <c r="D317">
        <v>20.642586305719874</v>
      </c>
      <c r="E317">
        <v>23.120404201764881</v>
      </c>
      <c r="F317">
        <v>19.728696731501188</v>
      </c>
      <c r="G317">
        <v>22.757104224750073</v>
      </c>
    </row>
    <row r="318" spans="1:7" x14ac:dyDescent="0.25">
      <c r="B318" s="87" t="s">
        <v>1498</v>
      </c>
      <c r="C318">
        <v>18.263783876386668</v>
      </c>
      <c r="D318">
        <v>21.319221326245742</v>
      </c>
      <c r="E318">
        <v>24.61106257683824</v>
      </c>
      <c r="F318">
        <v>20.161374301889079</v>
      </c>
      <c r="G318">
        <v>24.171741050864103</v>
      </c>
    </row>
    <row r="319" spans="1:7" x14ac:dyDescent="0.25">
      <c r="B319" s="87" t="s">
        <v>1499</v>
      </c>
      <c r="C319">
        <v>18.277151939873168</v>
      </c>
      <c r="D319">
        <v>22.031435784320241</v>
      </c>
      <c r="E319">
        <v>26.250543271410553</v>
      </c>
      <c r="F319">
        <v>20.644162926917026</v>
      </c>
      <c r="G319">
        <v>25.704982259271084</v>
      </c>
    </row>
    <row r="320" spans="1:7" x14ac:dyDescent="0.25">
      <c r="B320" s="87" t="s">
        <v>1500</v>
      </c>
      <c r="C320">
        <v>18.415124161693836</v>
      </c>
      <c r="D320">
        <v>22.753354373427808</v>
      </c>
      <c r="E320">
        <v>27.698368696258715</v>
      </c>
      <c r="F320">
        <v>21.091652009998661</v>
      </c>
      <c r="G320">
        <v>27.245927159860116</v>
      </c>
    </row>
    <row r="321" spans="2:7" x14ac:dyDescent="0.25">
      <c r="B321" s="87" t="s">
        <v>1501</v>
      </c>
      <c r="C321">
        <v>18.631446141278598</v>
      </c>
      <c r="D321">
        <v>23.636406182282784</v>
      </c>
      <c r="E321">
        <v>29.351894374335274</v>
      </c>
      <c r="F321">
        <v>21.649474292728009</v>
      </c>
      <c r="G321">
        <v>29.034881338618334</v>
      </c>
    </row>
    <row r="322" spans="2:7" x14ac:dyDescent="0.25">
      <c r="B322" s="87" t="s">
        <v>1502</v>
      </c>
      <c r="C322">
        <v>18.996130684682502</v>
      </c>
      <c r="D322">
        <v>24.571599280772901</v>
      </c>
      <c r="E322">
        <v>31.290245420322645</v>
      </c>
      <c r="F322">
        <v>22.373997853256881</v>
      </c>
      <c r="G322">
        <v>31.09051831391378</v>
      </c>
    </row>
    <row r="323" spans="2:7" x14ac:dyDescent="0.25">
      <c r="B323" s="87" t="s">
        <v>1503</v>
      </c>
      <c r="C323">
        <v>19.281198661647082</v>
      </c>
      <c r="D323">
        <v>25.436199210614525</v>
      </c>
      <c r="E323">
        <v>33.186458682549208</v>
      </c>
      <c r="F323">
        <v>23.020373909573536</v>
      </c>
      <c r="G323">
        <v>33.156979074280862</v>
      </c>
    </row>
    <row r="324" spans="2:7" x14ac:dyDescent="0.25">
      <c r="B324" s="87" t="s">
        <v>1504</v>
      </c>
      <c r="C324">
        <v>19.57380812152271</v>
      </c>
      <c r="D324">
        <v>26.170457561207947</v>
      </c>
      <c r="E324">
        <v>34.884052693337566</v>
      </c>
      <c r="F324">
        <v>23.683532406459793</v>
      </c>
      <c r="G324">
        <v>34.873416096208466</v>
      </c>
    </row>
    <row r="325" spans="2:7" x14ac:dyDescent="0.25">
      <c r="B325" s="87" t="s">
        <v>1505</v>
      </c>
      <c r="C325">
        <v>19.943310760200138</v>
      </c>
      <c r="D325">
        <v>26.673843644083689</v>
      </c>
      <c r="E325">
        <v>36.711159737324678</v>
      </c>
      <c r="F325">
        <v>24.445035265631439</v>
      </c>
      <c r="G325">
        <v>36.706210839028934</v>
      </c>
    </row>
    <row r="326" spans="2:7" x14ac:dyDescent="0.25">
      <c r="B326" s="87" t="s">
        <v>1506</v>
      </c>
      <c r="C326">
        <v>20.355355630330624</v>
      </c>
      <c r="D326">
        <v>27.257559987288925</v>
      </c>
      <c r="E326">
        <v>38.820074784789846</v>
      </c>
      <c r="F326">
        <v>25.240102071069266</v>
      </c>
      <c r="G326">
        <v>38.821856152385074</v>
      </c>
    </row>
    <row r="327" spans="2:7" x14ac:dyDescent="0.25">
      <c r="B327" s="87" t="s">
        <v>1507</v>
      </c>
      <c r="C327">
        <v>20.796304912407138</v>
      </c>
      <c r="D327">
        <v>27.819339926249373</v>
      </c>
      <c r="E327">
        <v>41.080553148090438</v>
      </c>
      <c r="F327">
        <v>26.094646365687957</v>
      </c>
      <c r="G327">
        <v>41.108453226324713</v>
      </c>
    </row>
    <row r="328" spans="2:7" x14ac:dyDescent="0.25">
      <c r="B328" s="87" t="s">
        <v>1508</v>
      </c>
      <c r="C328">
        <v>21.242157574496972</v>
      </c>
      <c r="D328">
        <v>28.329822652592014</v>
      </c>
      <c r="E328">
        <v>43.508625286653313</v>
      </c>
      <c r="F328">
        <v>26.943195999097885</v>
      </c>
      <c r="G328">
        <v>43.548297458907875</v>
      </c>
    </row>
    <row r="329" spans="2:7" x14ac:dyDescent="0.25">
      <c r="B329" s="87" t="s">
        <v>1509</v>
      </c>
      <c r="C329">
        <v>21.671735798592895</v>
      </c>
      <c r="D329">
        <v>28.686894265529627</v>
      </c>
      <c r="E329">
        <v>45.740233477241709</v>
      </c>
      <c r="F329">
        <v>27.550131438605671</v>
      </c>
      <c r="G329">
        <v>45.665533109028111</v>
      </c>
    </row>
    <row r="330" spans="2:7" x14ac:dyDescent="0.25">
      <c r="B330" s="87" t="s">
        <v>1510</v>
      </c>
      <c r="C330">
        <v>22.190339066989708</v>
      </c>
      <c r="D330">
        <v>28.978777461465814</v>
      </c>
      <c r="E330">
        <v>48.06357534514482</v>
      </c>
      <c r="F330">
        <v>28.153837114260096</v>
      </c>
      <c r="G330">
        <v>47.815173047963818</v>
      </c>
    </row>
    <row r="331" spans="2:7" x14ac:dyDescent="0.25">
      <c r="B331" s="87" t="s">
        <v>1511</v>
      </c>
      <c r="C331">
        <v>22.590021450451438</v>
      </c>
      <c r="D331">
        <v>29.24744104436267</v>
      </c>
      <c r="E331">
        <v>50.552049466916365</v>
      </c>
      <c r="F331">
        <v>28.799027476334476</v>
      </c>
      <c r="G331">
        <v>50.0474630150987</v>
      </c>
    </row>
    <row r="332" spans="2:7" x14ac:dyDescent="0.25">
      <c r="B332" s="87" t="s">
        <v>1512</v>
      </c>
      <c r="C332">
        <v>22.98790093307624</v>
      </c>
      <c r="D332">
        <v>29.435832474133178</v>
      </c>
      <c r="E332">
        <v>53.106002048586639</v>
      </c>
      <c r="F332">
        <v>29.44399817807869</v>
      </c>
      <c r="G332">
        <v>52.327808474239546</v>
      </c>
    </row>
    <row r="333" spans="2:7" x14ac:dyDescent="0.25">
      <c r="B333" s="87" t="s">
        <v>1513</v>
      </c>
      <c r="C333">
        <v>23.410019754399723</v>
      </c>
      <c r="D333">
        <v>29.554044361110957</v>
      </c>
      <c r="E333">
        <v>55.801258163893841</v>
      </c>
      <c r="F333">
        <v>30.095526777231591</v>
      </c>
      <c r="G333">
        <v>54.693529450236611</v>
      </c>
    </row>
    <row r="334" spans="2:7" x14ac:dyDescent="0.25">
      <c r="B334" s="87" t="s">
        <v>1514</v>
      </c>
      <c r="C334">
        <v>23.866933258929791</v>
      </c>
      <c r="D334">
        <v>29.408317973047634</v>
      </c>
      <c r="E334">
        <v>57.807591611592713</v>
      </c>
      <c r="F334">
        <v>30.717435033334812</v>
      </c>
      <c r="G334">
        <v>56.961557615106599</v>
      </c>
    </row>
    <row r="335" spans="2:7" x14ac:dyDescent="0.25">
      <c r="B335" s="87" t="s">
        <v>1515</v>
      </c>
      <c r="C335">
        <v>24.315023864940752</v>
      </c>
      <c r="D335">
        <v>29.14271766985485</v>
      </c>
      <c r="E335">
        <v>59.944618399873441</v>
      </c>
      <c r="F335">
        <v>31.317644048972202</v>
      </c>
      <c r="G335">
        <v>59.121553978957564</v>
      </c>
    </row>
    <row r="336" spans="2:7" x14ac:dyDescent="0.25">
      <c r="B336" s="87" t="s">
        <v>1516</v>
      </c>
      <c r="C336">
        <v>24.757684686441891</v>
      </c>
      <c r="D336">
        <v>28.80194258520595</v>
      </c>
      <c r="E336">
        <v>62.040835738569427</v>
      </c>
      <c r="F336">
        <v>31.906214263809147</v>
      </c>
      <c r="G336">
        <v>61.330061435523717</v>
      </c>
    </row>
    <row r="337" spans="1:7" x14ac:dyDescent="0.25">
      <c r="B337" s="87" t="s">
        <v>1517</v>
      </c>
      <c r="C337">
        <v>25.200719269016258</v>
      </c>
      <c r="D337">
        <v>28.344464396482135</v>
      </c>
      <c r="E337">
        <v>64.177229509235985</v>
      </c>
      <c r="F337">
        <v>32.486352762071967</v>
      </c>
      <c r="G337">
        <v>63.478414343820887</v>
      </c>
    </row>
    <row r="338" spans="1:7" x14ac:dyDescent="0.25">
      <c r="B338" s="87" t="s">
        <v>1518</v>
      </c>
      <c r="C338">
        <v>25.66898365649061</v>
      </c>
      <c r="D338">
        <v>27.704978208291113</v>
      </c>
      <c r="E338">
        <v>66.359634282649822</v>
      </c>
      <c r="F338">
        <v>33.071189499819518</v>
      </c>
      <c r="G338">
        <v>65.603893126943575</v>
      </c>
    </row>
    <row r="339" spans="1:7" x14ac:dyDescent="0.25">
      <c r="B339" s="87" t="s">
        <v>1519</v>
      </c>
      <c r="C339">
        <v>26.185699168783557</v>
      </c>
      <c r="D339">
        <v>26.978358275166183</v>
      </c>
      <c r="E339">
        <v>68.673061988704376</v>
      </c>
      <c r="F339">
        <v>33.697670632955095</v>
      </c>
      <c r="G339">
        <v>67.835106256366885</v>
      </c>
    </row>
    <row r="340" spans="1:7" x14ac:dyDescent="0.25">
      <c r="B340" s="87" t="s">
        <v>1520</v>
      </c>
      <c r="C340">
        <v>26.633213368761876</v>
      </c>
      <c r="D340">
        <v>26.140367065304513</v>
      </c>
      <c r="E340">
        <v>70.943058796905305</v>
      </c>
      <c r="F340">
        <v>34.240851090449667</v>
      </c>
      <c r="G340">
        <v>69.913347821365591</v>
      </c>
    </row>
    <row r="342" spans="1:7" x14ac:dyDescent="0.25">
      <c r="A342" t="s">
        <v>1535</v>
      </c>
      <c r="B342" s="87" t="str">
        <f>MID(A342,16,LEN(A342)-16)</f>
        <v xml:space="preserve">Non Ferous Metals                          </v>
      </c>
    </row>
    <row r="343" spans="1:7" x14ac:dyDescent="0.25">
      <c r="A343" t="s">
        <v>1536</v>
      </c>
      <c r="C343" s="87" t="s">
        <v>1470</v>
      </c>
      <c r="D343" s="87" t="s">
        <v>1481</v>
      </c>
      <c r="E343" s="87" t="s">
        <v>1482</v>
      </c>
      <c r="F343" s="87" t="s">
        <v>1483</v>
      </c>
      <c r="G343" s="87" t="s">
        <v>1484</v>
      </c>
    </row>
    <row r="344" spans="1:7" x14ac:dyDescent="0.25">
      <c r="B344" s="87" t="s">
        <v>1487</v>
      </c>
      <c r="C344">
        <v>11.790416964357622</v>
      </c>
      <c r="D344">
        <v>11.790416964357622</v>
      </c>
      <c r="E344">
        <v>11.790416964357622</v>
      </c>
      <c r="F344">
        <v>11.790416964357622</v>
      </c>
      <c r="G344">
        <v>11.790416964357622</v>
      </c>
    </row>
    <row r="345" spans="1:7" x14ac:dyDescent="0.25">
      <c r="B345" s="87" t="s">
        <v>1488</v>
      </c>
      <c r="C345">
        <v>11.680828576149159</v>
      </c>
      <c r="D345">
        <v>11.680828576185773</v>
      </c>
      <c r="E345">
        <v>11.680828576185787</v>
      </c>
      <c r="F345">
        <v>11.680828576185963</v>
      </c>
      <c r="G345">
        <v>11.680828576168885</v>
      </c>
    </row>
    <row r="346" spans="1:7" x14ac:dyDescent="0.25">
      <c r="B346" s="87" t="s">
        <v>1489</v>
      </c>
      <c r="C346">
        <v>11.371346690527909</v>
      </c>
      <c r="D346">
        <v>11.371705805379047</v>
      </c>
      <c r="E346">
        <v>11.371911059951717</v>
      </c>
      <c r="F346">
        <v>11.371418683711596</v>
      </c>
      <c r="G346">
        <v>11.371761436757758</v>
      </c>
    </row>
    <row r="347" spans="1:7" x14ac:dyDescent="0.25">
      <c r="B347" s="87" t="s">
        <v>1490</v>
      </c>
      <c r="C347">
        <v>10.922921788824928</v>
      </c>
      <c r="D347">
        <v>10.923877133616086</v>
      </c>
      <c r="E347">
        <v>10.924417558469257</v>
      </c>
      <c r="F347">
        <v>10.923114319501545</v>
      </c>
      <c r="G347">
        <v>10.924024019219463</v>
      </c>
    </row>
    <row r="348" spans="1:7" x14ac:dyDescent="0.25">
      <c r="B348" s="87" t="s">
        <v>1491</v>
      </c>
      <c r="C348">
        <v>10.287578040489388</v>
      </c>
      <c r="D348">
        <v>10.289345701347964</v>
      </c>
      <c r="E348">
        <v>10.290342151516999</v>
      </c>
      <c r="F348">
        <v>10.287934918120065</v>
      </c>
      <c r="G348">
        <v>10.289616819371506</v>
      </c>
    </row>
    <row r="349" spans="1:7" x14ac:dyDescent="0.25">
      <c r="B349" s="87" t="s">
        <v>1492</v>
      </c>
      <c r="C349">
        <v>9.6287672466043546</v>
      </c>
      <c r="D349">
        <v>9.6315287075490073</v>
      </c>
      <c r="E349">
        <v>9.6337510692203434</v>
      </c>
      <c r="F349">
        <v>9.6299936828309303</v>
      </c>
      <c r="G349">
        <v>9.6319516994667236</v>
      </c>
    </row>
    <row r="350" spans="1:7" x14ac:dyDescent="0.25">
      <c r="B350" s="87" t="s">
        <v>1493</v>
      </c>
      <c r="C350">
        <v>9.0318322362543828</v>
      </c>
      <c r="D350">
        <v>9.0355557754073583</v>
      </c>
      <c r="E350">
        <v>9.0378058920062507</v>
      </c>
      <c r="F350">
        <v>9.032740828361316</v>
      </c>
      <c r="G350">
        <v>9.0361258895631451</v>
      </c>
    </row>
    <row r="351" spans="1:7" x14ac:dyDescent="0.25">
      <c r="B351" s="87" t="s">
        <v>1494</v>
      </c>
      <c r="C351">
        <v>8.3815411363798518</v>
      </c>
      <c r="D351">
        <v>8.4966941608512361</v>
      </c>
      <c r="E351">
        <v>8.8331019784873543</v>
      </c>
      <c r="F351">
        <v>8.4829085211748971</v>
      </c>
      <c r="G351">
        <v>8.8131482210565011</v>
      </c>
    </row>
    <row r="352" spans="1:7" x14ac:dyDescent="0.25">
      <c r="B352" s="87" t="s">
        <v>1495</v>
      </c>
      <c r="C352">
        <v>7.8500535464910772</v>
      </c>
      <c r="D352">
        <v>8.1341100271849207</v>
      </c>
      <c r="E352">
        <v>8.7948958370419668</v>
      </c>
      <c r="F352">
        <v>8.0972430745858492</v>
      </c>
      <c r="G352">
        <v>8.7261600364824776</v>
      </c>
    </row>
    <row r="353" spans="2:7" x14ac:dyDescent="0.25">
      <c r="B353" s="87" t="s">
        <v>1496</v>
      </c>
      <c r="C353">
        <v>7.3902415778520796</v>
      </c>
      <c r="D353">
        <v>7.8194585073254768</v>
      </c>
      <c r="E353">
        <v>8.779602289503929</v>
      </c>
      <c r="F353">
        <v>7.7557642219417859</v>
      </c>
      <c r="G353">
        <v>8.7049579867132856</v>
      </c>
    </row>
    <row r="354" spans="2:7" x14ac:dyDescent="0.25">
      <c r="B354" s="87" t="s">
        <v>1497</v>
      </c>
      <c r="C354">
        <v>6.9583105325092411</v>
      </c>
      <c r="D354">
        <v>7.528371243410791</v>
      </c>
      <c r="E354">
        <v>8.8002612074838389</v>
      </c>
      <c r="F354">
        <v>7.4426147775849794</v>
      </c>
      <c r="G354">
        <v>8.6997873519920574</v>
      </c>
    </row>
    <row r="355" spans="2:7" x14ac:dyDescent="0.25">
      <c r="B355" s="87" t="s">
        <v>1498</v>
      </c>
      <c r="C355">
        <v>6.5402507396850567</v>
      </c>
      <c r="D355">
        <v>7.2367076741842666</v>
      </c>
      <c r="E355">
        <v>8.8243884453160089</v>
      </c>
      <c r="F355">
        <v>7.1277934778921423</v>
      </c>
      <c r="G355">
        <v>8.7082972619108112</v>
      </c>
    </row>
    <row r="356" spans="2:7" x14ac:dyDescent="0.25">
      <c r="B356" s="87" t="s">
        <v>1499</v>
      </c>
      <c r="C356">
        <v>6.1378762445625332</v>
      </c>
      <c r="D356">
        <v>6.9598503157173921</v>
      </c>
      <c r="E356">
        <v>8.8703658048878111</v>
      </c>
      <c r="F356">
        <v>6.8396469072004891</v>
      </c>
      <c r="G356">
        <v>8.7341219549513625</v>
      </c>
    </row>
    <row r="357" spans="2:7" x14ac:dyDescent="0.25">
      <c r="B357" s="87" t="s">
        <v>1500</v>
      </c>
      <c r="C357">
        <v>5.8023389150642384</v>
      </c>
      <c r="D357">
        <v>6.696049008429636</v>
      </c>
      <c r="E357">
        <v>8.8371566858027784</v>
      </c>
      <c r="F357">
        <v>6.5571487657626477</v>
      </c>
      <c r="G357">
        <v>8.766879073869374</v>
      </c>
    </row>
    <row r="358" spans="2:7" x14ac:dyDescent="0.25">
      <c r="B358" s="87" t="s">
        <v>1501</v>
      </c>
      <c r="C358">
        <v>5.5197674451000927</v>
      </c>
      <c r="D358">
        <v>6.4903229784360654</v>
      </c>
      <c r="E358">
        <v>8.8444046269733718</v>
      </c>
      <c r="F358">
        <v>6.3277560044434145</v>
      </c>
      <c r="G358">
        <v>8.8667350030173555</v>
      </c>
    </row>
    <row r="359" spans="2:7" x14ac:dyDescent="0.25">
      <c r="B359" s="87" t="s">
        <v>1502</v>
      </c>
      <c r="C359">
        <v>5.2974605865799154</v>
      </c>
      <c r="D359">
        <v>6.3031768252441287</v>
      </c>
      <c r="E359">
        <v>8.9375135233410266</v>
      </c>
      <c r="F359">
        <v>6.1541859718383032</v>
      </c>
      <c r="G359">
        <v>9.0578031407034345</v>
      </c>
    </row>
    <row r="360" spans="2:7" x14ac:dyDescent="0.25">
      <c r="B360" s="87" t="s">
        <v>1503</v>
      </c>
      <c r="C360">
        <v>5.0795105212393299</v>
      </c>
      <c r="D360">
        <v>6.1196424380322743</v>
      </c>
      <c r="E360">
        <v>9.0126762658243269</v>
      </c>
      <c r="F360">
        <v>5.9831319734258805</v>
      </c>
      <c r="G360">
        <v>9.2542094824591494</v>
      </c>
    </row>
    <row r="361" spans="2:7" x14ac:dyDescent="0.25">
      <c r="B361" s="87" t="s">
        <v>1504</v>
      </c>
      <c r="C361">
        <v>4.8785146803344563</v>
      </c>
      <c r="D361">
        <v>5.9110339814119932</v>
      </c>
      <c r="E361">
        <v>9.0284461388319777</v>
      </c>
      <c r="F361">
        <v>5.8304950007569554</v>
      </c>
      <c r="G361">
        <v>9.3572362602530657</v>
      </c>
    </row>
    <row r="362" spans="2:7" x14ac:dyDescent="0.25">
      <c r="B362" s="87" t="s">
        <v>1505</v>
      </c>
      <c r="C362">
        <v>4.7114894602608155</v>
      </c>
      <c r="D362">
        <v>5.6756886346586848</v>
      </c>
      <c r="E362">
        <v>9.0548299737776361</v>
      </c>
      <c r="F362">
        <v>5.7134841147533377</v>
      </c>
      <c r="G362">
        <v>9.4757443408965472</v>
      </c>
    </row>
    <row r="363" spans="2:7" x14ac:dyDescent="0.25">
      <c r="B363" s="87" t="s">
        <v>1506</v>
      </c>
      <c r="C363">
        <v>4.5668137953179464</v>
      </c>
      <c r="D363">
        <v>5.4613203553467322</v>
      </c>
      <c r="E363">
        <v>9.1327519688337357</v>
      </c>
      <c r="F363">
        <v>5.6167336880467484</v>
      </c>
      <c r="G363">
        <v>9.6687762890113635</v>
      </c>
    </row>
    <row r="364" spans="2:7" x14ac:dyDescent="0.25">
      <c r="B364" s="87" t="s">
        <v>1507</v>
      </c>
      <c r="C364">
        <v>4.4450752771024611</v>
      </c>
      <c r="D364">
        <v>5.2485670584825286</v>
      </c>
      <c r="E364">
        <v>9.2278942851719616</v>
      </c>
      <c r="F364">
        <v>5.5377214807626132</v>
      </c>
      <c r="G364">
        <v>9.9036338696293189</v>
      </c>
    </row>
    <row r="365" spans="2:7" x14ac:dyDescent="0.25">
      <c r="B365" s="87" t="s">
        <v>1508</v>
      </c>
      <c r="C365">
        <v>4.3395296081422563</v>
      </c>
      <c r="D365">
        <v>5.0308264409492924</v>
      </c>
      <c r="E365">
        <v>9.3334560630296775</v>
      </c>
      <c r="F365">
        <v>5.4614352527534606</v>
      </c>
      <c r="G365">
        <v>10.168857336146829</v>
      </c>
    </row>
    <row r="366" spans="2:7" x14ac:dyDescent="0.25">
      <c r="B366" s="87" t="s">
        <v>1509</v>
      </c>
      <c r="C366">
        <v>4.2426949319988552</v>
      </c>
      <c r="D366">
        <v>4.7954828779132006</v>
      </c>
      <c r="E366">
        <v>9.4084255969214041</v>
      </c>
      <c r="F366">
        <v>5.3626481767543961</v>
      </c>
      <c r="G366">
        <v>10.463190986626509</v>
      </c>
    </row>
    <row r="367" spans="2:7" x14ac:dyDescent="0.25">
      <c r="B367" s="87" t="s">
        <v>1510</v>
      </c>
      <c r="C367">
        <v>4.1607993396168226</v>
      </c>
      <c r="D367">
        <v>4.5603628152612821</v>
      </c>
      <c r="E367">
        <v>9.4966040631965285</v>
      </c>
      <c r="F367">
        <v>5.2686011071436489</v>
      </c>
      <c r="G367">
        <v>10.796134618083375</v>
      </c>
    </row>
    <row r="368" spans="2:7" x14ac:dyDescent="0.25">
      <c r="B368" s="87" t="s">
        <v>1511</v>
      </c>
      <c r="C368">
        <v>4.0698927390947013</v>
      </c>
      <c r="D368">
        <v>4.3308676532849057</v>
      </c>
      <c r="E368">
        <v>9.6111608434824518</v>
      </c>
      <c r="F368">
        <v>5.1854450242518544</v>
      </c>
      <c r="G368">
        <v>11.186252528511938</v>
      </c>
    </row>
    <row r="369" spans="1:7" x14ac:dyDescent="0.25">
      <c r="B369" s="87" t="s">
        <v>1512</v>
      </c>
      <c r="C369">
        <v>3.9823206528500616</v>
      </c>
      <c r="D369">
        <v>4.1020022376427079</v>
      </c>
      <c r="E369">
        <v>9.7404453332228993</v>
      </c>
      <c r="F369">
        <v>5.1074056296084729</v>
      </c>
      <c r="G369">
        <v>11.626510610033648</v>
      </c>
    </row>
    <row r="370" spans="1:7" x14ac:dyDescent="0.25">
      <c r="B370" s="87" t="s">
        <v>1513</v>
      </c>
      <c r="C370">
        <v>3.9022634250073525</v>
      </c>
      <c r="D370">
        <v>3.8769233973589681</v>
      </c>
      <c r="E370">
        <v>9.8917951215993423</v>
      </c>
      <c r="F370">
        <v>5.0360645188726325</v>
      </c>
      <c r="G370">
        <v>12.126287859112699</v>
      </c>
    </row>
    <row r="371" spans="1:7" x14ac:dyDescent="0.25">
      <c r="B371" s="87" t="s">
        <v>1514</v>
      </c>
      <c r="C371">
        <v>3.831694067641072</v>
      </c>
      <c r="D371">
        <v>3.6358962785218987</v>
      </c>
      <c r="E371">
        <v>9.8874472612744082</v>
      </c>
      <c r="F371">
        <v>4.9648425756390147</v>
      </c>
      <c r="G371">
        <v>12.658956601060435</v>
      </c>
    </row>
    <row r="372" spans="1:7" x14ac:dyDescent="0.25">
      <c r="B372" s="87" t="s">
        <v>1515</v>
      </c>
      <c r="C372">
        <v>3.7637997165389314</v>
      </c>
      <c r="D372">
        <v>3.3983064929096658</v>
      </c>
      <c r="E372">
        <v>9.9083149878110266</v>
      </c>
      <c r="F372">
        <v>4.8959323073964285</v>
      </c>
      <c r="G372">
        <v>13.228825368368259</v>
      </c>
    </row>
    <row r="373" spans="1:7" x14ac:dyDescent="0.25">
      <c r="B373" s="87" t="s">
        <v>1516</v>
      </c>
      <c r="C373">
        <v>3.6982876884301943</v>
      </c>
      <c r="D373">
        <v>3.1673503521576842</v>
      </c>
      <c r="E373">
        <v>9.9356997126236024</v>
      </c>
      <c r="F373">
        <v>4.8288473489397639</v>
      </c>
      <c r="G373">
        <v>13.849759023242445</v>
      </c>
    </row>
    <row r="374" spans="1:7" x14ac:dyDescent="0.25">
      <c r="B374" s="87" t="s">
        <v>1517</v>
      </c>
      <c r="C374">
        <v>3.6370959174088484</v>
      </c>
      <c r="D374">
        <v>2.9428027299532031</v>
      </c>
      <c r="E374">
        <v>9.9702254356189215</v>
      </c>
      <c r="F374">
        <v>4.7657057347045759</v>
      </c>
      <c r="G374">
        <v>14.502516794785203</v>
      </c>
    </row>
    <row r="375" spans="1:7" x14ac:dyDescent="0.25">
      <c r="B375" s="87" t="s">
        <v>1518</v>
      </c>
      <c r="C375">
        <v>3.5812580464359076</v>
      </c>
      <c r="D375">
        <v>2.7183818526414822</v>
      </c>
      <c r="E375">
        <v>10.014371809809148</v>
      </c>
      <c r="F375">
        <v>4.7069659886604489</v>
      </c>
      <c r="G375">
        <v>15.197993304901761</v>
      </c>
    </row>
    <row r="376" spans="1:7" x14ac:dyDescent="0.25">
      <c r="B376" s="87" t="s">
        <v>1519</v>
      </c>
      <c r="C376">
        <v>3.5349919695787291</v>
      </c>
      <c r="D376">
        <v>2.5010583887866864</v>
      </c>
      <c r="E376">
        <v>10.075595626435559</v>
      </c>
      <c r="F376">
        <v>4.6572724312332552</v>
      </c>
      <c r="G376">
        <v>15.963511640546521</v>
      </c>
    </row>
    <row r="377" spans="1:7" x14ac:dyDescent="0.25">
      <c r="B377" s="87" t="s">
        <v>1520</v>
      </c>
      <c r="C377">
        <v>3.4834527760950471</v>
      </c>
      <c r="D377">
        <v>2.2900245328873305</v>
      </c>
      <c r="E377">
        <v>10.129564341619265</v>
      </c>
      <c r="F377">
        <v>4.6021552916363087</v>
      </c>
      <c r="G377">
        <v>16.736477444423045</v>
      </c>
    </row>
    <row r="379" spans="1:7" x14ac:dyDescent="0.25">
      <c r="A379" t="s">
        <v>1537</v>
      </c>
      <c r="B379" s="87" t="str">
        <f>MID(A379,16,LEN(A379)-16)</f>
        <v xml:space="preserve">Other                                      </v>
      </c>
    </row>
    <row r="380" spans="1:7" x14ac:dyDescent="0.25">
      <c r="A380" t="s">
        <v>1538</v>
      </c>
      <c r="C380" s="87" t="s">
        <v>1470</v>
      </c>
      <c r="D380" s="87" t="s">
        <v>1481</v>
      </c>
      <c r="E380" s="87" t="s">
        <v>1482</v>
      </c>
      <c r="F380" s="87" t="s">
        <v>1483</v>
      </c>
      <c r="G380" s="87" t="s">
        <v>1484</v>
      </c>
    </row>
    <row r="381" spans="1:7" x14ac:dyDescent="0.25">
      <c r="B381" s="87" t="s">
        <v>1487</v>
      </c>
      <c r="C381">
        <v>170.91345706301644</v>
      </c>
      <c r="D381">
        <v>170.91345706301644</v>
      </c>
      <c r="E381">
        <v>170.91345706301644</v>
      </c>
      <c r="F381">
        <v>170.91345706301644</v>
      </c>
      <c r="G381">
        <v>170.91345706301644</v>
      </c>
    </row>
    <row r="382" spans="1:7" x14ac:dyDescent="0.25">
      <c r="B382" s="87" t="s">
        <v>1488</v>
      </c>
      <c r="C382">
        <v>175.53815775320541</v>
      </c>
      <c r="D382">
        <v>175.53815775335653</v>
      </c>
      <c r="E382">
        <v>175.53815775335613</v>
      </c>
      <c r="F382">
        <v>175.53815775335829</v>
      </c>
      <c r="G382">
        <v>175.53815774704898</v>
      </c>
    </row>
    <row r="383" spans="1:7" x14ac:dyDescent="0.25">
      <c r="B383" s="87" t="s">
        <v>1489</v>
      </c>
      <c r="C383">
        <v>180.33466787899607</v>
      </c>
      <c r="D383">
        <v>180.34052142838567</v>
      </c>
      <c r="E383">
        <v>180.34386644746084</v>
      </c>
      <c r="F383">
        <v>180.3358415136897</v>
      </c>
      <c r="G383">
        <v>180.34142809407351</v>
      </c>
    </row>
    <row r="384" spans="1:7" x14ac:dyDescent="0.25">
      <c r="B384" s="87" t="s">
        <v>1490</v>
      </c>
      <c r="C384">
        <v>185.12440849613341</v>
      </c>
      <c r="D384">
        <v>185.13740063318943</v>
      </c>
      <c r="E384">
        <v>185.1447356952167</v>
      </c>
      <c r="F384">
        <v>185.12702939612686</v>
      </c>
      <c r="G384">
        <v>185.13939520856738</v>
      </c>
    </row>
    <row r="385" spans="2:7" x14ac:dyDescent="0.25">
      <c r="B385" s="87" t="s">
        <v>1491</v>
      </c>
      <c r="C385">
        <v>190.02590433037614</v>
      </c>
      <c r="D385">
        <v>190.04712491834709</v>
      </c>
      <c r="E385">
        <v>190.05906248945595</v>
      </c>
      <c r="F385">
        <v>190.03019313193042</v>
      </c>
      <c r="G385">
        <v>190.0503740522804</v>
      </c>
    </row>
    <row r="386" spans="2:7" x14ac:dyDescent="0.25">
      <c r="B386" s="87" t="s">
        <v>1492</v>
      </c>
      <c r="C386">
        <v>194.70446455871294</v>
      </c>
      <c r="D386">
        <v>194.73578343234016</v>
      </c>
      <c r="E386">
        <v>194.75099983035801</v>
      </c>
      <c r="F386">
        <v>194.70842725658474</v>
      </c>
      <c r="G386">
        <v>194.7405735497685</v>
      </c>
    </row>
    <row r="387" spans="2:7" x14ac:dyDescent="0.25">
      <c r="B387" s="87" t="s">
        <v>1493</v>
      </c>
      <c r="C387">
        <v>199.00628556425502</v>
      </c>
      <c r="D387">
        <v>199.04744469628838</v>
      </c>
      <c r="E387">
        <v>199.06988222481635</v>
      </c>
      <c r="F387">
        <v>199.01394595781244</v>
      </c>
      <c r="G387">
        <v>199.05373824920841</v>
      </c>
    </row>
    <row r="388" spans="2:7" x14ac:dyDescent="0.25">
      <c r="B388" s="87" t="s">
        <v>1494</v>
      </c>
      <c r="C388">
        <v>203.18041752138157</v>
      </c>
      <c r="D388">
        <v>209.02673922783299</v>
      </c>
      <c r="E388">
        <v>212.34245417618448</v>
      </c>
      <c r="F388">
        <v>206.12911998404209</v>
      </c>
      <c r="G388">
        <v>211.731035252949</v>
      </c>
    </row>
    <row r="389" spans="2:7" x14ac:dyDescent="0.25">
      <c r="B389" s="87" t="s">
        <v>1495</v>
      </c>
      <c r="C389">
        <v>207.51207626977921</v>
      </c>
      <c r="D389">
        <v>219.66187217828949</v>
      </c>
      <c r="E389">
        <v>226.73719716331345</v>
      </c>
      <c r="F389">
        <v>213.57026757508297</v>
      </c>
      <c r="G389">
        <v>225.47218447194203</v>
      </c>
    </row>
    <row r="390" spans="2:7" x14ac:dyDescent="0.25">
      <c r="B390" s="87" t="s">
        <v>1496</v>
      </c>
      <c r="C390">
        <v>212.05127722463493</v>
      </c>
      <c r="D390">
        <v>231.16773983725156</v>
      </c>
      <c r="E390">
        <v>242.569403383864</v>
      </c>
      <c r="F390">
        <v>221.53978858760181</v>
      </c>
      <c r="G390">
        <v>240.46691269806735</v>
      </c>
    </row>
    <row r="391" spans="2:7" x14ac:dyDescent="0.25">
      <c r="B391" s="87" t="s">
        <v>1497</v>
      </c>
      <c r="C391">
        <v>216.72680786490866</v>
      </c>
      <c r="D391">
        <v>243.51571509525857</v>
      </c>
      <c r="E391">
        <v>259.84846832580223</v>
      </c>
      <c r="F391">
        <v>229.93247785852012</v>
      </c>
      <c r="G391">
        <v>256.80849467052985</v>
      </c>
    </row>
    <row r="392" spans="2:7" x14ac:dyDescent="0.25">
      <c r="B392" s="87" t="s">
        <v>1498</v>
      </c>
      <c r="C392">
        <v>221.87080623188714</v>
      </c>
      <c r="D392">
        <v>257.06684833144737</v>
      </c>
      <c r="E392">
        <v>278.88775614795821</v>
      </c>
      <c r="F392">
        <v>239.14297160472216</v>
      </c>
      <c r="G392">
        <v>274.79601175770881</v>
      </c>
    </row>
    <row r="393" spans="2:7" x14ac:dyDescent="0.25">
      <c r="B393" s="87" t="s">
        <v>1499</v>
      </c>
      <c r="C393">
        <v>227.03319334500355</v>
      </c>
      <c r="D393">
        <v>271.48478860716943</v>
      </c>
      <c r="E393">
        <v>299.5292768555405</v>
      </c>
      <c r="F393">
        <v>248.66966637847258</v>
      </c>
      <c r="G393">
        <v>294.20967913903792</v>
      </c>
    </row>
    <row r="394" spans="2:7" x14ac:dyDescent="0.25">
      <c r="B394" s="87" t="s">
        <v>1500</v>
      </c>
      <c r="C394">
        <v>232.21725171826512</v>
      </c>
      <c r="D394">
        <v>285.56329072427644</v>
      </c>
      <c r="E394">
        <v>317.38440418795381</v>
      </c>
      <c r="F394">
        <v>257.0615273292197</v>
      </c>
      <c r="G394">
        <v>312.21425172974909</v>
      </c>
    </row>
    <row r="395" spans="2:7" x14ac:dyDescent="0.25">
      <c r="B395" s="87" t="s">
        <v>1501</v>
      </c>
      <c r="C395">
        <v>237.30794557006209</v>
      </c>
      <c r="D395">
        <v>300.18642820490163</v>
      </c>
      <c r="E395">
        <v>337.1435703765834</v>
      </c>
      <c r="F395">
        <v>265.54626341335711</v>
      </c>
      <c r="G395">
        <v>331.37977867753528</v>
      </c>
    </row>
    <row r="396" spans="2:7" x14ac:dyDescent="0.25">
      <c r="B396" s="87" t="s">
        <v>1502</v>
      </c>
      <c r="C396">
        <v>242.57101893005864</v>
      </c>
      <c r="D396">
        <v>315.75990542611464</v>
      </c>
      <c r="E396">
        <v>358.1016997144672</v>
      </c>
      <c r="F396">
        <v>274.44375206447597</v>
      </c>
      <c r="G396">
        <v>351.56964665932389</v>
      </c>
    </row>
    <row r="397" spans="2:7" x14ac:dyDescent="0.25">
      <c r="B397" s="87" t="s">
        <v>1503</v>
      </c>
      <c r="C397">
        <v>247.69004098090994</v>
      </c>
      <c r="D397">
        <v>331.75019225406947</v>
      </c>
      <c r="E397">
        <v>380.54403208057437</v>
      </c>
      <c r="F397">
        <v>283.3954120262938</v>
      </c>
      <c r="G397">
        <v>373.17394805059962</v>
      </c>
    </row>
    <row r="398" spans="2:7" x14ac:dyDescent="0.25">
      <c r="B398" s="87" t="s">
        <v>1504</v>
      </c>
      <c r="C398">
        <v>252.94890350224188</v>
      </c>
      <c r="D398">
        <v>346.76227729967047</v>
      </c>
      <c r="E398">
        <v>403.78422180269945</v>
      </c>
      <c r="F398">
        <v>292.34794751476193</v>
      </c>
      <c r="G398">
        <v>393.65482263239971</v>
      </c>
    </row>
    <row r="399" spans="2:7" x14ac:dyDescent="0.25">
      <c r="B399" s="87" t="s">
        <v>1505</v>
      </c>
      <c r="C399">
        <v>258.35352738133992</v>
      </c>
      <c r="D399">
        <v>362.13237368581321</v>
      </c>
      <c r="E399">
        <v>428.42311656510572</v>
      </c>
      <c r="F399">
        <v>301.57625561378103</v>
      </c>
      <c r="G399">
        <v>415.29962226036025</v>
      </c>
    </row>
    <row r="400" spans="2:7" x14ac:dyDescent="0.25">
      <c r="B400" s="87" t="s">
        <v>1506</v>
      </c>
      <c r="C400">
        <v>264.01281168677497</v>
      </c>
      <c r="D400">
        <v>378.18017965485774</v>
      </c>
      <c r="E400">
        <v>455.10938367461802</v>
      </c>
      <c r="F400">
        <v>311.0177679870165</v>
      </c>
      <c r="G400">
        <v>438.27685079769572</v>
      </c>
    </row>
    <row r="401" spans="1:7" x14ac:dyDescent="0.25">
      <c r="B401" s="87" t="s">
        <v>1507</v>
      </c>
      <c r="C401">
        <v>269.63818372411799</v>
      </c>
      <c r="D401">
        <v>395.3028014466496</v>
      </c>
      <c r="E401">
        <v>484.27308476264477</v>
      </c>
      <c r="F401">
        <v>320.80689011314604</v>
      </c>
      <c r="G401">
        <v>463.09689480455586</v>
      </c>
    </row>
    <row r="402" spans="1:7" x14ac:dyDescent="0.25">
      <c r="B402" s="87" t="s">
        <v>1508</v>
      </c>
      <c r="C402">
        <v>275.20159946998211</v>
      </c>
      <c r="D402">
        <v>413.81854806668241</v>
      </c>
      <c r="E402">
        <v>516.39972900536554</v>
      </c>
      <c r="F402">
        <v>331.02974962544408</v>
      </c>
      <c r="G402">
        <v>490.09727915631265</v>
      </c>
    </row>
    <row r="403" spans="1:7" x14ac:dyDescent="0.25">
      <c r="B403" s="87" t="s">
        <v>1509</v>
      </c>
      <c r="C403">
        <v>280.81552991020982</v>
      </c>
      <c r="D403">
        <v>431.57076187425332</v>
      </c>
      <c r="E403">
        <v>544.93240566385975</v>
      </c>
      <c r="F403">
        <v>339.46132845612283</v>
      </c>
      <c r="G403">
        <v>511.40153667651924</v>
      </c>
    </row>
    <row r="404" spans="1:7" x14ac:dyDescent="0.25">
      <c r="B404" s="87" t="s">
        <v>1510</v>
      </c>
      <c r="C404">
        <v>286.8141601828504</v>
      </c>
      <c r="D404">
        <v>450.04322595049695</v>
      </c>
      <c r="E404">
        <v>575.06286505434639</v>
      </c>
      <c r="F404">
        <v>348.09547307712046</v>
      </c>
      <c r="G404">
        <v>533.31233860307407</v>
      </c>
    </row>
    <row r="405" spans="1:7" x14ac:dyDescent="0.25">
      <c r="B405" s="87" t="s">
        <v>1511</v>
      </c>
      <c r="C405">
        <v>293.01748588303843</v>
      </c>
      <c r="D405">
        <v>469.42995068432043</v>
      </c>
      <c r="E405">
        <v>606.85673187964278</v>
      </c>
      <c r="F405">
        <v>357.04043542786292</v>
      </c>
      <c r="G405">
        <v>555.79935301154921</v>
      </c>
    </row>
    <row r="406" spans="1:7" x14ac:dyDescent="0.25">
      <c r="B406" s="87" t="s">
        <v>1512</v>
      </c>
      <c r="C406">
        <v>299.57333194061425</v>
      </c>
      <c r="D406">
        <v>489.6308931297599</v>
      </c>
      <c r="E406">
        <v>640.14186596791876</v>
      </c>
      <c r="F406">
        <v>366.16343414214168</v>
      </c>
      <c r="G406">
        <v>578.90537190392502</v>
      </c>
    </row>
    <row r="407" spans="1:7" x14ac:dyDescent="0.25">
      <c r="B407" s="87" t="s">
        <v>1513</v>
      </c>
      <c r="C407">
        <v>306.42196756579233</v>
      </c>
      <c r="D407">
        <v>510.55666048715784</v>
      </c>
      <c r="E407">
        <v>675.44970644331534</v>
      </c>
      <c r="F407">
        <v>375.3160099087994</v>
      </c>
      <c r="G407">
        <v>602.71584895778892</v>
      </c>
    </row>
    <row r="408" spans="1:7" x14ac:dyDescent="0.25">
      <c r="B408" s="87" t="s">
        <v>1514</v>
      </c>
      <c r="C408">
        <v>313.54963988866444</v>
      </c>
      <c r="D408">
        <v>529.22312492597075</v>
      </c>
      <c r="E408">
        <v>701.9465511429629</v>
      </c>
      <c r="F408">
        <v>383.91961280174996</v>
      </c>
      <c r="G408">
        <v>624.82747043092388</v>
      </c>
    </row>
    <row r="409" spans="1:7" x14ac:dyDescent="0.25">
      <c r="B409" s="87" t="s">
        <v>1515</v>
      </c>
      <c r="C409">
        <v>320.77692661392302</v>
      </c>
      <c r="D409">
        <v>548.31347050996999</v>
      </c>
      <c r="E409">
        <v>729.35747086950369</v>
      </c>
      <c r="F409">
        <v>392.56836412692036</v>
      </c>
      <c r="G409">
        <v>647.12910453014649</v>
      </c>
    </row>
    <row r="410" spans="1:7" x14ac:dyDescent="0.25">
      <c r="B410" s="87" t="s">
        <v>1516</v>
      </c>
      <c r="C410">
        <v>328.1558201026171</v>
      </c>
      <c r="D410">
        <v>568.07867293849029</v>
      </c>
      <c r="E410">
        <v>757.68662775792973</v>
      </c>
      <c r="F410">
        <v>401.50244744965886</v>
      </c>
      <c r="G410">
        <v>669.59928923544351</v>
      </c>
    </row>
    <row r="411" spans="1:7" x14ac:dyDescent="0.25">
      <c r="B411" s="87" t="s">
        <v>1517</v>
      </c>
      <c r="C411">
        <v>335.42412601224112</v>
      </c>
      <c r="D411">
        <v>587.99660461317467</v>
      </c>
      <c r="E411">
        <v>786.13746189074084</v>
      </c>
      <c r="F411">
        <v>410.21216069464657</v>
      </c>
      <c r="G411">
        <v>691.81661730269184</v>
      </c>
    </row>
    <row r="412" spans="1:7" x14ac:dyDescent="0.25">
      <c r="B412" s="87" t="s">
        <v>1518</v>
      </c>
      <c r="C412">
        <v>343.07344624259423</v>
      </c>
      <c r="D412">
        <v>608.69574404032642</v>
      </c>
      <c r="E412">
        <v>815.711068143484</v>
      </c>
      <c r="F412">
        <v>419.18169841342655</v>
      </c>
      <c r="G412">
        <v>714.49192073143922</v>
      </c>
    </row>
    <row r="413" spans="1:7" x14ac:dyDescent="0.25">
      <c r="B413" s="87" t="s">
        <v>1519</v>
      </c>
      <c r="C413">
        <v>350.98535161365459</v>
      </c>
      <c r="D413">
        <v>629.82695679980895</v>
      </c>
      <c r="E413">
        <v>845.96385238900962</v>
      </c>
      <c r="F413">
        <v>428.3413546952163</v>
      </c>
      <c r="G413">
        <v>737.22566586211997</v>
      </c>
    </row>
    <row r="414" spans="1:7" x14ac:dyDescent="0.25">
      <c r="B414" s="87" t="s">
        <v>1520</v>
      </c>
      <c r="C414">
        <v>358.9477272432178</v>
      </c>
      <c r="D414">
        <v>651.35720300816456</v>
      </c>
      <c r="E414">
        <v>876.86507233939938</v>
      </c>
      <c r="F414">
        <v>437.43631951458821</v>
      </c>
      <c r="G414">
        <v>759.85460602587011</v>
      </c>
    </row>
    <row r="416" spans="1:7" x14ac:dyDescent="0.25">
      <c r="A416" t="s">
        <v>1539</v>
      </c>
      <c r="B416" s="87" t="str">
        <f>MID(A416,5,LEN(A416)-5)</f>
        <v xml:space="preserve">Freight                                               </v>
      </c>
    </row>
    <row r="417" spans="1:7" x14ac:dyDescent="0.25">
      <c r="A417" t="s">
        <v>1540</v>
      </c>
      <c r="C417" s="87" t="s">
        <v>1470</v>
      </c>
      <c r="D417" s="87" t="s">
        <v>1481</v>
      </c>
      <c r="E417" s="87" t="s">
        <v>1482</v>
      </c>
      <c r="F417" s="87" t="s">
        <v>1483</v>
      </c>
      <c r="G417" s="87" t="s">
        <v>1484</v>
      </c>
    </row>
    <row r="418" spans="1:7" x14ac:dyDescent="0.25">
      <c r="B418" s="87" t="s">
        <v>1487</v>
      </c>
      <c r="C418">
        <v>96.206008880196009</v>
      </c>
      <c r="D418">
        <v>96.206008880196009</v>
      </c>
      <c r="E418">
        <v>96.206008880196009</v>
      </c>
      <c r="F418">
        <v>96.206008880196009</v>
      </c>
      <c r="G418">
        <v>96.206008880196009</v>
      </c>
    </row>
    <row r="419" spans="1:7" x14ac:dyDescent="0.25">
      <c r="B419" s="87" t="s">
        <v>1488</v>
      </c>
      <c r="C419">
        <v>98.709035452218529</v>
      </c>
      <c r="D419">
        <v>98.709035452081551</v>
      </c>
      <c r="E419">
        <v>98.709035452081125</v>
      </c>
      <c r="F419">
        <v>98.709035452081906</v>
      </c>
      <c r="G419">
        <v>98.709035449371058</v>
      </c>
    </row>
    <row r="420" spans="1:7" x14ac:dyDescent="0.25">
      <c r="B420" s="87" t="s">
        <v>1489</v>
      </c>
      <c r="C420">
        <v>101.27755382983891</v>
      </c>
      <c r="D420">
        <v>101.27708076354757</v>
      </c>
      <c r="E420">
        <v>101.27680996713963</v>
      </c>
      <c r="F420">
        <v>101.27745905650592</v>
      </c>
      <c r="G420">
        <v>101.2770073979094</v>
      </c>
    </row>
    <row r="421" spans="1:7" x14ac:dyDescent="0.25">
      <c r="B421" s="87" t="s">
        <v>1490</v>
      </c>
      <c r="C421">
        <v>103.87958219214903</v>
      </c>
      <c r="D421">
        <v>103.87867024023456</v>
      </c>
      <c r="E421">
        <v>103.87815722757347</v>
      </c>
      <c r="F421">
        <v>103.87939790674216</v>
      </c>
      <c r="G421">
        <v>103.87853060021749</v>
      </c>
    </row>
    <row r="422" spans="1:7" x14ac:dyDescent="0.25">
      <c r="B422" s="87" t="s">
        <v>1491</v>
      </c>
      <c r="C422">
        <v>106.56103091808276</v>
      </c>
      <c r="D422">
        <v>106.55959282429869</v>
      </c>
      <c r="E422">
        <v>106.55878671710751</v>
      </c>
      <c r="F422">
        <v>106.56073976640189</v>
      </c>
      <c r="G422">
        <v>106.55937320007658</v>
      </c>
    </row>
    <row r="423" spans="1:7" x14ac:dyDescent="0.25">
      <c r="B423" s="87" t="s">
        <v>1492</v>
      </c>
      <c r="C423">
        <v>109.14936573570982</v>
      </c>
      <c r="D423">
        <v>109.14733113483256</v>
      </c>
      <c r="E423">
        <v>109.14869019713515</v>
      </c>
      <c r="F423">
        <v>109.15145018026674</v>
      </c>
      <c r="G423">
        <v>109.14702080817185</v>
      </c>
    </row>
    <row r="424" spans="1:7" x14ac:dyDescent="0.25">
      <c r="B424" s="87" t="s">
        <v>1493</v>
      </c>
      <c r="C424">
        <v>111.50440821391855</v>
      </c>
      <c r="D424">
        <v>111.50188495122119</v>
      </c>
      <c r="E424">
        <v>111.50003753148621</v>
      </c>
      <c r="F424">
        <v>111.50345789615234</v>
      </c>
      <c r="G424">
        <v>111.50150052701488</v>
      </c>
    </row>
    <row r="425" spans="1:7" x14ac:dyDescent="0.25">
      <c r="B425" s="87" t="s">
        <v>1494</v>
      </c>
      <c r="C425">
        <v>113.78505876437137</v>
      </c>
      <c r="D425">
        <v>118.94530982584344</v>
      </c>
      <c r="E425">
        <v>118.73464137619987</v>
      </c>
      <c r="F425">
        <v>115.78263638896253</v>
      </c>
      <c r="G425">
        <v>118.14824587066498</v>
      </c>
    </row>
    <row r="426" spans="1:7" x14ac:dyDescent="0.25">
      <c r="B426" s="87" t="s">
        <v>1495</v>
      </c>
      <c r="C426">
        <v>116.06825901164621</v>
      </c>
      <c r="D426">
        <v>126.93022955177452</v>
      </c>
      <c r="E426">
        <v>126.54784982850687</v>
      </c>
      <c r="F426">
        <v>120.19055346496629</v>
      </c>
      <c r="G426">
        <v>125.31605488651144</v>
      </c>
    </row>
    <row r="427" spans="1:7" x14ac:dyDescent="0.25">
      <c r="B427" s="87" t="s">
        <v>1496</v>
      </c>
      <c r="C427">
        <v>118.46824043133269</v>
      </c>
      <c r="D427">
        <v>135.6853846384416</v>
      </c>
      <c r="E427">
        <v>135.18748180205083</v>
      </c>
      <c r="F427">
        <v>124.9248872659886</v>
      </c>
      <c r="G427">
        <v>133.1715391912513</v>
      </c>
    </row>
    <row r="428" spans="1:7" x14ac:dyDescent="0.25">
      <c r="B428" s="87" t="s">
        <v>1497</v>
      </c>
      <c r="C428">
        <v>120.91679899524466</v>
      </c>
      <c r="D428">
        <v>145.18657582225967</v>
      </c>
      <c r="E428">
        <v>144.62682898189587</v>
      </c>
      <c r="F428">
        <v>129.90684853171166</v>
      </c>
      <c r="G428">
        <v>141.7391314631594</v>
      </c>
    </row>
    <row r="429" spans="1:7" x14ac:dyDescent="0.25">
      <c r="B429" s="87" t="s">
        <v>1498</v>
      </c>
      <c r="C429">
        <v>123.68280837446096</v>
      </c>
      <c r="D429">
        <v>155.80479659819861</v>
      </c>
      <c r="E429">
        <v>155.09749507822175</v>
      </c>
      <c r="F429">
        <v>135.43037799278784</v>
      </c>
      <c r="G429">
        <v>151.22242946031758</v>
      </c>
    </row>
    <row r="430" spans="1:7" x14ac:dyDescent="0.25">
      <c r="B430" s="87" t="s">
        <v>1499</v>
      </c>
      <c r="C430">
        <v>126.46096269168844</v>
      </c>
      <c r="D430">
        <v>167.40432345663518</v>
      </c>
      <c r="E430">
        <v>166.50942281754794</v>
      </c>
      <c r="F430">
        <v>141.18250704602377</v>
      </c>
      <c r="G430">
        <v>161.4919272681193</v>
      </c>
    </row>
    <row r="431" spans="1:7" x14ac:dyDescent="0.25">
      <c r="B431" s="87" t="s">
        <v>1500</v>
      </c>
      <c r="C431">
        <v>129.24840039172298</v>
      </c>
      <c r="D431">
        <v>179.06926707140718</v>
      </c>
      <c r="E431">
        <v>176.46655625741587</v>
      </c>
      <c r="F431">
        <v>146.24157774134426</v>
      </c>
      <c r="G431">
        <v>170.43519468097637</v>
      </c>
    </row>
    <row r="432" spans="1:7" x14ac:dyDescent="0.25">
      <c r="B432" s="87" t="s">
        <v>1501</v>
      </c>
      <c r="C432">
        <v>131.96597604843313</v>
      </c>
      <c r="D432">
        <v>191.48272341888043</v>
      </c>
      <c r="E432">
        <v>187.84425413988365</v>
      </c>
      <c r="F432">
        <v>151.3724215312478</v>
      </c>
      <c r="G432">
        <v>179.93034977434127</v>
      </c>
    </row>
    <row r="433" spans="2:7" x14ac:dyDescent="0.25">
      <c r="B433" s="87" t="s">
        <v>1502</v>
      </c>
      <c r="C433">
        <v>134.79040576608625</v>
      </c>
      <c r="D433">
        <v>205.03469573027229</v>
      </c>
      <c r="E433">
        <v>199.96856983975502</v>
      </c>
      <c r="F433">
        <v>156.77320311675379</v>
      </c>
      <c r="G433">
        <v>189.92052662483599</v>
      </c>
    </row>
    <row r="434" spans="2:7" x14ac:dyDescent="0.25">
      <c r="B434" s="87" t="s">
        <v>1503</v>
      </c>
      <c r="C434">
        <v>137.50386179696164</v>
      </c>
      <c r="D434">
        <v>219.33148015898587</v>
      </c>
      <c r="E434">
        <v>213.01955796473035</v>
      </c>
      <c r="F434">
        <v>162.20845439854176</v>
      </c>
      <c r="G434">
        <v>200.61380053016882</v>
      </c>
    </row>
    <row r="435" spans="2:7" x14ac:dyDescent="0.25">
      <c r="B435" s="87" t="s">
        <v>1504</v>
      </c>
      <c r="C435">
        <v>140.29345881797212</v>
      </c>
      <c r="D435">
        <v>233.50001127697672</v>
      </c>
      <c r="E435">
        <v>226.00165614410841</v>
      </c>
      <c r="F435">
        <v>167.53837626188155</v>
      </c>
      <c r="G435">
        <v>210.24810371197248</v>
      </c>
    </row>
    <row r="436" spans="2:7" x14ac:dyDescent="0.25">
      <c r="B436" s="87" t="s">
        <v>1505</v>
      </c>
      <c r="C436">
        <v>143.16122033225386</v>
      </c>
      <c r="D436">
        <v>248.35481546170044</v>
      </c>
      <c r="E436">
        <v>239.85470713654752</v>
      </c>
      <c r="F436">
        <v>173.03163092730256</v>
      </c>
      <c r="G436">
        <v>220.43380926837685</v>
      </c>
    </row>
    <row r="437" spans="2:7" x14ac:dyDescent="0.25">
      <c r="B437" s="87" t="s">
        <v>1506</v>
      </c>
      <c r="C437">
        <v>146.17063500229312</v>
      </c>
      <c r="D437">
        <v>264.33210684526523</v>
      </c>
      <c r="E437">
        <v>254.995227901547</v>
      </c>
      <c r="F437">
        <v>178.68563710992586</v>
      </c>
      <c r="G437">
        <v>231.33704662882451</v>
      </c>
    </row>
    <row r="438" spans="2:7" x14ac:dyDescent="0.25">
      <c r="B438" s="87" t="s">
        <v>1507</v>
      </c>
      <c r="C438">
        <v>149.14985267771667</v>
      </c>
      <c r="D438">
        <v>281.77619113759499</v>
      </c>
      <c r="E438">
        <v>271.611994901456</v>
      </c>
      <c r="F438">
        <v>184.55535424291946</v>
      </c>
      <c r="G438">
        <v>243.12794882780207</v>
      </c>
    </row>
    <row r="439" spans="2:7" x14ac:dyDescent="0.25">
      <c r="B439" s="87" t="s">
        <v>1508</v>
      </c>
      <c r="C439">
        <v>152.07929627363194</v>
      </c>
      <c r="D439">
        <v>300.98060618765925</v>
      </c>
      <c r="E439">
        <v>289.87490570068252</v>
      </c>
      <c r="F439">
        <v>190.72796570544804</v>
      </c>
      <c r="G439">
        <v>255.90211616680838</v>
      </c>
    </row>
    <row r="440" spans="2:7" x14ac:dyDescent="0.25">
      <c r="B440" s="87" t="s">
        <v>1509</v>
      </c>
      <c r="C440">
        <v>155.02811793379118</v>
      </c>
      <c r="D440">
        <v>320.25137763283914</v>
      </c>
      <c r="E440">
        <v>304.89661212638464</v>
      </c>
      <c r="F440">
        <v>195.13930718672739</v>
      </c>
      <c r="G440">
        <v>263.49386913019299</v>
      </c>
    </row>
    <row r="441" spans="2:7" x14ac:dyDescent="0.25">
      <c r="B441" s="87" t="s">
        <v>1510</v>
      </c>
      <c r="C441">
        <v>158.22174766512356</v>
      </c>
      <c r="D441">
        <v>340.91549823298072</v>
      </c>
      <c r="E441">
        <v>320.69604109542234</v>
      </c>
      <c r="F441">
        <v>199.6545220790222</v>
      </c>
      <c r="G441">
        <v>271.23824348247621</v>
      </c>
    </row>
    <row r="442" spans="2:7" x14ac:dyDescent="0.25">
      <c r="B442" s="87" t="s">
        <v>1511</v>
      </c>
      <c r="C442">
        <v>161.51487539713395</v>
      </c>
      <c r="D442">
        <v>363.28544539691268</v>
      </c>
      <c r="E442">
        <v>337.37815842665754</v>
      </c>
      <c r="F442">
        <v>204.34462911338997</v>
      </c>
      <c r="G442">
        <v>279.18774550243046</v>
      </c>
    </row>
    <row r="443" spans="2:7" x14ac:dyDescent="0.25">
      <c r="B443" s="87" t="s">
        <v>1512</v>
      </c>
      <c r="C443">
        <v>165.00078724213398</v>
      </c>
      <c r="D443">
        <v>387.34751789249719</v>
      </c>
      <c r="E443">
        <v>354.96360792195321</v>
      </c>
      <c r="F443">
        <v>209.14506259499043</v>
      </c>
      <c r="G443">
        <v>287.34423600960537</v>
      </c>
    </row>
    <row r="444" spans="2:7" x14ac:dyDescent="0.25">
      <c r="B444" s="87" t="s">
        <v>1513</v>
      </c>
      <c r="C444">
        <v>168.65967592829</v>
      </c>
      <c r="D444">
        <v>413.16458302448001</v>
      </c>
      <c r="E444">
        <v>373.62584895406798</v>
      </c>
      <c r="F444">
        <v>213.94999598852903</v>
      </c>
      <c r="G444">
        <v>295.72509844980539</v>
      </c>
    </row>
    <row r="445" spans="2:7" x14ac:dyDescent="0.25">
      <c r="B445" s="87" t="s">
        <v>1514</v>
      </c>
      <c r="C445">
        <v>172.48201004681064</v>
      </c>
      <c r="D445">
        <v>438.47955890724739</v>
      </c>
      <c r="E445">
        <v>388.4486201994784</v>
      </c>
      <c r="F445">
        <v>218.48723468085623</v>
      </c>
      <c r="G445">
        <v>303.03049275142286</v>
      </c>
    </row>
    <row r="446" spans="2:7" x14ac:dyDescent="0.25">
      <c r="B446" s="87" t="s">
        <v>1515</v>
      </c>
      <c r="C446">
        <v>176.34970442625698</v>
      </c>
      <c r="D446">
        <v>465.32679292929561</v>
      </c>
      <c r="E446">
        <v>403.64365056398339</v>
      </c>
      <c r="F446">
        <v>223.04014889203251</v>
      </c>
      <c r="G446">
        <v>310.33236600515988</v>
      </c>
    </row>
    <row r="447" spans="2:7" x14ac:dyDescent="0.25">
      <c r="B447" s="87" t="s">
        <v>1516</v>
      </c>
      <c r="C447">
        <v>180.29928523740426</v>
      </c>
      <c r="D447">
        <v>494.06479097577591</v>
      </c>
      <c r="E447">
        <v>419.32295566401916</v>
      </c>
      <c r="F447">
        <v>227.73990893824075</v>
      </c>
      <c r="G447">
        <v>317.56559837630994</v>
      </c>
    </row>
    <row r="448" spans="2:7" x14ac:dyDescent="0.25">
      <c r="B448" s="87" t="s">
        <v>1517</v>
      </c>
      <c r="C448">
        <v>184.15259219279534</v>
      </c>
      <c r="D448">
        <v>524.31962076728394</v>
      </c>
      <c r="E448">
        <v>434.92351951343232</v>
      </c>
      <c r="F448">
        <v>232.26713375056599</v>
      </c>
      <c r="G448">
        <v>324.51181845098904</v>
      </c>
    </row>
    <row r="449" spans="1:36" x14ac:dyDescent="0.25">
      <c r="B449" s="87" t="s">
        <v>1518</v>
      </c>
      <c r="C449">
        <v>188.23173716153957</v>
      </c>
      <c r="D449">
        <v>556.87945347181574</v>
      </c>
      <c r="E449">
        <v>451.13030500363135</v>
      </c>
      <c r="F449">
        <v>236.93756680680153</v>
      </c>
      <c r="G449">
        <v>331.63192185142572</v>
      </c>
    </row>
    <row r="450" spans="1:36" x14ac:dyDescent="0.25">
      <c r="B450" s="87" t="s">
        <v>1519</v>
      </c>
      <c r="C450">
        <v>192.45946551469982</v>
      </c>
      <c r="D450">
        <v>591.41874848773273</v>
      </c>
      <c r="E450">
        <v>467.60380645321385</v>
      </c>
      <c r="F450">
        <v>241.71430175700527</v>
      </c>
      <c r="G450">
        <v>338.6250926186126</v>
      </c>
    </row>
    <row r="451" spans="1:36" x14ac:dyDescent="0.25">
      <c r="B451" s="87" t="s">
        <v>1520</v>
      </c>
      <c r="C451">
        <v>196.72595532120945</v>
      </c>
      <c r="D451">
        <v>627.99593344540733</v>
      </c>
      <c r="E451">
        <v>484.37812394686432</v>
      </c>
      <c r="F451">
        <v>246.42986294840031</v>
      </c>
      <c r="G451">
        <v>345.48768343681417</v>
      </c>
    </row>
    <row r="454" spans="1:36" x14ac:dyDescent="0.25">
      <c r="C454" s="82"/>
      <c r="D454" s="82"/>
      <c r="E454" s="82"/>
      <c r="F454" s="82"/>
      <c r="G454" s="82"/>
    </row>
    <row r="455" spans="1:36" x14ac:dyDescent="0.25">
      <c r="A455" t="s">
        <v>1541</v>
      </c>
    </row>
    <row r="456" spans="1:36" x14ac:dyDescent="0.25">
      <c r="A456" t="s">
        <v>1542</v>
      </c>
      <c r="C456" s="87" t="s">
        <v>1470</v>
      </c>
      <c r="D456" s="87" t="s">
        <v>1470</v>
      </c>
      <c r="E456" s="87" t="s">
        <v>1470</v>
      </c>
      <c r="F456" s="87" t="s">
        <v>1481</v>
      </c>
      <c r="G456" s="87" t="s">
        <v>1481</v>
      </c>
      <c r="H456" s="87" t="s">
        <v>1481</v>
      </c>
      <c r="I456" s="87" t="s">
        <v>1482</v>
      </c>
      <c r="J456" s="87" t="s">
        <v>1482</v>
      </c>
      <c r="K456" s="87" t="s">
        <v>1482</v>
      </c>
      <c r="L456" s="87" t="s">
        <v>1483</v>
      </c>
      <c r="M456" s="87" t="s">
        <v>1483</v>
      </c>
      <c r="N456" s="87" t="s">
        <v>1483</v>
      </c>
      <c r="O456" s="87" t="s">
        <v>1484</v>
      </c>
      <c r="P456" s="87" t="s">
        <v>1484</v>
      </c>
      <c r="Q456" s="87" t="s">
        <v>1484</v>
      </c>
      <c r="R456" s="87"/>
      <c r="S456" s="87"/>
      <c r="T456" s="87"/>
      <c r="U456" s="87"/>
      <c r="V456" s="87"/>
      <c r="W456" s="87"/>
      <c r="X456" s="87"/>
      <c r="Y456" s="87"/>
      <c r="Z456" s="87"/>
      <c r="AA456" s="87"/>
      <c r="AB456" s="87"/>
      <c r="AC456" s="87"/>
      <c r="AD456" s="87"/>
      <c r="AE456" s="87"/>
      <c r="AF456" s="87"/>
      <c r="AG456" s="87"/>
      <c r="AH456" s="87"/>
      <c r="AI456" s="87"/>
      <c r="AJ456" s="87"/>
    </row>
    <row r="457" spans="1:36" x14ac:dyDescent="0.25">
      <c r="B457" s="87"/>
      <c r="C457" s="87" t="s">
        <v>1543</v>
      </c>
      <c r="D457" s="87" t="s">
        <v>1544</v>
      </c>
      <c r="E457" s="87" t="s">
        <v>1545</v>
      </c>
      <c r="F457" s="87" t="s">
        <v>1543</v>
      </c>
      <c r="G457" s="87" t="s">
        <v>1544</v>
      </c>
      <c r="H457" s="87" t="s">
        <v>1545</v>
      </c>
      <c r="I457" s="87" t="s">
        <v>1543</v>
      </c>
      <c r="J457" s="87" t="s">
        <v>1544</v>
      </c>
      <c r="K457" s="87" t="s">
        <v>1545</v>
      </c>
      <c r="L457" s="87" t="s">
        <v>1543</v>
      </c>
      <c r="M457" s="87" t="s">
        <v>1544</v>
      </c>
      <c r="N457" s="87" t="s">
        <v>1545</v>
      </c>
      <c r="O457" s="87" t="s">
        <v>1543</v>
      </c>
      <c r="P457" s="87" t="s">
        <v>1544</v>
      </c>
      <c r="Q457" s="87" t="s">
        <v>1545</v>
      </c>
      <c r="R457" s="87"/>
      <c r="S457" s="87"/>
      <c r="T457" s="87"/>
      <c r="U457" s="87"/>
      <c r="V457" s="87"/>
      <c r="W457" s="87"/>
      <c r="X457" s="87"/>
      <c r="Y457" s="87"/>
      <c r="Z457" s="87"/>
      <c r="AA457" s="87"/>
      <c r="AB457" s="87"/>
      <c r="AC457" s="87"/>
      <c r="AD457" s="87"/>
      <c r="AE457" s="87"/>
      <c r="AF457" s="87"/>
      <c r="AG457" s="87"/>
      <c r="AH457" s="87"/>
      <c r="AI457" s="87"/>
      <c r="AJ457" s="87"/>
    </row>
    <row r="458" spans="1:36" x14ac:dyDescent="0.25">
      <c r="B458" s="87" t="s">
        <v>1487</v>
      </c>
      <c r="C458">
        <v>23440</v>
      </c>
      <c r="D458">
        <v>14064</v>
      </c>
      <c r="E458">
        <v>9373</v>
      </c>
      <c r="F458">
        <v>23440</v>
      </c>
      <c r="G458">
        <v>14064</v>
      </c>
      <c r="H458">
        <v>9373</v>
      </c>
      <c r="I458">
        <v>23440</v>
      </c>
      <c r="J458">
        <v>14064</v>
      </c>
      <c r="K458">
        <v>9373</v>
      </c>
      <c r="L458">
        <v>23440</v>
      </c>
      <c r="M458">
        <v>14064</v>
      </c>
      <c r="N458">
        <v>9373</v>
      </c>
      <c r="O458">
        <v>23440</v>
      </c>
      <c r="P458">
        <v>14064</v>
      </c>
      <c r="Q458">
        <v>9373</v>
      </c>
    </row>
    <row r="459" spans="1:36" x14ac:dyDescent="0.25">
      <c r="B459" s="87" t="s">
        <v>1488</v>
      </c>
      <c r="C459">
        <v>23238.739452022914</v>
      </c>
      <c r="D459">
        <v>14322.773398007585</v>
      </c>
      <c r="E459">
        <v>9784.2571499695059</v>
      </c>
      <c r="F459">
        <v>23238.73945204787</v>
      </c>
      <c r="G459">
        <v>14322.773398008887</v>
      </c>
      <c r="H459">
        <v>9784.257149943247</v>
      </c>
      <c r="I459">
        <v>23238.739452042555</v>
      </c>
      <c r="J459">
        <v>14322.773398012727</v>
      </c>
      <c r="K459">
        <v>9784.2571499447222</v>
      </c>
      <c r="L459">
        <v>23238.739452047343</v>
      </c>
      <c r="M459">
        <v>14322.773398008838</v>
      </c>
      <c r="N459">
        <v>9784.2571499438236</v>
      </c>
      <c r="O459">
        <v>23238.739454775583</v>
      </c>
      <c r="P459">
        <v>14322.773397896719</v>
      </c>
      <c r="Q459">
        <v>9784.2571473277021</v>
      </c>
    </row>
    <row r="460" spans="1:36" x14ac:dyDescent="0.25">
      <c r="B460" s="87" t="s">
        <v>1489</v>
      </c>
      <c r="C460">
        <v>22990.96901194366</v>
      </c>
      <c r="D460">
        <v>14587.432610780306</v>
      </c>
      <c r="E460">
        <v>10240.82607727603</v>
      </c>
      <c r="F460">
        <v>22989.902733760267</v>
      </c>
      <c r="G460">
        <v>14587.39192534303</v>
      </c>
      <c r="H460">
        <v>10241.9330408967</v>
      </c>
      <c r="I460">
        <v>22989.293104250923</v>
      </c>
      <c r="J460">
        <v>14587.3687343374</v>
      </c>
      <c r="K460">
        <v>10242.565861411676</v>
      </c>
      <c r="L460">
        <v>22990.755230783878</v>
      </c>
      <c r="M460">
        <v>14587.42444502195</v>
      </c>
      <c r="N460">
        <v>10241.04802419417</v>
      </c>
      <c r="O460">
        <v>22989.737518873542</v>
      </c>
      <c r="P460">
        <v>14587.385634821861</v>
      </c>
      <c r="Q460">
        <v>10242.104546304594</v>
      </c>
    </row>
    <row r="461" spans="1:36" x14ac:dyDescent="0.25">
      <c r="B461" s="87" t="s">
        <v>1490</v>
      </c>
      <c r="C461">
        <v>22818.501046224301</v>
      </c>
      <c r="D461">
        <v>14853.960039544188</v>
      </c>
      <c r="E461">
        <v>10624.958891231512</v>
      </c>
      <c r="F461">
        <v>22816.00492666808</v>
      </c>
      <c r="G461">
        <v>14854.138739784868</v>
      </c>
      <c r="H461">
        <v>10627.276310547049</v>
      </c>
      <c r="I461">
        <v>22814.591639983908</v>
      </c>
      <c r="J461">
        <v>14854.24174937663</v>
      </c>
      <c r="K461">
        <v>10628.586587639458</v>
      </c>
      <c r="L461">
        <v>22817.998219021876</v>
      </c>
      <c r="M461">
        <v>14853.995718868398</v>
      </c>
      <c r="N461">
        <v>10625.426039109727</v>
      </c>
      <c r="O461">
        <v>22815.620913062925</v>
      </c>
      <c r="P461">
        <v>14854.166596144014</v>
      </c>
      <c r="Q461">
        <v>10627.632467793061</v>
      </c>
    </row>
    <row r="462" spans="1:36" x14ac:dyDescent="0.25">
      <c r="B462" s="87" t="s">
        <v>1491</v>
      </c>
      <c r="C462">
        <v>22666.446521466212</v>
      </c>
      <c r="D462">
        <v>15111.552958936696</v>
      </c>
      <c r="E462">
        <v>11002.394696367093</v>
      </c>
      <c r="F462">
        <v>22662.518064749795</v>
      </c>
      <c r="G462">
        <v>15111.975792964011</v>
      </c>
      <c r="H462">
        <v>11005.900319056194</v>
      </c>
      <c r="I462">
        <v>22660.303179497008</v>
      </c>
      <c r="J462">
        <v>15112.215500099221</v>
      </c>
      <c r="K462">
        <v>11007.875497173773</v>
      </c>
      <c r="L462">
        <v>22665.653460155623</v>
      </c>
      <c r="M462">
        <v>15111.638076567384</v>
      </c>
      <c r="N462">
        <v>11003.102640046995</v>
      </c>
      <c r="O462">
        <v>22661.915575345483</v>
      </c>
      <c r="P462">
        <v>15112.040904936641</v>
      </c>
      <c r="Q462">
        <v>11006.437696487879</v>
      </c>
    </row>
    <row r="463" spans="1:36" x14ac:dyDescent="0.25">
      <c r="B463" s="87" t="s">
        <v>1492</v>
      </c>
      <c r="C463">
        <v>22558.143265725677</v>
      </c>
      <c r="D463">
        <v>15370.161195232262</v>
      </c>
      <c r="E463">
        <v>11339.89365757976</v>
      </c>
      <c r="F463">
        <v>22552.640988902684</v>
      </c>
      <c r="G463">
        <v>15370.819722944132</v>
      </c>
      <c r="H463">
        <v>11344.737406690883</v>
      </c>
      <c r="I463">
        <v>22550.900596045049</v>
      </c>
      <c r="J463">
        <v>15371.191483917946</v>
      </c>
      <c r="K463">
        <v>11346.106038574706</v>
      </c>
      <c r="L463">
        <v>22558.38881113859</v>
      </c>
      <c r="M463">
        <v>15370.294075547517</v>
      </c>
      <c r="N463">
        <v>11339.515231851594</v>
      </c>
      <c r="O463">
        <v>22551.798153517764</v>
      </c>
      <c r="P463">
        <v>15370.920810985892</v>
      </c>
      <c r="Q463">
        <v>11345.47915403405</v>
      </c>
    </row>
    <row r="464" spans="1:36" x14ac:dyDescent="0.25">
      <c r="B464" s="87" t="s">
        <v>1493</v>
      </c>
      <c r="C464">
        <v>22510.358189649542</v>
      </c>
      <c r="D464">
        <v>15621.159609011707</v>
      </c>
      <c r="E464">
        <v>11629.36230106183</v>
      </c>
      <c r="F464">
        <v>22503.406452152438</v>
      </c>
      <c r="G464">
        <v>15622.097196414637</v>
      </c>
      <c r="H464">
        <v>11635.376451156004</v>
      </c>
      <c r="I464">
        <v>22499.876779066246</v>
      </c>
      <c r="J464">
        <v>15622.315054427272</v>
      </c>
      <c r="K464">
        <v>11638.688266229567</v>
      </c>
      <c r="L464">
        <v>22509.333563851731</v>
      </c>
      <c r="M464">
        <v>15621.038421705158</v>
      </c>
      <c r="N464">
        <v>11630.508114166192</v>
      </c>
      <c r="O464">
        <v>22502.34203136912</v>
      </c>
      <c r="P464">
        <v>15622.240911130652</v>
      </c>
      <c r="Q464">
        <v>11636.297157223309</v>
      </c>
    </row>
    <row r="465" spans="2:17" x14ac:dyDescent="0.25">
      <c r="B465" s="87" t="s">
        <v>1494</v>
      </c>
      <c r="C465">
        <v>22487.711099124805</v>
      </c>
      <c r="D465">
        <v>15862.752607278231</v>
      </c>
      <c r="E465">
        <v>11908.025194317277</v>
      </c>
      <c r="F465">
        <v>22001.513472724993</v>
      </c>
      <c r="G465">
        <v>15867.952374556036</v>
      </c>
      <c r="H465">
        <v>12389.023053439278</v>
      </c>
      <c r="I465">
        <v>21833.120823909641</v>
      </c>
      <c r="J465">
        <v>15873.100505351611</v>
      </c>
      <c r="K465">
        <v>12552.267571459059</v>
      </c>
      <c r="L465">
        <v>22273.959068373955</v>
      </c>
      <c r="M465">
        <v>15864.184923251833</v>
      </c>
      <c r="N465">
        <v>12120.344909094525</v>
      </c>
      <c r="O465">
        <v>21873.37780974905</v>
      </c>
      <c r="P465">
        <v>15872.070163291701</v>
      </c>
      <c r="Q465">
        <v>12513.040927679564</v>
      </c>
    </row>
    <row r="466" spans="2:17" x14ac:dyDescent="0.25">
      <c r="B466" s="87" t="s">
        <v>1495</v>
      </c>
      <c r="C466">
        <v>22420.732548038424</v>
      </c>
      <c r="D466">
        <v>16099.499554846932</v>
      </c>
      <c r="E466">
        <v>12240.841686842163</v>
      </c>
      <c r="F466">
        <v>21323.369146384535</v>
      </c>
      <c r="G466">
        <v>16220.08852854424</v>
      </c>
      <c r="H466">
        <v>13217.616114798739</v>
      </c>
      <c r="I466">
        <v>20989.060842696337</v>
      </c>
      <c r="J466">
        <v>16258.351332518312</v>
      </c>
      <c r="K466">
        <v>13513.661614512868</v>
      </c>
      <c r="L466">
        <v>21942.306455969923</v>
      </c>
      <c r="M466">
        <v>16151.026001162403</v>
      </c>
      <c r="N466">
        <v>12667.741332595189</v>
      </c>
      <c r="O466">
        <v>21074.020237525885</v>
      </c>
      <c r="P466">
        <v>16248.116752156278</v>
      </c>
      <c r="Q466">
        <v>13438.936800045351</v>
      </c>
    </row>
    <row r="467" spans="2:17" x14ac:dyDescent="0.25">
      <c r="B467" s="87" t="s">
        <v>1496</v>
      </c>
      <c r="C467">
        <v>22327.903155574313</v>
      </c>
      <c r="D467">
        <v>16348.602775512441</v>
      </c>
      <c r="E467">
        <v>12592.178596538035</v>
      </c>
      <c r="F467">
        <v>20617.552837629439</v>
      </c>
      <c r="G467">
        <v>16583.55693078108</v>
      </c>
      <c r="H467">
        <v>14067.574759214272</v>
      </c>
      <c r="I467">
        <v>20135.417340208111</v>
      </c>
      <c r="J467">
        <v>16646.058218653281</v>
      </c>
      <c r="K467">
        <v>14487.208968763403</v>
      </c>
      <c r="L467">
        <v>21578.557217298963</v>
      </c>
      <c r="M467">
        <v>16448.029751271843</v>
      </c>
      <c r="N467">
        <v>13242.097559053987</v>
      </c>
      <c r="O467">
        <v>20267.998452624837</v>
      </c>
      <c r="P467">
        <v>16627.338555442533</v>
      </c>
      <c r="Q467">
        <v>14373.347519557421</v>
      </c>
    </row>
    <row r="468" spans="2:17" x14ac:dyDescent="0.25">
      <c r="B468" s="87" t="s">
        <v>1497</v>
      </c>
      <c r="C468">
        <v>22223.269874302146</v>
      </c>
      <c r="D468">
        <v>16600.764576497004</v>
      </c>
      <c r="E468">
        <v>12957.336922101887</v>
      </c>
      <c r="F468">
        <v>19906.459495104566</v>
      </c>
      <c r="G468">
        <v>16948.300467000299</v>
      </c>
      <c r="H468">
        <v>14926.611410796171</v>
      </c>
      <c r="I468">
        <v>19287.310857156714</v>
      </c>
      <c r="J468">
        <v>17031.751879197476</v>
      </c>
      <c r="K468">
        <v>15462.308636546844</v>
      </c>
      <c r="L468">
        <v>21202.434446102205</v>
      </c>
      <c r="M468">
        <v>16748.938847785543</v>
      </c>
      <c r="N468">
        <v>13829.998079013285</v>
      </c>
      <c r="O468">
        <v>19465.178744126282</v>
      </c>
      <c r="P468">
        <v>17003.586623982075</v>
      </c>
      <c r="Q468">
        <v>15312.606004792677</v>
      </c>
    </row>
    <row r="469" spans="2:17" x14ac:dyDescent="0.25">
      <c r="B469" s="87" t="s">
        <v>1498</v>
      </c>
      <c r="C469">
        <v>22158.75664998229</v>
      </c>
      <c r="D469">
        <v>16829.011942296453</v>
      </c>
      <c r="E469">
        <v>13311.416494351304</v>
      </c>
      <c r="F469">
        <v>19236.946015788762</v>
      </c>
      <c r="G469">
        <v>17289.723034580085</v>
      </c>
      <c r="H469">
        <v>15772.516036261197</v>
      </c>
      <c r="I469">
        <v>18494.125735248486</v>
      </c>
      <c r="J469">
        <v>17393.295647570387</v>
      </c>
      <c r="K469">
        <v>16411.763703811175</v>
      </c>
      <c r="L469">
        <v>20856.218223302243</v>
      </c>
      <c r="M469">
        <v>17026.307397595003</v>
      </c>
      <c r="N469">
        <v>14416.659465732799</v>
      </c>
      <c r="O469">
        <v>18711.135527244969</v>
      </c>
      <c r="P469">
        <v>17356.036298776795</v>
      </c>
      <c r="Q469">
        <v>16232.013260608284</v>
      </c>
    </row>
    <row r="470" spans="2:17" x14ac:dyDescent="0.25">
      <c r="B470" s="87" t="s">
        <v>1499</v>
      </c>
      <c r="C470">
        <v>22092.783338434445</v>
      </c>
      <c r="D470">
        <v>17062.437051446523</v>
      </c>
      <c r="E470">
        <v>13666.956547615384</v>
      </c>
      <c r="F470">
        <v>18582.531656225761</v>
      </c>
      <c r="G470">
        <v>17632.574131671212</v>
      </c>
      <c r="H470">
        <v>16607.071149599378</v>
      </c>
      <c r="I470">
        <v>17715.778847474448</v>
      </c>
      <c r="J470">
        <v>17753.670584379113</v>
      </c>
      <c r="K470">
        <v>17352.727505642786</v>
      </c>
      <c r="L470">
        <v>20507.664721033667</v>
      </c>
      <c r="M470">
        <v>17310.113390626484</v>
      </c>
      <c r="N470">
        <v>15004.398825836201</v>
      </c>
      <c r="O470">
        <v>17967.298595981647</v>
      </c>
      <c r="P470">
        <v>17709.465897005259</v>
      </c>
      <c r="Q470">
        <v>17145.412444509446</v>
      </c>
    </row>
    <row r="471" spans="2:17" x14ac:dyDescent="0.25">
      <c r="B471" s="87" t="s">
        <v>1500</v>
      </c>
      <c r="C471">
        <v>22027.978020957784</v>
      </c>
      <c r="D471">
        <v>17299.843091375718</v>
      </c>
      <c r="E471">
        <v>14022.577594537819</v>
      </c>
      <c r="F471">
        <v>17993.854861118496</v>
      </c>
      <c r="G471">
        <v>17974.017633232495</v>
      </c>
      <c r="H471">
        <v>17382.526212520326</v>
      </c>
      <c r="I471">
        <v>17106.314435759086</v>
      </c>
      <c r="J471">
        <v>18111.048214403687</v>
      </c>
      <c r="K471">
        <v>18133.036056708544</v>
      </c>
      <c r="L471">
        <v>20236.403263238328</v>
      </c>
      <c r="M471">
        <v>17596.485615271518</v>
      </c>
      <c r="N471">
        <v>15517.509828361475</v>
      </c>
      <c r="O471">
        <v>17351.611075252087</v>
      </c>
      <c r="P471">
        <v>18060.86808384092</v>
      </c>
      <c r="Q471">
        <v>17937.919547778314</v>
      </c>
    </row>
    <row r="472" spans="2:17" x14ac:dyDescent="0.25">
      <c r="B472" s="87" t="s">
        <v>1501</v>
      </c>
      <c r="C472">
        <v>21974.679209034031</v>
      </c>
      <c r="D472">
        <v>17541.316737987592</v>
      </c>
      <c r="E472">
        <v>14367.906746918408</v>
      </c>
      <c r="F472">
        <v>17440.550096118724</v>
      </c>
      <c r="G472">
        <v>18303.769224346601</v>
      </c>
      <c r="H472">
        <v>18139.58337347471</v>
      </c>
      <c r="I472">
        <v>16527.881674936685</v>
      </c>
      <c r="J472">
        <v>18436.81772327804</v>
      </c>
      <c r="K472">
        <v>18919.203295725307</v>
      </c>
      <c r="L472">
        <v>19996.936791404743</v>
      </c>
      <c r="M472">
        <v>17868.959033367071</v>
      </c>
      <c r="N472">
        <v>16018.006869168219</v>
      </c>
      <c r="O472">
        <v>16788.078157644915</v>
      </c>
      <c r="P472">
        <v>18387.275780441101</v>
      </c>
      <c r="Q472">
        <v>18708.548755854015</v>
      </c>
    </row>
    <row r="473" spans="2:17" x14ac:dyDescent="0.25">
      <c r="B473" s="87" t="s">
        <v>1502</v>
      </c>
      <c r="C473">
        <v>21933.366116569814</v>
      </c>
      <c r="D473">
        <v>17783.129750872788</v>
      </c>
      <c r="E473">
        <v>14706.245853436838</v>
      </c>
      <c r="F473">
        <v>16903.171974573095</v>
      </c>
      <c r="G473">
        <v>18630.288777791087</v>
      </c>
      <c r="H473">
        <v>18889.280968515257</v>
      </c>
      <c r="I473">
        <v>15953.374755240438</v>
      </c>
      <c r="J473">
        <v>18766.102067362419</v>
      </c>
      <c r="K473">
        <v>19703.264898276579</v>
      </c>
      <c r="L473">
        <v>19762.808168607142</v>
      </c>
      <c r="M473">
        <v>18140.601171133145</v>
      </c>
      <c r="N473">
        <v>16519.332381139153</v>
      </c>
      <c r="O473">
        <v>16248.600173908619</v>
      </c>
      <c r="P473">
        <v>18710.532205266602</v>
      </c>
      <c r="Q473">
        <v>19463.609341704218</v>
      </c>
    </row>
    <row r="474" spans="2:17" x14ac:dyDescent="0.25">
      <c r="B474" s="87" t="s">
        <v>1503</v>
      </c>
      <c r="C474">
        <v>21895.086097677464</v>
      </c>
      <c r="D474">
        <v>18026.262678817347</v>
      </c>
      <c r="E474">
        <v>15045.620361593428</v>
      </c>
      <c r="F474">
        <v>16389.900312445283</v>
      </c>
      <c r="G474">
        <v>18957.098714141655</v>
      </c>
      <c r="H474">
        <v>19619.970111501294</v>
      </c>
      <c r="I474">
        <v>15398.48284185495</v>
      </c>
      <c r="J474">
        <v>19096.656071461999</v>
      </c>
      <c r="K474">
        <v>20471.830224771285</v>
      </c>
      <c r="L474">
        <v>19531.491953030694</v>
      </c>
      <c r="M474">
        <v>18415.086451280615</v>
      </c>
      <c r="N474">
        <v>17020.390733776927</v>
      </c>
      <c r="O474">
        <v>15721.188298356436</v>
      </c>
      <c r="P474">
        <v>19032.601410571326</v>
      </c>
      <c r="Q474">
        <v>20213.179429160478</v>
      </c>
    </row>
    <row r="475" spans="2:17" x14ac:dyDescent="0.25">
      <c r="B475" s="87" t="s">
        <v>1504</v>
      </c>
      <c r="C475">
        <v>21852.468370249913</v>
      </c>
      <c r="D475">
        <v>18272.01222040506</v>
      </c>
      <c r="E475">
        <v>15392.158238814143</v>
      </c>
      <c r="F475">
        <v>15965.470266373233</v>
      </c>
      <c r="G475">
        <v>19281.233671120885</v>
      </c>
      <c r="H475">
        <v>20269.934891975005</v>
      </c>
      <c r="I475">
        <v>14883.142666294407</v>
      </c>
      <c r="J475">
        <v>19424.167546473887</v>
      </c>
      <c r="K475">
        <v>21209.328616700826</v>
      </c>
      <c r="L475">
        <v>19316.592896810951</v>
      </c>
      <c r="M475">
        <v>18691.410191478753</v>
      </c>
      <c r="N475">
        <v>17508.635741179409</v>
      </c>
      <c r="O475">
        <v>15282.165674199048</v>
      </c>
      <c r="P475">
        <v>19353.043521845739</v>
      </c>
      <c r="Q475">
        <v>20881.42963342433</v>
      </c>
    </row>
    <row r="476" spans="2:17" x14ac:dyDescent="0.25">
      <c r="B476" s="87" t="s">
        <v>1505</v>
      </c>
      <c r="C476">
        <v>21805.90139981352</v>
      </c>
      <c r="D476">
        <v>18521.278638836677</v>
      </c>
      <c r="E476">
        <v>15744.625179113604</v>
      </c>
      <c r="F476">
        <v>15592.154124145891</v>
      </c>
      <c r="G476">
        <v>19587.658793244067</v>
      </c>
      <c r="H476">
        <v>20891.992300373844</v>
      </c>
      <c r="I476">
        <v>14394.192590092985</v>
      </c>
      <c r="J476">
        <v>19746.561067129118</v>
      </c>
      <c r="K476">
        <v>21931.051560541695</v>
      </c>
      <c r="L476">
        <v>19106.753888373176</v>
      </c>
      <c r="M476">
        <v>18966.126353753745</v>
      </c>
      <c r="N476">
        <v>17998.924975636884</v>
      </c>
      <c r="O476">
        <v>14872.751863878659</v>
      </c>
      <c r="P476">
        <v>19657.681824891966</v>
      </c>
      <c r="Q476">
        <v>21541.371528993175</v>
      </c>
    </row>
    <row r="477" spans="2:17" x14ac:dyDescent="0.25">
      <c r="B477" s="87" t="s">
        <v>1506</v>
      </c>
      <c r="C477">
        <v>21746.266758726622</v>
      </c>
      <c r="D477">
        <v>18772.532837072813</v>
      </c>
      <c r="E477">
        <v>16113.723674142009</v>
      </c>
      <c r="F477">
        <v>15214.722089826451</v>
      </c>
      <c r="G477">
        <v>19892.029923349015</v>
      </c>
      <c r="H477">
        <v>21525.771256765984</v>
      </c>
      <c r="I477">
        <v>13902.570252631765</v>
      </c>
      <c r="J477">
        <v>20065.680784527533</v>
      </c>
      <c r="K477">
        <v>22664.272232782147</v>
      </c>
      <c r="L477">
        <v>18906.425071876278</v>
      </c>
      <c r="M477">
        <v>19243.242863518342</v>
      </c>
      <c r="N477">
        <v>18482.855334546824</v>
      </c>
      <c r="O477">
        <v>14465.448693126769</v>
      </c>
      <c r="P477">
        <v>19961.846731130703</v>
      </c>
      <c r="Q477">
        <v>22205.227845683974</v>
      </c>
    </row>
    <row r="478" spans="2:17" x14ac:dyDescent="0.25">
      <c r="B478" s="87" t="s">
        <v>1507</v>
      </c>
      <c r="C478">
        <v>21694.747286891939</v>
      </c>
      <c r="D478">
        <v>19030.785232468254</v>
      </c>
      <c r="E478">
        <v>16473.315983280667</v>
      </c>
      <c r="F478">
        <v>14831.683027044161</v>
      </c>
      <c r="G478">
        <v>20197.916022265075</v>
      </c>
      <c r="H478">
        <v>22169.24945333162</v>
      </c>
      <c r="I478">
        <v>13403.945586608326</v>
      </c>
      <c r="J478">
        <v>20386.96808614962</v>
      </c>
      <c r="K478">
        <v>23407.934829882906</v>
      </c>
      <c r="L478">
        <v>18712.115690280058</v>
      </c>
      <c r="M478">
        <v>19520.556410856603</v>
      </c>
      <c r="N478">
        <v>18966.176401504199</v>
      </c>
      <c r="O478">
        <v>14053.118427611396</v>
      </c>
      <c r="P478">
        <v>20266.639918768655</v>
      </c>
      <c r="Q478">
        <v>22879.090156260805</v>
      </c>
    </row>
    <row r="479" spans="2:17" x14ac:dyDescent="0.25">
      <c r="B479" s="87" t="s">
        <v>1508</v>
      </c>
      <c r="C479">
        <v>21657.461694586269</v>
      </c>
      <c r="D479">
        <v>19289.878718841235</v>
      </c>
      <c r="E479">
        <v>16823.496574239765</v>
      </c>
      <c r="F479">
        <v>14421.991258686128</v>
      </c>
      <c r="G479">
        <v>20506.151576823744</v>
      </c>
      <c r="H479">
        <v>22842.694152157397</v>
      </c>
      <c r="I479">
        <v>12885.626613900429</v>
      </c>
      <c r="J479">
        <v>20710.596281031383</v>
      </c>
      <c r="K479">
        <v>24174.614092735457</v>
      </c>
      <c r="L479">
        <v>18524.434619561387</v>
      </c>
      <c r="M479">
        <v>19798.68790399842</v>
      </c>
      <c r="N479">
        <v>19447.714464107456</v>
      </c>
      <c r="O479">
        <v>13622.280589103402</v>
      </c>
      <c r="P479">
        <v>20574.531334710446</v>
      </c>
      <c r="Q479">
        <v>23574.025063853423</v>
      </c>
    </row>
    <row r="480" spans="2:17" x14ac:dyDescent="0.25">
      <c r="B480" s="87" t="s">
        <v>1509</v>
      </c>
      <c r="C480">
        <v>21628.691351355177</v>
      </c>
      <c r="D480">
        <v>19549.694191673509</v>
      </c>
      <c r="E480">
        <v>17170.15981451526</v>
      </c>
      <c r="F480">
        <v>14055.823878567251</v>
      </c>
      <c r="G480">
        <v>20820.460523396145</v>
      </c>
      <c r="H480">
        <v>23472.260955580547</v>
      </c>
      <c r="I480">
        <v>12475.659715341302</v>
      </c>
      <c r="J480">
        <v>21038.537127716481</v>
      </c>
      <c r="K480">
        <v>24834.348514486155</v>
      </c>
      <c r="L480">
        <v>18408.193219534798</v>
      </c>
      <c r="M480">
        <v>20078.189198157976</v>
      </c>
      <c r="N480">
        <v>19862.162939851169</v>
      </c>
      <c r="O480">
        <v>13348.133092814354</v>
      </c>
      <c r="P480">
        <v>20887.732265793304</v>
      </c>
      <c r="Q480">
        <v>24112.679998936284</v>
      </c>
    </row>
    <row r="481" spans="1:82" x14ac:dyDescent="0.25">
      <c r="B481" s="87" t="s">
        <v>1510</v>
      </c>
      <c r="C481">
        <v>21602.731790787762</v>
      </c>
      <c r="D481">
        <v>19809.817481656548</v>
      </c>
      <c r="E481">
        <v>17519.481538675074</v>
      </c>
      <c r="F481">
        <v>13709.018527782124</v>
      </c>
      <c r="G481">
        <v>21125.015492201921</v>
      </c>
      <c r="H481">
        <v>24097.996791135338</v>
      </c>
      <c r="I481">
        <v>12106.219869625293</v>
      </c>
      <c r="J481">
        <v>21342.355253996087</v>
      </c>
      <c r="K481">
        <v>25483.455687498004</v>
      </c>
      <c r="L481">
        <v>18320.474790042867</v>
      </c>
      <c r="M481">
        <v>20342.845350605763</v>
      </c>
      <c r="N481">
        <v>20268.710670470755</v>
      </c>
      <c r="O481">
        <v>13134.430844164519</v>
      </c>
      <c r="P481">
        <v>21164.029190219953</v>
      </c>
      <c r="Q481">
        <v>24633.570776734909</v>
      </c>
    </row>
    <row r="482" spans="1:82" x14ac:dyDescent="0.25">
      <c r="B482" s="87" t="s">
        <v>1511</v>
      </c>
      <c r="C482">
        <v>21558.693904397849</v>
      </c>
      <c r="D482">
        <v>20070.086026640194</v>
      </c>
      <c r="E482">
        <v>17892.571188192531</v>
      </c>
      <c r="F482">
        <v>13365.034831134617</v>
      </c>
      <c r="G482">
        <v>21428.92271022881</v>
      </c>
      <c r="H482">
        <v>24727.393577867144</v>
      </c>
      <c r="I482">
        <v>11750.427966816127</v>
      </c>
      <c r="J482">
        <v>21645.063610478122</v>
      </c>
      <c r="K482">
        <v>26125.859541936319</v>
      </c>
      <c r="L482">
        <v>18232.084191287366</v>
      </c>
      <c r="M482">
        <v>20606.451131275622</v>
      </c>
      <c r="N482">
        <v>20682.815796667579</v>
      </c>
      <c r="O482">
        <v>12937.073183159215</v>
      </c>
      <c r="P482">
        <v>21437.957906237512</v>
      </c>
      <c r="Q482">
        <v>25146.320029833842</v>
      </c>
    </row>
    <row r="483" spans="1:82" x14ac:dyDescent="0.25">
      <c r="B483" s="87" t="s">
        <v>1512</v>
      </c>
      <c r="C483">
        <v>21488.55212145087</v>
      </c>
      <c r="D483">
        <v>20336.641931986709</v>
      </c>
      <c r="E483">
        <v>18291.370576985304</v>
      </c>
      <c r="F483">
        <v>13027.20578512785</v>
      </c>
      <c r="G483">
        <v>21734.137257947128</v>
      </c>
      <c r="H483">
        <v>25355.2215873479</v>
      </c>
      <c r="I483">
        <v>11415.517335268996</v>
      </c>
      <c r="J483">
        <v>21948.026117628524</v>
      </c>
      <c r="K483">
        <v>26753.021177525356</v>
      </c>
      <c r="L483">
        <v>18147.361464801212</v>
      </c>
      <c r="M483">
        <v>20873.24555469523</v>
      </c>
      <c r="N483">
        <v>21095.957610926438</v>
      </c>
      <c r="O483">
        <v>12750.786588772786</v>
      </c>
      <c r="P483">
        <v>21711.789331575001</v>
      </c>
      <c r="Q483">
        <v>25653.988710075093</v>
      </c>
    </row>
    <row r="484" spans="1:82" x14ac:dyDescent="0.25">
      <c r="B484" s="87" t="s">
        <v>1513</v>
      </c>
      <c r="C484">
        <v>21405.239329382832</v>
      </c>
      <c r="D484">
        <v>20609.712390949007</v>
      </c>
      <c r="E484">
        <v>18702.778556395264</v>
      </c>
      <c r="F484">
        <v>12698.460145079458</v>
      </c>
      <c r="G484">
        <v>22040.118135146276</v>
      </c>
      <c r="H484">
        <v>25979.151996501372</v>
      </c>
      <c r="I484">
        <v>11089.0442451978</v>
      </c>
      <c r="J484">
        <v>22249.047853549637</v>
      </c>
      <c r="K484">
        <v>27379.638177979668</v>
      </c>
      <c r="L484">
        <v>18071.447854424852</v>
      </c>
      <c r="M484">
        <v>21142.187855949371</v>
      </c>
      <c r="N484">
        <v>21504.094566352884</v>
      </c>
      <c r="O484">
        <v>12571.399483410731</v>
      </c>
      <c r="P484">
        <v>21985.930221658407</v>
      </c>
      <c r="Q484">
        <v>26160.400571657963</v>
      </c>
    </row>
    <row r="485" spans="1:82" x14ac:dyDescent="0.25">
      <c r="B485" s="87" t="s">
        <v>1514</v>
      </c>
      <c r="C485">
        <v>21313.554162534714</v>
      </c>
      <c r="D485">
        <v>20886.2653791376</v>
      </c>
      <c r="E485">
        <v>19125.088037822061</v>
      </c>
      <c r="F485">
        <v>12435.920010333659</v>
      </c>
      <c r="G485">
        <v>22347.396543778254</v>
      </c>
      <c r="H485">
        <v>26541.591025382462</v>
      </c>
      <c r="I485">
        <v>10867.645365240656</v>
      </c>
      <c r="J485">
        <v>22551.806057065027</v>
      </c>
      <c r="K485">
        <v>27905.456157188695</v>
      </c>
      <c r="L485">
        <v>18031.964594230318</v>
      </c>
      <c r="M485">
        <v>21411.698320013857</v>
      </c>
      <c r="N485">
        <v>21881.244665250204</v>
      </c>
      <c r="O485">
        <v>12431.180753256602</v>
      </c>
      <c r="P485">
        <v>22261.964176402042</v>
      </c>
      <c r="Q485">
        <v>26631.762649835731</v>
      </c>
    </row>
    <row r="486" spans="1:82" x14ac:dyDescent="0.25">
      <c r="B486" s="87" t="s">
        <v>1515</v>
      </c>
      <c r="C486">
        <v>21222.635822855962</v>
      </c>
      <c r="D486">
        <v>21167.239662494634</v>
      </c>
      <c r="E486">
        <v>19548.281169938728</v>
      </c>
      <c r="F486">
        <v>12196.399636009219</v>
      </c>
      <c r="G486">
        <v>22642.016785492495</v>
      </c>
      <c r="H486">
        <v>27099.740233787605</v>
      </c>
      <c r="I486">
        <v>10671.612636553229</v>
      </c>
      <c r="J486">
        <v>22832.51737464494</v>
      </c>
      <c r="K486">
        <v>28434.026644091151</v>
      </c>
      <c r="L486">
        <v>18011.264925756601</v>
      </c>
      <c r="M486">
        <v>21676.132449270008</v>
      </c>
      <c r="N486">
        <v>22250.759280262715</v>
      </c>
      <c r="O486">
        <v>12310.948492229852</v>
      </c>
      <c r="P486">
        <v>22532.311666469166</v>
      </c>
      <c r="Q486">
        <v>27094.896496590307</v>
      </c>
    </row>
    <row r="487" spans="1:82" x14ac:dyDescent="0.25">
      <c r="B487" s="87" t="s">
        <v>1516</v>
      </c>
      <c r="C487">
        <v>21136.924639425568</v>
      </c>
      <c r="D487">
        <v>21450.158913320229</v>
      </c>
      <c r="E487">
        <v>19970.454669096409</v>
      </c>
      <c r="F487">
        <v>11958.35061022761</v>
      </c>
      <c r="G487">
        <v>22936.919617290456</v>
      </c>
      <c r="H487">
        <v>27662.267994324146</v>
      </c>
      <c r="I487">
        <v>10479.985563645192</v>
      </c>
      <c r="J487">
        <v>23116.925983975019</v>
      </c>
      <c r="K487">
        <v>28960.626674222</v>
      </c>
      <c r="L487">
        <v>17985.734280132314</v>
      </c>
      <c r="M487">
        <v>21940.807957653829</v>
      </c>
      <c r="N487">
        <v>22630.995984056062</v>
      </c>
      <c r="O487">
        <v>12201.597787599729</v>
      </c>
      <c r="P487">
        <v>22802.184869602257</v>
      </c>
      <c r="Q487">
        <v>27553.755564640225</v>
      </c>
    </row>
    <row r="488" spans="1:82" x14ac:dyDescent="0.25">
      <c r="B488" s="87" t="s">
        <v>1517</v>
      </c>
      <c r="C488">
        <v>21059.644182874083</v>
      </c>
      <c r="D488">
        <v>21736.9557576687</v>
      </c>
      <c r="E488">
        <v>20386.51366351785</v>
      </c>
      <c r="F488">
        <v>11728.897228211299</v>
      </c>
      <c r="G488">
        <v>23235.24264795654</v>
      </c>
      <c r="H488">
        <v>28218.973727892793</v>
      </c>
      <c r="I488">
        <v>10302.073705052646</v>
      </c>
      <c r="J488">
        <v>23403.105313717588</v>
      </c>
      <c r="K488">
        <v>29477.934585290401</v>
      </c>
      <c r="L488">
        <v>17967.781100098367</v>
      </c>
      <c r="M488">
        <v>22212.061520317537</v>
      </c>
      <c r="N488">
        <v>23003.270983644732</v>
      </c>
      <c r="O488">
        <v>12104.314896658983</v>
      </c>
      <c r="P488">
        <v>23074.397659009268</v>
      </c>
      <c r="Q488">
        <v>28004.401048392381</v>
      </c>
    </row>
    <row r="489" spans="1:82" x14ac:dyDescent="0.25">
      <c r="B489" s="87" t="s">
        <v>1518</v>
      </c>
      <c r="C489">
        <v>20981.220102599018</v>
      </c>
      <c r="D489">
        <v>22021.402497822535</v>
      </c>
      <c r="E489">
        <v>20812.32213967968</v>
      </c>
      <c r="F489">
        <v>11500.941648418866</v>
      </c>
      <c r="G489">
        <v>23533.771778470054</v>
      </c>
      <c r="H489">
        <v>28780.231313212316</v>
      </c>
      <c r="I489">
        <v>10131.176641791648</v>
      </c>
      <c r="J489">
        <v>23688.8235961262</v>
      </c>
      <c r="K489">
        <v>29994.944502183389</v>
      </c>
      <c r="L489">
        <v>17952.742282318854</v>
      </c>
      <c r="M489">
        <v>22481.614390769395</v>
      </c>
      <c r="N489">
        <v>23380.588067012988</v>
      </c>
      <c r="O489">
        <v>12016.894209076017</v>
      </c>
      <c r="P489">
        <v>23346.199773712728</v>
      </c>
      <c r="Q489">
        <v>28451.850757312488</v>
      </c>
    </row>
    <row r="490" spans="1:82" x14ac:dyDescent="0.25">
      <c r="B490" s="87" t="s">
        <v>1519</v>
      </c>
      <c r="C490">
        <v>20896.133383905591</v>
      </c>
      <c r="D490">
        <v>22309.687265363234</v>
      </c>
      <c r="E490">
        <v>21247.273538233429</v>
      </c>
      <c r="F490">
        <v>11278.676146595773</v>
      </c>
      <c r="G490">
        <v>23834.31180269942</v>
      </c>
      <c r="H490">
        <v>29340.10623820706</v>
      </c>
      <c r="I490">
        <v>9966.4064467408498</v>
      </c>
      <c r="J490">
        <v>23975.957158144505</v>
      </c>
      <c r="K490">
        <v>30510.730582616896</v>
      </c>
      <c r="L490">
        <v>17936.730904918779</v>
      </c>
      <c r="M490">
        <v>22754.41933286277</v>
      </c>
      <c r="N490">
        <v>23761.943949720706</v>
      </c>
      <c r="O490">
        <v>11936.499903292095</v>
      </c>
      <c r="P490">
        <v>23618.857602914461</v>
      </c>
      <c r="Q490">
        <v>28897.736681295697</v>
      </c>
    </row>
    <row r="491" spans="1:82" x14ac:dyDescent="0.25">
      <c r="B491" s="87" t="s">
        <v>1520</v>
      </c>
      <c r="C491">
        <v>20821.033464952863</v>
      </c>
      <c r="D491">
        <v>22603.796325507603</v>
      </c>
      <c r="E491">
        <v>21672.795338916807</v>
      </c>
      <c r="F491">
        <v>11064.922782734224</v>
      </c>
      <c r="G491">
        <v>24136.078433297462</v>
      </c>
      <c r="H491">
        <v>29896.623913345589</v>
      </c>
      <c r="I491">
        <v>9810.2126810672762</v>
      </c>
      <c r="J491">
        <v>24265.114818617858</v>
      </c>
      <c r="K491">
        <v>31022.297629692141</v>
      </c>
      <c r="L491">
        <v>17928.767520778099</v>
      </c>
      <c r="M491">
        <v>23031.246167098921</v>
      </c>
      <c r="N491">
        <v>24137.611441500259</v>
      </c>
      <c r="O491">
        <v>11867.213774170772</v>
      </c>
      <c r="P491">
        <v>23893.948550783356</v>
      </c>
      <c r="Q491">
        <v>29336.462804423143</v>
      </c>
    </row>
    <row r="492" spans="1:82" x14ac:dyDescent="0.25">
      <c r="A492" t="s">
        <v>1546</v>
      </c>
    </row>
    <row r="493" spans="1:82" x14ac:dyDescent="0.25">
      <c r="A493" t="s">
        <v>1547</v>
      </c>
      <c r="C493" s="87" t="s">
        <v>1470</v>
      </c>
      <c r="D493" s="87" t="s">
        <v>1470</v>
      </c>
      <c r="E493" s="87" t="s">
        <v>1470</v>
      </c>
      <c r="F493" s="87" t="s">
        <v>1470</v>
      </c>
      <c r="G493" s="87" t="s">
        <v>1470</v>
      </c>
      <c r="H493" s="87" t="s">
        <v>1470</v>
      </c>
      <c r="I493" s="87" t="s">
        <v>1470</v>
      </c>
      <c r="J493" s="87" t="s">
        <v>1470</v>
      </c>
      <c r="K493" s="87" t="s">
        <v>1470</v>
      </c>
      <c r="L493" s="87" t="s">
        <v>1470</v>
      </c>
      <c r="M493" s="87" t="s">
        <v>1470</v>
      </c>
      <c r="N493" s="87" t="s">
        <v>1470</v>
      </c>
      <c r="O493" s="87" t="s">
        <v>1470</v>
      </c>
      <c r="P493" s="87" t="s">
        <v>1470</v>
      </c>
      <c r="Q493" s="87" t="s">
        <v>1470</v>
      </c>
      <c r="R493" s="87" t="s">
        <v>1470</v>
      </c>
      <c r="S493" s="87" t="s">
        <v>1481</v>
      </c>
      <c r="T493" s="87" t="s">
        <v>1481</v>
      </c>
      <c r="U493" s="87" t="s">
        <v>1481</v>
      </c>
      <c r="V493" s="87" t="s">
        <v>1481</v>
      </c>
      <c r="W493" s="87" t="s">
        <v>1481</v>
      </c>
      <c r="X493" s="87" t="s">
        <v>1481</v>
      </c>
      <c r="Y493" s="87" t="s">
        <v>1481</v>
      </c>
      <c r="Z493" s="87" t="s">
        <v>1481</v>
      </c>
      <c r="AA493" s="87" t="s">
        <v>1481</v>
      </c>
      <c r="AB493" s="87" t="s">
        <v>1481</v>
      </c>
      <c r="AC493" s="87" t="s">
        <v>1481</v>
      </c>
      <c r="AD493" s="87" t="s">
        <v>1481</v>
      </c>
      <c r="AE493" s="87" t="s">
        <v>1481</v>
      </c>
      <c r="AF493" s="87" t="s">
        <v>1481</v>
      </c>
      <c r="AG493" s="87" t="s">
        <v>1481</v>
      </c>
      <c r="AH493" s="87" t="s">
        <v>1481</v>
      </c>
      <c r="AI493" s="87" t="s">
        <v>1482</v>
      </c>
      <c r="AJ493" s="87" t="s">
        <v>1482</v>
      </c>
      <c r="AK493" s="87" t="s">
        <v>1482</v>
      </c>
      <c r="AL493" s="87" t="s">
        <v>1482</v>
      </c>
      <c r="AM493" s="87" t="s">
        <v>1482</v>
      </c>
      <c r="AN493" s="87" t="s">
        <v>1482</v>
      </c>
      <c r="AO493" s="87" t="s">
        <v>1482</v>
      </c>
      <c r="AP493" s="87" t="s">
        <v>1482</v>
      </c>
      <c r="AQ493" s="87" t="s">
        <v>1482</v>
      </c>
      <c r="AR493" s="87" t="s">
        <v>1482</v>
      </c>
      <c r="AS493" s="87" t="s">
        <v>1482</v>
      </c>
      <c r="AT493" s="87" t="s">
        <v>1482</v>
      </c>
      <c r="AU493" s="87" t="s">
        <v>1482</v>
      </c>
      <c r="AV493" s="87" t="s">
        <v>1482</v>
      </c>
      <c r="AW493" s="87" t="s">
        <v>1482</v>
      </c>
      <c r="AX493" s="87" t="s">
        <v>1482</v>
      </c>
      <c r="AY493" s="87" t="s">
        <v>1483</v>
      </c>
      <c r="AZ493" s="87" t="s">
        <v>1483</v>
      </c>
      <c r="BA493" s="87" t="s">
        <v>1483</v>
      </c>
      <c r="BB493" s="87" t="s">
        <v>1483</v>
      </c>
      <c r="BC493" s="87" t="s">
        <v>1483</v>
      </c>
      <c r="BD493" s="87" t="s">
        <v>1483</v>
      </c>
      <c r="BE493" s="87" t="s">
        <v>1483</v>
      </c>
      <c r="BF493" s="87" t="s">
        <v>1483</v>
      </c>
      <c r="BG493" s="87" t="s">
        <v>1483</v>
      </c>
      <c r="BH493" s="87" t="s">
        <v>1483</v>
      </c>
      <c r="BI493" s="87" t="s">
        <v>1483</v>
      </c>
      <c r="BJ493" s="87" t="s">
        <v>1483</v>
      </c>
      <c r="BK493" s="87" t="s">
        <v>1483</v>
      </c>
      <c r="BL493" s="87" t="s">
        <v>1483</v>
      </c>
      <c r="BM493" s="87" t="s">
        <v>1483</v>
      </c>
      <c r="BN493" s="87" t="s">
        <v>1483</v>
      </c>
      <c r="BO493" s="87" t="s">
        <v>1484</v>
      </c>
      <c r="BP493" s="87" t="s">
        <v>1484</v>
      </c>
      <c r="BQ493" s="87" t="s">
        <v>1484</v>
      </c>
      <c r="BR493" s="87" t="s">
        <v>1484</v>
      </c>
      <c r="BS493" s="87" t="s">
        <v>1484</v>
      </c>
      <c r="BT493" s="87" t="s">
        <v>1484</v>
      </c>
      <c r="BU493" s="87" t="s">
        <v>1484</v>
      </c>
      <c r="BV493" s="87" t="s">
        <v>1484</v>
      </c>
      <c r="BW493" s="87" t="s">
        <v>1484</v>
      </c>
      <c r="BX493" s="87" t="s">
        <v>1484</v>
      </c>
      <c r="BY493" s="87" t="s">
        <v>1484</v>
      </c>
      <c r="BZ493" s="87" t="s">
        <v>1484</v>
      </c>
      <c r="CA493" s="87" t="s">
        <v>1484</v>
      </c>
      <c r="CB493" s="87" t="s">
        <v>1484</v>
      </c>
      <c r="CC493" s="87" t="s">
        <v>1484</v>
      </c>
      <c r="CD493" s="87" t="s">
        <v>1484</v>
      </c>
    </row>
    <row r="494" spans="1:82" x14ac:dyDescent="0.25">
      <c r="B494" s="87"/>
      <c r="C494" s="87" t="s">
        <v>1548</v>
      </c>
      <c r="D494" s="87" t="s">
        <v>1549</v>
      </c>
      <c r="E494" s="87" t="s">
        <v>1550</v>
      </c>
      <c r="F494" s="87" t="s">
        <v>1551</v>
      </c>
      <c r="G494" s="87" t="s">
        <v>1552</v>
      </c>
      <c r="H494" s="87" t="s">
        <v>1553</v>
      </c>
      <c r="I494" s="87" t="s">
        <v>1554</v>
      </c>
      <c r="J494" s="87" t="s">
        <v>1555</v>
      </c>
      <c r="K494" s="87" t="s">
        <v>1556</v>
      </c>
      <c r="L494" s="87" t="s">
        <v>1557</v>
      </c>
      <c r="M494" s="87" t="s">
        <v>1558</v>
      </c>
      <c r="N494" s="87" t="s">
        <v>1559</v>
      </c>
      <c r="O494" s="87" t="s">
        <v>1560</v>
      </c>
      <c r="P494" s="87" t="s">
        <v>1561</v>
      </c>
      <c r="Q494" s="87" t="s">
        <v>1562</v>
      </c>
      <c r="R494" s="87" t="s">
        <v>1563</v>
      </c>
      <c r="S494" s="87" t="s">
        <v>1548</v>
      </c>
      <c r="T494" s="87" t="s">
        <v>1549</v>
      </c>
      <c r="U494" s="87" t="s">
        <v>1550</v>
      </c>
      <c r="V494" s="87" t="s">
        <v>1551</v>
      </c>
      <c r="W494" s="87" t="s">
        <v>1552</v>
      </c>
      <c r="X494" s="87" t="s">
        <v>1553</v>
      </c>
      <c r="Y494" s="87" t="s">
        <v>1554</v>
      </c>
      <c r="Z494" s="87" t="s">
        <v>1555</v>
      </c>
      <c r="AA494" s="87" t="s">
        <v>1556</v>
      </c>
      <c r="AB494" s="87" t="s">
        <v>1557</v>
      </c>
      <c r="AC494" s="87" t="s">
        <v>1558</v>
      </c>
      <c r="AD494" s="87" t="s">
        <v>1559</v>
      </c>
      <c r="AE494" s="87" t="s">
        <v>1560</v>
      </c>
      <c r="AF494" s="87" t="s">
        <v>1561</v>
      </c>
      <c r="AG494" s="87" t="s">
        <v>1562</v>
      </c>
      <c r="AH494" s="87" t="s">
        <v>1563</v>
      </c>
      <c r="AI494" s="87" t="s">
        <v>1548</v>
      </c>
      <c r="AJ494" s="87" t="s">
        <v>1549</v>
      </c>
      <c r="AK494" s="87" t="s">
        <v>1550</v>
      </c>
      <c r="AL494" s="87" t="s">
        <v>1551</v>
      </c>
      <c r="AM494" s="87" t="s">
        <v>1552</v>
      </c>
      <c r="AN494" s="87" t="s">
        <v>1553</v>
      </c>
      <c r="AO494" s="87" t="s">
        <v>1554</v>
      </c>
      <c r="AP494" s="87" t="s">
        <v>1555</v>
      </c>
      <c r="AQ494" s="87" t="s">
        <v>1556</v>
      </c>
      <c r="AR494" s="87" t="s">
        <v>1557</v>
      </c>
      <c r="AS494" s="87" t="s">
        <v>1558</v>
      </c>
      <c r="AT494" s="87" t="s">
        <v>1559</v>
      </c>
      <c r="AU494" s="87" t="s">
        <v>1560</v>
      </c>
      <c r="AV494" s="87" t="s">
        <v>1561</v>
      </c>
      <c r="AW494" s="87" t="s">
        <v>1562</v>
      </c>
      <c r="AX494" s="87" t="s">
        <v>1563</v>
      </c>
      <c r="AY494" s="87" t="s">
        <v>1548</v>
      </c>
      <c r="AZ494" s="87" t="s">
        <v>1549</v>
      </c>
      <c r="BA494" s="87" t="s">
        <v>1550</v>
      </c>
      <c r="BB494" s="87" t="s">
        <v>1551</v>
      </c>
      <c r="BC494" s="87" t="s">
        <v>1552</v>
      </c>
      <c r="BD494" s="87" t="s">
        <v>1553</v>
      </c>
      <c r="BE494" s="87" t="s">
        <v>1554</v>
      </c>
      <c r="BF494" s="87" t="s">
        <v>1555</v>
      </c>
      <c r="BG494" s="87" t="s">
        <v>1556</v>
      </c>
      <c r="BH494" s="87" t="s">
        <v>1557</v>
      </c>
      <c r="BI494" s="87" t="s">
        <v>1558</v>
      </c>
      <c r="BJ494" s="87" t="s">
        <v>1559</v>
      </c>
      <c r="BK494" s="87" t="s">
        <v>1560</v>
      </c>
      <c r="BL494" s="87" t="s">
        <v>1561</v>
      </c>
      <c r="BM494" s="87" t="s">
        <v>1562</v>
      </c>
      <c r="BN494" s="87" t="s">
        <v>1563</v>
      </c>
      <c r="BO494" s="87" t="s">
        <v>1548</v>
      </c>
      <c r="BP494" s="87" t="s">
        <v>1549</v>
      </c>
      <c r="BQ494" s="87" t="s">
        <v>1550</v>
      </c>
      <c r="BR494" s="87" t="s">
        <v>1551</v>
      </c>
      <c r="BS494" s="87" t="s">
        <v>1552</v>
      </c>
      <c r="BT494" s="87" t="s">
        <v>1553</v>
      </c>
      <c r="BU494" s="87" t="s">
        <v>1554</v>
      </c>
      <c r="BV494" s="87" t="s">
        <v>1555</v>
      </c>
      <c r="BW494" s="87" t="s">
        <v>1556</v>
      </c>
      <c r="BX494" s="87" t="s">
        <v>1557</v>
      </c>
      <c r="BY494" s="87" t="s">
        <v>1558</v>
      </c>
      <c r="BZ494" s="87" t="s">
        <v>1559</v>
      </c>
      <c r="CA494" s="87" t="s">
        <v>1560</v>
      </c>
      <c r="CB494" s="87" t="s">
        <v>1561</v>
      </c>
      <c r="CC494" s="87" t="s">
        <v>1562</v>
      </c>
      <c r="CD494" s="87" t="s">
        <v>1563</v>
      </c>
    </row>
    <row r="495" spans="1:82" x14ac:dyDescent="0.25">
      <c r="B495" s="87" t="s">
        <v>1487</v>
      </c>
      <c r="C495">
        <v>711.9836805390006</v>
      </c>
      <c r="D495">
        <v>13.389996871015942</v>
      </c>
      <c r="E495">
        <v>22.042469662591415</v>
      </c>
      <c r="F495">
        <v>38.966688909400112</v>
      </c>
      <c r="G495">
        <v>48.261174850472905</v>
      </c>
      <c r="H495">
        <v>56.241588158915071</v>
      </c>
      <c r="I495">
        <v>68.199910297631845</v>
      </c>
      <c r="J495">
        <v>80.81759704039024</v>
      </c>
      <c r="K495">
        <v>102.63406922059193</v>
      </c>
      <c r="L495">
        <v>151.67065188602436</v>
      </c>
      <c r="M495">
        <v>303.08939759564623</v>
      </c>
      <c r="N495">
        <v>90.332873153946423</v>
      </c>
      <c r="O495">
        <v>105.02700218233809</v>
      </c>
      <c r="P495">
        <v>129.79089253497162</v>
      </c>
      <c r="Q495">
        <v>162.01611525989671</v>
      </c>
      <c r="R495">
        <v>260.98453879061054</v>
      </c>
      <c r="S495">
        <v>711.9836805390006</v>
      </c>
      <c r="T495">
        <v>13.389996871015942</v>
      </c>
      <c r="U495">
        <v>22.042469662591415</v>
      </c>
      <c r="V495">
        <v>38.966688909400112</v>
      </c>
      <c r="W495">
        <v>48.261174850472905</v>
      </c>
      <c r="X495">
        <v>56.241588158915071</v>
      </c>
      <c r="Y495">
        <v>68.199910297631845</v>
      </c>
      <c r="Z495">
        <v>80.81759704039024</v>
      </c>
      <c r="AA495">
        <v>102.63406922059193</v>
      </c>
      <c r="AB495">
        <v>151.67065188602436</v>
      </c>
      <c r="AC495">
        <v>303.08939759564623</v>
      </c>
      <c r="AD495">
        <v>90.332873153946423</v>
      </c>
      <c r="AE495">
        <v>105.02700218233809</v>
      </c>
      <c r="AF495">
        <v>129.79089253497162</v>
      </c>
      <c r="AG495">
        <v>162.01611525989671</v>
      </c>
      <c r="AH495">
        <v>260.98453879061054</v>
      </c>
      <c r="AI495">
        <v>711.9836805390006</v>
      </c>
      <c r="AJ495">
        <v>13.389996871015942</v>
      </c>
      <c r="AK495">
        <v>22.042469662591415</v>
      </c>
      <c r="AL495">
        <v>38.966688909400112</v>
      </c>
      <c r="AM495">
        <v>48.261174850472905</v>
      </c>
      <c r="AN495">
        <v>56.241588158915071</v>
      </c>
      <c r="AO495">
        <v>68.199910297631845</v>
      </c>
      <c r="AP495">
        <v>80.81759704039024</v>
      </c>
      <c r="AQ495">
        <v>102.63406922059193</v>
      </c>
      <c r="AR495">
        <v>151.67065188602436</v>
      </c>
      <c r="AS495">
        <v>303.08939759564623</v>
      </c>
      <c r="AT495">
        <v>90.332873153946423</v>
      </c>
      <c r="AU495">
        <v>105.02700218233809</v>
      </c>
      <c r="AV495">
        <v>129.79089253497162</v>
      </c>
      <c r="AW495">
        <v>162.01611525989671</v>
      </c>
      <c r="AX495">
        <v>260.98453879061054</v>
      </c>
      <c r="AY495">
        <v>711.9836805390006</v>
      </c>
      <c r="AZ495">
        <v>13.389996871015942</v>
      </c>
      <c r="BA495">
        <v>22.042469662591415</v>
      </c>
      <c r="BB495">
        <v>38.966688909400112</v>
      </c>
      <c r="BC495">
        <v>48.261174850472905</v>
      </c>
      <c r="BD495">
        <v>56.241588158915071</v>
      </c>
      <c r="BE495">
        <v>68.199910297631845</v>
      </c>
      <c r="BF495">
        <v>80.81759704039024</v>
      </c>
      <c r="BG495">
        <v>102.63406922059193</v>
      </c>
      <c r="BH495">
        <v>151.67065188602436</v>
      </c>
      <c r="BI495">
        <v>303.08939759564623</v>
      </c>
      <c r="BJ495">
        <v>90.332873153946423</v>
      </c>
      <c r="BK495">
        <v>105.02700218233809</v>
      </c>
      <c r="BL495">
        <v>129.79089253497162</v>
      </c>
      <c r="BM495">
        <v>162.01611525989671</v>
      </c>
      <c r="BN495">
        <v>260.98453879061054</v>
      </c>
      <c r="BO495">
        <v>711.9836805390006</v>
      </c>
      <c r="BP495">
        <v>13.389996871015942</v>
      </c>
      <c r="BQ495">
        <v>22.042469662591415</v>
      </c>
      <c r="BR495">
        <v>38.966688909400112</v>
      </c>
      <c r="BS495">
        <v>48.261174850472905</v>
      </c>
      <c r="BT495">
        <v>56.241588158915071</v>
      </c>
      <c r="BU495">
        <v>68.199910297631845</v>
      </c>
      <c r="BV495">
        <v>80.81759704039024</v>
      </c>
      <c r="BW495">
        <v>102.63406922059193</v>
      </c>
      <c r="BX495">
        <v>151.67065188602436</v>
      </c>
      <c r="BY495">
        <v>303.08939759564623</v>
      </c>
      <c r="BZ495">
        <v>90.332873153946423</v>
      </c>
      <c r="CA495">
        <v>105.02700218233809</v>
      </c>
      <c r="CB495">
        <v>129.79089253497162</v>
      </c>
      <c r="CC495">
        <v>162.01611525989671</v>
      </c>
      <c r="CD495">
        <v>260.98453879061054</v>
      </c>
    </row>
    <row r="496" spans="1:82" x14ac:dyDescent="0.25">
      <c r="B496" s="87" t="s">
        <v>1488</v>
      </c>
      <c r="C496">
        <v>728.91389099809317</v>
      </c>
      <c r="D496">
        <v>11.51789590036732</v>
      </c>
      <c r="E496">
        <v>22.680597450608289</v>
      </c>
      <c r="F496">
        <v>40.083758701028344</v>
      </c>
      <c r="G496">
        <v>49.633489312462316</v>
      </c>
      <c r="H496">
        <v>57.819548445095087</v>
      </c>
      <c r="I496">
        <v>70.080246022275745</v>
      </c>
      <c r="J496">
        <v>82.969523935998197</v>
      </c>
      <c r="K496">
        <v>105.33845191585753</v>
      </c>
      <c r="L496">
        <v>155.54864473434517</v>
      </c>
      <c r="M496">
        <v>310.60468795089855</v>
      </c>
      <c r="N496">
        <v>92.536064261950145</v>
      </c>
      <c r="O496">
        <v>107.65443364563458</v>
      </c>
      <c r="P496">
        <v>133.07530572729146</v>
      </c>
      <c r="Q496">
        <v>166.36487620417992</v>
      </c>
      <c r="R496">
        <v>268.4807486221427</v>
      </c>
      <c r="S496">
        <v>728.91389099793741</v>
      </c>
      <c r="T496">
        <v>11.517895900363927</v>
      </c>
      <c r="U496">
        <v>22.680597450598341</v>
      </c>
      <c r="V496">
        <v>40.083758701009359</v>
      </c>
      <c r="W496">
        <v>49.633489312437661</v>
      </c>
      <c r="X496">
        <v>57.819548445065131</v>
      </c>
      <c r="Y496">
        <v>70.080246022242321</v>
      </c>
      <c r="Z496">
        <v>82.969523935967587</v>
      </c>
      <c r="AA496">
        <v>105.33845191582272</v>
      </c>
      <c r="AB496">
        <v>155.5486447343049</v>
      </c>
      <c r="AC496">
        <v>310.60468795086075</v>
      </c>
      <c r="AD496">
        <v>92.53606426194365</v>
      </c>
      <c r="AE496">
        <v>107.65443364563239</v>
      </c>
      <c r="AF496">
        <v>133.07530572728794</v>
      </c>
      <c r="AG496">
        <v>166.36487620417006</v>
      </c>
      <c r="AH496">
        <v>268.48074862211951</v>
      </c>
      <c r="AI496">
        <v>728.91389099793741</v>
      </c>
      <c r="AJ496">
        <v>11.517895900363927</v>
      </c>
      <c r="AK496">
        <v>22.680597450598341</v>
      </c>
      <c r="AL496">
        <v>40.083758701009359</v>
      </c>
      <c r="AM496">
        <v>49.633489312437661</v>
      </c>
      <c r="AN496">
        <v>57.819548445065131</v>
      </c>
      <c r="AO496">
        <v>70.080246022242321</v>
      </c>
      <c r="AP496">
        <v>82.969523935967587</v>
      </c>
      <c r="AQ496">
        <v>105.33845191582272</v>
      </c>
      <c r="AR496">
        <v>155.5486447343049</v>
      </c>
      <c r="AS496">
        <v>310.60468795086075</v>
      </c>
      <c r="AT496">
        <v>92.53606426194365</v>
      </c>
      <c r="AU496">
        <v>107.65443364563239</v>
      </c>
      <c r="AV496">
        <v>133.07530572728794</v>
      </c>
      <c r="AW496">
        <v>166.36487620417006</v>
      </c>
      <c r="AX496">
        <v>268.48074862211951</v>
      </c>
      <c r="AY496">
        <v>728.91389099793741</v>
      </c>
      <c r="AZ496">
        <v>11.517895900363927</v>
      </c>
      <c r="BA496">
        <v>22.680597450598341</v>
      </c>
      <c r="BB496">
        <v>40.083758701009359</v>
      </c>
      <c r="BC496">
        <v>49.633489312437661</v>
      </c>
      <c r="BD496">
        <v>57.819548445065131</v>
      </c>
      <c r="BE496">
        <v>70.080246022242321</v>
      </c>
      <c r="BF496">
        <v>82.969523935967587</v>
      </c>
      <c r="BG496">
        <v>105.33845191582272</v>
      </c>
      <c r="BH496">
        <v>155.5486447343049</v>
      </c>
      <c r="BI496">
        <v>310.60468795086075</v>
      </c>
      <c r="BJ496">
        <v>92.53606426194365</v>
      </c>
      <c r="BK496">
        <v>107.65443364563239</v>
      </c>
      <c r="BL496">
        <v>133.07530572728794</v>
      </c>
      <c r="BM496">
        <v>166.36487620417006</v>
      </c>
      <c r="BN496">
        <v>268.48074862211951</v>
      </c>
      <c r="BO496">
        <v>728.9138909976283</v>
      </c>
      <c r="BP496">
        <v>11.517895900664717</v>
      </c>
      <c r="BQ496">
        <v>22.680597450635673</v>
      </c>
      <c r="BR496">
        <v>40.083758701080271</v>
      </c>
      <c r="BS496">
        <v>49.63348931252586</v>
      </c>
      <c r="BT496">
        <v>57.819548445166497</v>
      </c>
      <c r="BU496">
        <v>70.080246022358139</v>
      </c>
      <c r="BV496">
        <v>82.969523936074296</v>
      </c>
      <c r="BW496">
        <v>105.33845191592854</v>
      </c>
      <c r="BX496">
        <v>155.54864473440759</v>
      </c>
      <c r="BY496">
        <v>310.60468795091185</v>
      </c>
      <c r="BZ496">
        <v>92.536064261935536</v>
      </c>
      <c r="CA496">
        <v>107.65443364559744</v>
      </c>
      <c r="CB496">
        <v>133.07530572724812</v>
      </c>
      <c r="CC496">
        <v>166.36487620411452</v>
      </c>
      <c r="CD496">
        <v>268.4807486220015</v>
      </c>
    </row>
    <row r="497" spans="2:82" x14ac:dyDescent="0.25">
      <c r="B497" s="87" t="s">
        <v>1489</v>
      </c>
      <c r="C497">
        <v>745.02056970371302</v>
      </c>
      <c r="D497">
        <v>11.755107671121319</v>
      </c>
      <c r="E497">
        <v>23.288651735212081</v>
      </c>
      <c r="F497">
        <v>41.144809076084726</v>
      </c>
      <c r="G497">
        <v>50.930647462647144</v>
      </c>
      <c r="H497">
        <v>59.303205459855377</v>
      </c>
      <c r="I497">
        <v>71.841452497203377</v>
      </c>
      <c r="J497">
        <v>84.977940792656639</v>
      </c>
      <c r="K497">
        <v>107.85784622398423</v>
      </c>
      <c r="L497">
        <v>159.15285376381806</v>
      </c>
      <c r="M497">
        <v>317.57177453120266</v>
      </c>
      <c r="N497">
        <v>94.577854347325754</v>
      </c>
      <c r="O497">
        <v>110.09444100121161</v>
      </c>
      <c r="P497">
        <v>136.12774089692064</v>
      </c>
      <c r="Q497">
        <v>170.43014866905773</v>
      </c>
      <c r="R497">
        <v>275.52483710765733</v>
      </c>
      <c r="S497">
        <v>745.02056970441686</v>
      </c>
      <c r="T497">
        <v>11.75510767137108</v>
      </c>
      <c r="U497">
        <v>23.288651735205697</v>
      </c>
      <c r="V497">
        <v>41.144809076073756</v>
      </c>
      <c r="W497">
        <v>50.930647462637147</v>
      </c>
      <c r="X497">
        <v>59.303205459846311</v>
      </c>
      <c r="Y497">
        <v>71.841452497198759</v>
      </c>
      <c r="Z497">
        <v>84.977940792662039</v>
      </c>
      <c r="AA497">
        <v>107.85784622400077</v>
      </c>
      <c r="AB497">
        <v>159.15285376385066</v>
      </c>
      <c r="AC497">
        <v>317.57177453125661</v>
      </c>
      <c r="AD497">
        <v>94.577854347339738</v>
      </c>
      <c r="AE497">
        <v>110.09444100123086</v>
      </c>
      <c r="AF497">
        <v>136.12774089694841</v>
      </c>
      <c r="AG497">
        <v>170.43014866912517</v>
      </c>
      <c r="AH497">
        <v>275.52483710781473</v>
      </c>
      <c r="AI497">
        <v>745.02056970441686</v>
      </c>
      <c r="AJ497">
        <v>11.75510767137108</v>
      </c>
      <c r="AK497">
        <v>23.288651735205697</v>
      </c>
      <c r="AL497">
        <v>41.144809076073756</v>
      </c>
      <c r="AM497">
        <v>50.930647462637147</v>
      </c>
      <c r="AN497">
        <v>59.303205459846311</v>
      </c>
      <c r="AO497">
        <v>71.841452497198759</v>
      </c>
      <c r="AP497">
        <v>84.977940792662039</v>
      </c>
      <c r="AQ497">
        <v>107.85784622400077</v>
      </c>
      <c r="AR497">
        <v>159.15285376385066</v>
      </c>
      <c r="AS497">
        <v>317.57177453125661</v>
      </c>
      <c r="AT497">
        <v>94.577854347339738</v>
      </c>
      <c r="AU497">
        <v>110.09444100123086</v>
      </c>
      <c r="AV497">
        <v>136.12774089694841</v>
      </c>
      <c r="AW497">
        <v>170.43014866912517</v>
      </c>
      <c r="AX497">
        <v>275.52483710781473</v>
      </c>
      <c r="AY497">
        <v>745.02056970441686</v>
      </c>
      <c r="AZ497">
        <v>11.75510767137108</v>
      </c>
      <c r="BA497">
        <v>23.288651735205697</v>
      </c>
      <c r="BB497">
        <v>41.144809076073756</v>
      </c>
      <c r="BC497">
        <v>50.930647462637147</v>
      </c>
      <c r="BD497">
        <v>59.303205459846311</v>
      </c>
      <c r="BE497">
        <v>71.841452497198759</v>
      </c>
      <c r="BF497">
        <v>84.977940792662039</v>
      </c>
      <c r="BG497">
        <v>107.85784622400077</v>
      </c>
      <c r="BH497">
        <v>159.15285376385066</v>
      </c>
      <c r="BI497">
        <v>317.57177453125661</v>
      </c>
      <c r="BJ497">
        <v>94.577854347339738</v>
      </c>
      <c r="BK497">
        <v>110.09444100123086</v>
      </c>
      <c r="BL497">
        <v>136.12774089694841</v>
      </c>
      <c r="BM497">
        <v>170.43014866912517</v>
      </c>
      <c r="BN497">
        <v>275.52483710781473</v>
      </c>
      <c r="BO497">
        <v>745.02056970437138</v>
      </c>
      <c r="BP497">
        <v>11.755107670997766</v>
      </c>
      <c r="BQ497">
        <v>23.288651735243601</v>
      </c>
      <c r="BR497">
        <v>41.144809076144711</v>
      </c>
      <c r="BS497">
        <v>50.930647462724878</v>
      </c>
      <c r="BT497">
        <v>59.303205459946533</v>
      </c>
      <c r="BU497">
        <v>71.841452497312815</v>
      </c>
      <c r="BV497">
        <v>84.977940792767455</v>
      </c>
      <c r="BW497">
        <v>107.85784622411173</v>
      </c>
      <c r="BX497">
        <v>159.15285376397034</v>
      </c>
      <c r="BY497">
        <v>317.57177453137308</v>
      </c>
      <c r="BZ497">
        <v>94.577854347357828</v>
      </c>
      <c r="CA497">
        <v>110.09444100123225</v>
      </c>
      <c r="CB497">
        <v>136.12774089695159</v>
      </c>
      <c r="CC497">
        <v>170.43014866912188</v>
      </c>
      <c r="CD497">
        <v>275.52483710778824</v>
      </c>
    </row>
    <row r="498" spans="2:82" x14ac:dyDescent="0.25">
      <c r="B498" s="87" t="s">
        <v>1490</v>
      </c>
      <c r="C498">
        <v>761.24944915890683</v>
      </c>
      <c r="D498">
        <v>12.001753327408291</v>
      </c>
      <c r="E498">
        <v>23.891019400364758</v>
      </c>
      <c r="F498">
        <v>42.196445626900712</v>
      </c>
      <c r="G498">
        <v>52.216491797212406</v>
      </c>
      <c r="H498">
        <v>60.774206245323164</v>
      </c>
      <c r="I498">
        <v>73.587980552143065</v>
      </c>
      <c r="J498">
        <v>86.970833843686208</v>
      </c>
      <c r="K498">
        <v>110.35829152467142</v>
      </c>
      <c r="L498">
        <v>162.73232389728719</v>
      </c>
      <c r="M498">
        <v>324.48872988972141</v>
      </c>
      <c r="N498">
        <v>96.60453680395085</v>
      </c>
      <c r="O498">
        <v>112.51132616938602</v>
      </c>
      <c r="P498">
        <v>139.15033371070788</v>
      </c>
      <c r="Q498">
        <v>174.44820642718011</v>
      </c>
      <c r="R498">
        <v>282.46896752925602</v>
      </c>
      <c r="S498">
        <v>761.24944915906212</v>
      </c>
      <c r="T498">
        <v>12.001753327339202</v>
      </c>
      <c r="U498">
        <v>23.891019400363021</v>
      </c>
      <c r="V498">
        <v>42.196445626894516</v>
      </c>
      <c r="W498">
        <v>52.216491797201265</v>
      </c>
      <c r="X498">
        <v>60.7742062453069</v>
      </c>
      <c r="Y498">
        <v>73.58798055212182</v>
      </c>
      <c r="Z498">
        <v>86.97083384366691</v>
      </c>
      <c r="AA498">
        <v>110.35829152465239</v>
      </c>
      <c r="AB498">
        <v>162.73232389727153</v>
      </c>
      <c r="AC498">
        <v>324.48872988973108</v>
      </c>
      <c r="AD498">
        <v>96.604536803958837</v>
      </c>
      <c r="AE498">
        <v>112.51132616940247</v>
      </c>
      <c r="AF498">
        <v>139.15033371072724</v>
      </c>
      <c r="AG498">
        <v>174.44820642720666</v>
      </c>
      <c r="AH498">
        <v>282.46896752930604</v>
      </c>
      <c r="AI498">
        <v>761.24944915906212</v>
      </c>
      <c r="AJ498">
        <v>12.001753327339202</v>
      </c>
      <c r="AK498">
        <v>23.891019400363021</v>
      </c>
      <c r="AL498">
        <v>42.196445626894516</v>
      </c>
      <c r="AM498">
        <v>52.216491797201265</v>
      </c>
      <c r="AN498">
        <v>60.7742062453069</v>
      </c>
      <c r="AO498">
        <v>73.58798055212182</v>
      </c>
      <c r="AP498">
        <v>86.97083384366691</v>
      </c>
      <c r="AQ498">
        <v>110.35829152465239</v>
      </c>
      <c r="AR498">
        <v>162.73232389727153</v>
      </c>
      <c r="AS498">
        <v>324.48872988973108</v>
      </c>
      <c r="AT498">
        <v>96.604536803958837</v>
      </c>
      <c r="AU498">
        <v>112.51132616940247</v>
      </c>
      <c r="AV498">
        <v>139.15033371072724</v>
      </c>
      <c r="AW498">
        <v>174.44820642720666</v>
      </c>
      <c r="AX498">
        <v>282.46896752930604</v>
      </c>
      <c r="AY498">
        <v>761.24944915906212</v>
      </c>
      <c r="AZ498">
        <v>12.001753327339202</v>
      </c>
      <c r="BA498">
        <v>23.891019400363021</v>
      </c>
      <c r="BB498">
        <v>42.196445626894516</v>
      </c>
      <c r="BC498">
        <v>52.216491797201265</v>
      </c>
      <c r="BD498">
        <v>60.7742062453069</v>
      </c>
      <c r="BE498">
        <v>73.58798055212182</v>
      </c>
      <c r="BF498">
        <v>86.97083384366691</v>
      </c>
      <c r="BG498">
        <v>110.35829152465239</v>
      </c>
      <c r="BH498">
        <v>162.73232389727153</v>
      </c>
      <c r="BI498">
        <v>324.48872988973108</v>
      </c>
      <c r="BJ498">
        <v>96.604536803958837</v>
      </c>
      <c r="BK498">
        <v>112.51132616940247</v>
      </c>
      <c r="BL498">
        <v>139.15033371072724</v>
      </c>
      <c r="BM498">
        <v>174.44820642720666</v>
      </c>
      <c r="BN498">
        <v>282.46896752930604</v>
      </c>
      <c r="BO498">
        <v>761.24944915905576</v>
      </c>
      <c r="BP498">
        <v>12.001753327323449</v>
      </c>
      <c r="BQ498">
        <v>23.891019400396683</v>
      </c>
      <c r="BR498">
        <v>42.196445626956844</v>
      </c>
      <c r="BS498">
        <v>52.216491797276277</v>
      </c>
      <c r="BT498">
        <v>60.774206245388292</v>
      </c>
      <c r="BU498">
        <v>73.587980552212684</v>
      </c>
      <c r="BV498">
        <v>86.97083384374362</v>
      </c>
      <c r="BW498">
        <v>110.35829152472543</v>
      </c>
      <c r="BX498">
        <v>162.73232389732945</v>
      </c>
      <c r="BY498">
        <v>324.48872988969163</v>
      </c>
      <c r="BZ498">
        <v>96.604536803925143</v>
      </c>
      <c r="CA498">
        <v>112.51132616934095</v>
      </c>
      <c r="CB498">
        <v>139.15033371065502</v>
      </c>
      <c r="CC498">
        <v>174.44820642712838</v>
      </c>
      <c r="CD498">
        <v>282.46896752918201</v>
      </c>
    </row>
    <row r="499" spans="2:82" x14ac:dyDescent="0.25">
      <c r="B499" s="87" t="s">
        <v>1491</v>
      </c>
      <c r="C499">
        <v>777.73402216780494</v>
      </c>
      <c r="D499">
        <v>12.127333288324117</v>
      </c>
      <c r="E499">
        <v>24.496056997804772</v>
      </c>
      <c r="F499">
        <v>43.253019441758951</v>
      </c>
      <c r="G499">
        <v>53.507865501127725</v>
      </c>
      <c r="H499">
        <v>62.251208163723931</v>
      </c>
      <c r="I499">
        <v>75.341334526600264</v>
      </c>
      <c r="J499">
        <v>88.972334917887451</v>
      </c>
      <c r="K499">
        <v>112.86929956158613</v>
      </c>
      <c r="L499">
        <v>166.3295230619284</v>
      </c>
      <c r="M499">
        <v>331.44044096836296</v>
      </c>
      <c r="N499">
        <v>98.641096482852987</v>
      </c>
      <c r="O499">
        <v>114.93409356584803</v>
      </c>
      <c r="P499">
        <v>142.17866934965403</v>
      </c>
      <c r="Q499">
        <v>178.46189199489876</v>
      </c>
      <c r="R499">
        <v>289.37985565149989</v>
      </c>
      <c r="S499">
        <v>777.73402216783006</v>
      </c>
      <c r="T499">
        <v>12.127333288153979</v>
      </c>
      <c r="U499">
        <v>24.496056997794813</v>
      </c>
      <c r="V499">
        <v>43.253019441741074</v>
      </c>
      <c r="W499">
        <v>53.507865501107432</v>
      </c>
      <c r="X499">
        <v>62.25120816370368</v>
      </c>
      <c r="Y499">
        <v>75.341334526579999</v>
      </c>
      <c r="Z499">
        <v>88.972334917876282</v>
      </c>
      <c r="AA499">
        <v>112.86929956157951</v>
      </c>
      <c r="AB499">
        <v>166.32952306193539</v>
      </c>
      <c r="AC499">
        <v>331.44044096842373</v>
      </c>
      <c r="AD499">
        <v>98.641096482876094</v>
      </c>
      <c r="AE499">
        <v>114.93409356587975</v>
      </c>
      <c r="AF499">
        <v>142.17866934969229</v>
      </c>
      <c r="AG499">
        <v>178.46189199494023</v>
      </c>
      <c r="AH499">
        <v>289.37985565155765</v>
      </c>
      <c r="AI499">
        <v>777.73402216783006</v>
      </c>
      <c r="AJ499">
        <v>12.127333288153979</v>
      </c>
      <c r="AK499">
        <v>24.496056997794813</v>
      </c>
      <c r="AL499">
        <v>43.253019441741074</v>
      </c>
      <c r="AM499">
        <v>53.507865501107432</v>
      </c>
      <c r="AN499">
        <v>62.25120816370368</v>
      </c>
      <c r="AO499">
        <v>75.341334526579999</v>
      </c>
      <c r="AP499">
        <v>88.972334917876282</v>
      </c>
      <c r="AQ499">
        <v>112.86929956157951</v>
      </c>
      <c r="AR499">
        <v>166.32952306193539</v>
      </c>
      <c r="AS499">
        <v>331.44044096842373</v>
      </c>
      <c r="AT499">
        <v>98.641096482876094</v>
      </c>
      <c r="AU499">
        <v>114.93409356587975</v>
      </c>
      <c r="AV499">
        <v>142.17866934969229</v>
      </c>
      <c r="AW499">
        <v>178.46189199494023</v>
      </c>
      <c r="AX499">
        <v>289.37985565155765</v>
      </c>
      <c r="AY499">
        <v>777.73402216783006</v>
      </c>
      <c r="AZ499">
        <v>12.127333288153979</v>
      </c>
      <c r="BA499">
        <v>24.496056997794813</v>
      </c>
      <c r="BB499">
        <v>43.253019441741074</v>
      </c>
      <c r="BC499">
        <v>53.507865501107432</v>
      </c>
      <c r="BD499">
        <v>62.25120816370368</v>
      </c>
      <c r="BE499">
        <v>75.341334526579999</v>
      </c>
      <c r="BF499">
        <v>88.972334917876282</v>
      </c>
      <c r="BG499">
        <v>112.86929956157951</v>
      </c>
      <c r="BH499">
        <v>166.32952306193539</v>
      </c>
      <c r="BI499">
        <v>331.44044096842373</v>
      </c>
      <c r="BJ499">
        <v>98.641096482876094</v>
      </c>
      <c r="BK499">
        <v>114.93409356587975</v>
      </c>
      <c r="BL499">
        <v>142.17866934969229</v>
      </c>
      <c r="BM499">
        <v>178.46189199494023</v>
      </c>
      <c r="BN499">
        <v>289.37985565155765</v>
      </c>
      <c r="BO499">
        <v>777.73402216795319</v>
      </c>
      <c r="BP499">
        <v>12.127333288289881</v>
      </c>
      <c r="BQ499">
        <v>24.496056997836739</v>
      </c>
      <c r="BR499">
        <v>43.253019441815937</v>
      </c>
      <c r="BS499">
        <v>53.507865501194495</v>
      </c>
      <c r="BT499">
        <v>62.251208163795077</v>
      </c>
      <c r="BU499">
        <v>75.34133452667956</v>
      </c>
      <c r="BV499">
        <v>88.97233491795977</v>
      </c>
      <c r="BW499">
        <v>112.8692995616618</v>
      </c>
      <c r="BX499">
        <v>166.32952306200835</v>
      </c>
      <c r="BY499">
        <v>331.44044096843658</v>
      </c>
      <c r="BZ499">
        <v>98.641096482863134</v>
      </c>
      <c r="CA499">
        <v>114.9340935658487</v>
      </c>
      <c r="CB499">
        <v>142.17866934965676</v>
      </c>
      <c r="CC499">
        <v>178.46189199490806</v>
      </c>
      <c r="CD499">
        <v>289.37985565151752</v>
      </c>
    </row>
    <row r="500" spans="2:82" x14ac:dyDescent="0.25">
      <c r="B500" s="87" t="s">
        <v>1492</v>
      </c>
      <c r="C500">
        <v>794.49511047008468</v>
      </c>
      <c r="D500">
        <v>12.172460171809787</v>
      </c>
      <c r="E500">
        <v>25.106403143475958</v>
      </c>
      <c r="F500">
        <v>44.318862040775628</v>
      </c>
      <c r="G500">
        <v>54.809559669370884</v>
      </c>
      <c r="H500">
        <v>63.739120014018638</v>
      </c>
      <c r="I500">
        <v>77.106895519196669</v>
      </c>
      <c r="J500">
        <v>90.988184235735332</v>
      </c>
      <c r="K500">
        <v>115.39766718001991</v>
      </c>
      <c r="L500">
        <v>169.95380031418821</v>
      </c>
      <c r="M500">
        <v>338.44537994629457</v>
      </c>
      <c r="N500">
        <v>100.69297688214527</v>
      </c>
      <c r="O500">
        <v>117.36965577458514</v>
      </c>
      <c r="P500">
        <v>145.2213698984842</v>
      </c>
      <c r="Q500">
        <v>182.48311607449978</v>
      </c>
      <c r="R500">
        <v>296.27912934111902</v>
      </c>
      <c r="S500">
        <v>794.49511047007513</v>
      </c>
      <c r="T500">
        <v>12.172460171947721</v>
      </c>
      <c r="U500">
        <v>25.106403143455214</v>
      </c>
      <c r="V500">
        <v>44.318862040737919</v>
      </c>
      <c r="W500">
        <v>54.809559669325182</v>
      </c>
      <c r="X500">
        <v>63.739120013966662</v>
      </c>
      <c r="Y500">
        <v>77.10689551913778</v>
      </c>
      <c r="Z500">
        <v>90.988184235678247</v>
      </c>
      <c r="AA500">
        <v>115.3976671799564</v>
      </c>
      <c r="AB500">
        <v>169.9538003141098</v>
      </c>
      <c r="AC500">
        <v>338.44537994616718</v>
      </c>
      <c r="AD500">
        <v>100.69297688211029</v>
      </c>
      <c r="AE500">
        <v>117.36965577454923</v>
      </c>
      <c r="AF500">
        <v>145.22136989844043</v>
      </c>
      <c r="AG500">
        <v>182.4831160744551</v>
      </c>
      <c r="AH500">
        <v>296.27912934106115</v>
      </c>
      <c r="AI500">
        <v>794.49511047007513</v>
      </c>
      <c r="AJ500">
        <v>12.172460171947721</v>
      </c>
      <c r="AK500">
        <v>25.106403143455214</v>
      </c>
      <c r="AL500">
        <v>44.318862040737919</v>
      </c>
      <c r="AM500">
        <v>54.809559669325182</v>
      </c>
      <c r="AN500">
        <v>63.739120013966662</v>
      </c>
      <c r="AO500">
        <v>77.10689551913778</v>
      </c>
      <c r="AP500">
        <v>90.988184235678247</v>
      </c>
      <c r="AQ500">
        <v>115.3976671799564</v>
      </c>
      <c r="AR500">
        <v>169.9538003141098</v>
      </c>
      <c r="AS500">
        <v>338.44537994616718</v>
      </c>
      <c r="AT500">
        <v>100.69297688211029</v>
      </c>
      <c r="AU500">
        <v>117.36965577454923</v>
      </c>
      <c r="AV500">
        <v>145.22136989844043</v>
      </c>
      <c r="AW500">
        <v>182.4831160744551</v>
      </c>
      <c r="AX500">
        <v>296.27912934106115</v>
      </c>
      <c r="AY500">
        <v>794.49511047007513</v>
      </c>
      <c r="AZ500">
        <v>12.172460171947721</v>
      </c>
      <c r="BA500">
        <v>25.106403143455214</v>
      </c>
      <c r="BB500">
        <v>44.318862040737919</v>
      </c>
      <c r="BC500">
        <v>54.809559669325182</v>
      </c>
      <c r="BD500">
        <v>63.739120013966662</v>
      </c>
      <c r="BE500">
        <v>77.10689551913778</v>
      </c>
      <c r="BF500">
        <v>90.988184235678247</v>
      </c>
      <c r="BG500">
        <v>115.3976671799564</v>
      </c>
      <c r="BH500">
        <v>169.9538003141098</v>
      </c>
      <c r="BI500">
        <v>338.44537994616718</v>
      </c>
      <c r="BJ500">
        <v>100.69297688211029</v>
      </c>
      <c r="BK500">
        <v>117.36965577454923</v>
      </c>
      <c r="BL500">
        <v>145.22136989844043</v>
      </c>
      <c r="BM500">
        <v>182.4831160744551</v>
      </c>
      <c r="BN500">
        <v>296.27912934106115</v>
      </c>
      <c r="BO500">
        <v>794.49511047009264</v>
      </c>
      <c r="BP500">
        <v>12.172460171678045</v>
      </c>
      <c r="BQ500">
        <v>25.106403143504032</v>
      </c>
      <c r="BR500">
        <v>44.318862040825337</v>
      </c>
      <c r="BS500">
        <v>54.809559669427749</v>
      </c>
      <c r="BT500">
        <v>63.739120014076491</v>
      </c>
      <c r="BU500">
        <v>77.106895519261471</v>
      </c>
      <c r="BV500">
        <v>90.988184235792346</v>
      </c>
      <c r="BW500">
        <v>115.397667180076</v>
      </c>
      <c r="BX500">
        <v>169.95380031424057</v>
      </c>
      <c r="BY500">
        <v>338.44537994632856</v>
      </c>
      <c r="BZ500">
        <v>100.69297688214559</v>
      </c>
      <c r="CA500">
        <v>117.36965577457599</v>
      </c>
      <c r="CB500">
        <v>145.22136989847428</v>
      </c>
      <c r="CC500">
        <v>182.48311607448773</v>
      </c>
      <c r="CD500">
        <v>296.27912934109452</v>
      </c>
    </row>
    <row r="501" spans="2:82" x14ac:dyDescent="0.25">
      <c r="B501" s="87" t="s">
        <v>1493</v>
      </c>
      <c r="C501">
        <v>811.52950485518556</v>
      </c>
      <c r="D501">
        <v>12.176151332768359</v>
      </c>
      <c r="E501">
        <v>25.722843588195651</v>
      </c>
      <c r="F501">
        <v>45.395147937546668</v>
      </c>
      <c r="G501">
        <v>56.122732745273382</v>
      </c>
      <c r="H501">
        <v>65.238886069958554</v>
      </c>
      <c r="I501">
        <v>78.885581175169719</v>
      </c>
      <c r="J501">
        <v>93.019220440172859</v>
      </c>
      <c r="K501">
        <v>117.94429928558499</v>
      </c>
      <c r="L501">
        <v>173.60604601145863</v>
      </c>
      <c r="M501">
        <v>345.50480780774848</v>
      </c>
      <c r="N501">
        <v>102.76046171331726</v>
      </c>
      <c r="O501">
        <v>119.8189292352484</v>
      </c>
      <c r="P501">
        <v>148.27976401924869</v>
      </c>
      <c r="Q501">
        <v>186.51531556299344</v>
      </c>
      <c r="R501">
        <v>303.17568292823012</v>
      </c>
      <c r="S501">
        <v>811.52950485308179</v>
      </c>
      <c r="T501">
        <v>12.176151331978454</v>
      </c>
      <c r="U501">
        <v>25.722843588051937</v>
      </c>
      <c r="V501">
        <v>45.395147937287184</v>
      </c>
      <c r="W501">
        <v>56.122732744960111</v>
      </c>
      <c r="X501">
        <v>65.238886069626844</v>
      </c>
      <c r="Y501">
        <v>78.885581174770536</v>
      </c>
      <c r="Z501">
        <v>93.019220439776532</v>
      </c>
      <c r="AA501">
        <v>117.94429928514923</v>
      </c>
      <c r="AB501">
        <v>173.6060460109839</v>
      </c>
      <c r="AC501">
        <v>345.50480780733898</v>
      </c>
      <c r="AD501">
        <v>102.76046171327586</v>
      </c>
      <c r="AE501">
        <v>119.81892923525133</v>
      </c>
      <c r="AF501">
        <v>148.27976401922203</v>
      </c>
      <c r="AG501">
        <v>186.51531556280634</v>
      </c>
      <c r="AH501">
        <v>303.17568292773785</v>
      </c>
      <c r="AI501">
        <v>811.52950485308179</v>
      </c>
      <c r="AJ501">
        <v>12.176151331978454</v>
      </c>
      <c r="AK501">
        <v>25.722843588051937</v>
      </c>
      <c r="AL501">
        <v>45.395147937287184</v>
      </c>
      <c r="AM501">
        <v>56.122732744960111</v>
      </c>
      <c r="AN501">
        <v>65.238886069626844</v>
      </c>
      <c r="AO501">
        <v>78.885581174770536</v>
      </c>
      <c r="AP501">
        <v>93.019220439776532</v>
      </c>
      <c r="AQ501">
        <v>117.94429928514923</v>
      </c>
      <c r="AR501">
        <v>173.6060460109839</v>
      </c>
      <c r="AS501">
        <v>345.50480780733898</v>
      </c>
      <c r="AT501">
        <v>102.76046171327586</v>
      </c>
      <c r="AU501">
        <v>119.81892923525133</v>
      </c>
      <c r="AV501">
        <v>148.27976401922203</v>
      </c>
      <c r="AW501">
        <v>186.51531556280634</v>
      </c>
      <c r="AX501">
        <v>303.17568292773785</v>
      </c>
      <c r="AY501">
        <v>811.52950485308179</v>
      </c>
      <c r="AZ501">
        <v>12.176151331978454</v>
      </c>
      <c r="BA501">
        <v>25.722843588051937</v>
      </c>
      <c r="BB501">
        <v>45.395147937287184</v>
      </c>
      <c r="BC501">
        <v>56.122732744960111</v>
      </c>
      <c r="BD501">
        <v>65.238886069626844</v>
      </c>
      <c r="BE501">
        <v>78.885581174770536</v>
      </c>
      <c r="BF501">
        <v>93.019220439776532</v>
      </c>
      <c r="BG501">
        <v>117.94429928514923</v>
      </c>
      <c r="BH501">
        <v>173.6060460109839</v>
      </c>
      <c r="BI501">
        <v>345.50480780733898</v>
      </c>
      <c r="BJ501">
        <v>102.76046171327586</v>
      </c>
      <c r="BK501">
        <v>119.81892923525133</v>
      </c>
      <c r="BL501">
        <v>148.27976401922203</v>
      </c>
      <c r="BM501">
        <v>186.51531556280634</v>
      </c>
      <c r="BN501">
        <v>303.17568292773785</v>
      </c>
      <c r="BO501">
        <v>811.52950485446161</v>
      </c>
      <c r="BP501">
        <v>12.176151332476469</v>
      </c>
      <c r="BQ501">
        <v>25.722843588205958</v>
      </c>
      <c r="BR501">
        <v>45.395147937564431</v>
      </c>
      <c r="BS501">
        <v>56.122732745289326</v>
      </c>
      <c r="BT501">
        <v>65.238886069969212</v>
      </c>
      <c r="BU501">
        <v>78.885581175176597</v>
      </c>
      <c r="BV501">
        <v>93.019220440165043</v>
      </c>
      <c r="BW501">
        <v>117.94429928555816</v>
      </c>
      <c r="BX501">
        <v>173.60604601139727</v>
      </c>
      <c r="BY501">
        <v>345.50480780759733</v>
      </c>
      <c r="BZ501">
        <v>102.76046171326743</v>
      </c>
      <c r="CA501">
        <v>119.818929235181</v>
      </c>
      <c r="CB501">
        <v>148.279764019163</v>
      </c>
      <c r="CC501">
        <v>186.51531556285872</v>
      </c>
      <c r="CD501">
        <v>303.17568292796341</v>
      </c>
    </row>
    <row r="502" spans="2:82" x14ac:dyDescent="0.25">
      <c r="B502" s="87" t="s">
        <v>1494</v>
      </c>
      <c r="C502">
        <v>828.8263499625541</v>
      </c>
      <c r="D502">
        <v>12.161543943274621</v>
      </c>
      <c r="E502">
        <v>26.345368874870477</v>
      </c>
      <c r="F502">
        <v>46.481715826520791</v>
      </c>
      <c r="G502">
        <v>57.447037502550629</v>
      </c>
      <c r="H502">
        <v>66.749844688593868</v>
      </c>
      <c r="I502">
        <v>80.676550263612896</v>
      </c>
      <c r="J502">
        <v>95.064418013756097</v>
      </c>
      <c r="K502">
        <v>120.50789891578327</v>
      </c>
      <c r="L502">
        <v>177.28404946695056</v>
      </c>
      <c r="M502">
        <v>352.61366872768093</v>
      </c>
      <c r="N502">
        <v>104.84191183088772</v>
      </c>
      <c r="O502">
        <v>122.28052278282499</v>
      </c>
      <c r="P502">
        <v>151.3523689709661</v>
      </c>
      <c r="Q502">
        <v>190.55853347543288</v>
      </c>
      <c r="R502">
        <v>310.07299456684086</v>
      </c>
      <c r="S502">
        <v>849.22349352205867</v>
      </c>
      <c r="T502">
        <v>19.650570757405983</v>
      </c>
      <c r="U502">
        <v>26.736813338068846</v>
      </c>
      <c r="V502">
        <v>47.218752939334451</v>
      </c>
      <c r="W502">
        <v>58.463107370540513</v>
      </c>
      <c r="X502">
        <v>68.037656545879898</v>
      </c>
      <c r="Y502">
        <v>82.354477190011721</v>
      </c>
      <c r="Z502">
        <v>97.154549891682834</v>
      </c>
      <c r="AA502">
        <v>123.25248582792449</v>
      </c>
      <c r="AB502">
        <v>181.37806490330411</v>
      </c>
      <c r="AC502">
        <v>360.71566092093468</v>
      </c>
      <c r="AD502">
        <v>107.26905855570404</v>
      </c>
      <c r="AE502">
        <v>125.15720276727183</v>
      </c>
      <c r="AF502">
        <v>154.95282465457927</v>
      </c>
      <c r="AG502">
        <v>195.30503858941577</v>
      </c>
      <c r="AH502">
        <v>318.19409993237849</v>
      </c>
      <c r="AI502">
        <v>856.92806956550498</v>
      </c>
      <c r="AJ502">
        <v>19.932032926196584</v>
      </c>
      <c r="AK502">
        <v>26.897150716530756</v>
      </c>
      <c r="AL502">
        <v>47.523646161920205</v>
      </c>
      <c r="AM502">
        <v>58.886748965322219</v>
      </c>
      <c r="AN502">
        <v>68.587412341231655</v>
      </c>
      <c r="AO502">
        <v>83.054659226744633</v>
      </c>
      <c r="AP502">
        <v>98.009744452764366</v>
      </c>
      <c r="AQ502">
        <v>124.37587991522483</v>
      </c>
      <c r="AR502">
        <v>183.06683412143374</v>
      </c>
      <c r="AS502">
        <v>364.15563873705918</v>
      </c>
      <c r="AT502">
        <v>108.31742365843064</v>
      </c>
      <c r="AU502">
        <v>126.40099379923467</v>
      </c>
      <c r="AV502">
        <v>156.4956612248163</v>
      </c>
      <c r="AW502">
        <v>197.24457418089023</v>
      </c>
      <c r="AX502">
        <v>321.39868624479453</v>
      </c>
      <c r="AY502">
        <v>837.36738831756895</v>
      </c>
      <c r="AZ502">
        <v>16.31556032221977</v>
      </c>
      <c r="BA502">
        <v>26.508219664879146</v>
      </c>
      <c r="BB502">
        <v>46.788408560536602</v>
      </c>
      <c r="BC502">
        <v>57.870667780144998</v>
      </c>
      <c r="BD502">
        <v>67.288763436900609</v>
      </c>
      <c r="BE502">
        <v>81.377549726161604</v>
      </c>
      <c r="BF502">
        <v>95.937239088528628</v>
      </c>
      <c r="BG502">
        <v>121.65604195692956</v>
      </c>
      <c r="BH502">
        <v>179.00073645738561</v>
      </c>
      <c r="BI502">
        <v>356.03073201797207</v>
      </c>
      <c r="BJ502">
        <v>105.8714785855488</v>
      </c>
      <c r="BK502">
        <v>123.50608563496563</v>
      </c>
      <c r="BL502">
        <v>152.88498303837935</v>
      </c>
      <c r="BM502">
        <v>192.57696825057917</v>
      </c>
      <c r="BN502">
        <v>313.53220989092887</v>
      </c>
      <c r="BO502">
        <v>855.01415546675298</v>
      </c>
      <c r="BP502">
        <v>19.892102078092794</v>
      </c>
      <c r="BQ502">
        <v>26.859957737015634</v>
      </c>
      <c r="BR502">
        <v>47.453807650989596</v>
      </c>
      <c r="BS502">
        <v>58.791092441488502</v>
      </c>
      <c r="BT502">
        <v>68.467334092292319</v>
      </c>
      <c r="BU502">
        <v>82.89788122829637</v>
      </c>
      <c r="BV502">
        <v>97.814349489509382</v>
      </c>
      <c r="BW502">
        <v>124.1194120893208</v>
      </c>
      <c r="BX502">
        <v>182.68490565688745</v>
      </c>
      <c r="BY502">
        <v>363.40882500030546</v>
      </c>
      <c r="BZ502">
        <v>108.09623845844635</v>
      </c>
      <c r="CA502">
        <v>126.14192609957513</v>
      </c>
      <c r="CB502">
        <v>156.17135069148841</v>
      </c>
      <c r="CC502">
        <v>196.81678901450374</v>
      </c>
      <c r="CD502">
        <v>320.67067172720658</v>
      </c>
    </row>
    <row r="503" spans="2:82" x14ac:dyDescent="0.25">
      <c r="B503" s="87" t="s">
        <v>1495</v>
      </c>
      <c r="C503">
        <v>847.37664848477596</v>
      </c>
      <c r="D503">
        <v>16.535983787415361</v>
      </c>
      <c r="E503">
        <v>26.982806317113326</v>
      </c>
      <c r="F503">
        <v>47.595043960995007</v>
      </c>
      <c r="G503">
        <v>58.808161620833808</v>
      </c>
      <c r="H503">
        <v>68.307550925306444</v>
      </c>
      <c r="I503">
        <v>82.530362869293057</v>
      </c>
      <c r="J503">
        <v>97.194401789585342</v>
      </c>
      <c r="K503">
        <v>123.18603925242603</v>
      </c>
      <c r="L503">
        <v>181.13904642568409</v>
      </c>
      <c r="M503">
        <v>360.09954168692684</v>
      </c>
      <c r="N503">
        <v>107.04554065113538</v>
      </c>
      <c r="O503">
        <v>124.90011483400475</v>
      </c>
      <c r="P503">
        <v>154.62456998135957</v>
      </c>
      <c r="Q503">
        <v>194.88658712936686</v>
      </c>
      <c r="R503">
        <v>317.49941110644789</v>
      </c>
      <c r="S503">
        <v>894.76183505590177</v>
      </c>
      <c r="T503">
        <v>21.371232035027727</v>
      </c>
      <c r="U503">
        <v>28.189518259362345</v>
      </c>
      <c r="V503">
        <v>49.782693148653756</v>
      </c>
      <c r="W503">
        <v>61.641756823308803</v>
      </c>
      <c r="X503">
        <v>71.723958603019398</v>
      </c>
      <c r="Y503">
        <v>86.810613506382495</v>
      </c>
      <c r="Z503">
        <v>102.3608499713649</v>
      </c>
      <c r="AA503">
        <v>129.83964028241741</v>
      </c>
      <c r="AB503">
        <v>190.94779875271644</v>
      </c>
      <c r="AC503">
        <v>379.39952969685754</v>
      </c>
      <c r="AD503">
        <v>112.77115534331919</v>
      </c>
      <c r="AE503">
        <v>131.62062892421253</v>
      </c>
      <c r="AF503">
        <v>163.00748605275794</v>
      </c>
      <c r="AG503">
        <v>205.76403224184747</v>
      </c>
      <c r="AH503">
        <v>335.75999555308579</v>
      </c>
      <c r="AI503">
        <v>910.59439406979811</v>
      </c>
      <c r="AJ503">
        <v>22.210704236631017</v>
      </c>
      <c r="AK503">
        <v>28.59301117744852</v>
      </c>
      <c r="AL503">
        <v>50.516918051478434</v>
      </c>
      <c r="AM503">
        <v>62.600478049306886</v>
      </c>
      <c r="AN503">
        <v>72.902806128135225</v>
      </c>
      <c r="AO503">
        <v>88.267487871851671</v>
      </c>
      <c r="AP503">
        <v>104.10413849017451</v>
      </c>
      <c r="AQ503">
        <v>132.09934987772141</v>
      </c>
      <c r="AR503">
        <v>194.31546664044782</v>
      </c>
      <c r="AS503">
        <v>386.22885266965403</v>
      </c>
      <c r="AT503">
        <v>114.83984296168832</v>
      </c>
      <c r="AU503">
        <v>134.0757151952287</v>
      </c>
      <c r="AV503">
        <v>166.05184128071605</v>
      </c>
      <c r="AW503">
        <v>209.61166668971413</v>
      </c>
      <c r="AX503">
        <v>342.12867665551181</v>
      </c>
      <c r="AY503">
        <v>867.02573703520511</v>
      </c>
      <c r="AZ503">
        <v>20.441004880384767</v>
      </c>
      <c r="BA503">
        <v>27.483225168363166</v>
      </c>
      <c r="BB503">
        <v>48.500177712242255</v>
      </c>
      <c r="BC503">
        <v>59.978374231107097</v>
      </c>
      <c r="BD503">
        <v>69.717939938136197</v>
      </c>
      <c r="BE503">
        <v>84.292877439680041</v>
      </c>
      <c r="BF503">
        <v>99.320286923248034</v>
      </c>
      <c r="BG503">
        <v>125.92710800311423</v>
      </c>
      <c r="BH503">
        <v>185.18741409595276</v>
      </c>
      <c r="BI503">
        <v>368.10265351001357</v>
      </c>
      <c r="BJ503">
        <v>109.43030184342967</v>
      </c>
      <c r="BK503">
        <v>127.7104453173023</v>
      </c>
      <c r="BL503">
        <v>158.12806717064282</v>
      </c>
      <c r="BM503">
        <v>199.43509560591076</v>
      </c>
      <c r="BN503">
        <v>325.15421715679457</v>
      </c>
      <c r="BO503">
        <v>906.39931081017392</v>
      </c>
      <c r="BP503">
        <v>22.055614709134296</v>
      </c>
      <c r="BQ503">
        <v>28.487687056048287</v>
      </c>
      <c r="BR503">
        <v>50.326307769684504</v>
      </c>
      <c r="BS503">
        <v>62.354191745476321</v>
      </c>
      <c r="BT503">
        <v>72.607722788131795</v>
      </c>
      <c r="BU503">
        <v>87.896310916710618</v>
      </c>
      <c r="BV503">
        <v>103.6548642588934</v>
      </c>
      <c r="BW503">
        <v>131.52018435627565</v>
      </c>
      <c r="BX503">
        <v>193.46250539733444</v>
      </c>
      <c r="BY503">
        <v>384.56523544979154</v>
      </c>
      <c r="BZ503">
        <v>114.34918718926617</v>
      </c>
      <c r="CA503">
        <v>133.50224717630846</v>
      </c>
      <c r="CB503">
        <v>165.33568359753079</v>
      </c>
      <c r="CC503">
        <v>208.67437175914546</v>
      </c>
      <c r="CD503">
        <v>340.54776022717215</v>
      </c>
    </row>
    <row r="504" spans="2:82" x14ac:dyDescent="0.25">
      <c r="B504" s="87" t="s">
        <v>1496</v>
      </c>
      <c r="C504">
        <v>867.59602501775294</v>
      </c>
      <c r="D504">
        <v>17.05174238883669</v>
      </c>
      <c r="E504">
        <v>27.689731770476278</v>
      </c>
      <c r="F504">
        <v>48.829600598646053</v>
      </c>
      <c r="G504">
        <v>60.31351111291761</v>
      </c>
      <c r="H504">
        <v>70.026525106009842</v>
      </c>
      <c r="I504">
        <v>84.572144653380477</v>
      </c>
      <c r="J504">
        <v>99.537578023573658</v>
      </c>
      <c r="K504">
        <v>126.12700070948232</v>
      </c>
      <c r="L504">
        <v>185.37366984564636</v>
      </c>
      <c r="M504">
        <v>368.31580430568067</v>
      </c>
      <c r="N504">
        <v>109.45506358749259</v>
      </c>
      <c r="O504">
        <v>127.74205980383604</v>
      </c>
      <c r="P504">
        <v>158.16863716429961</v>
      </c>
      <c r="Q504">
        <v>199.52382671002437</v>
      </c>
      <c r="R504">
        <v>325.35515180757767</v>
      </c>
      <c r="S504">
        <v>943.6160099723636</v>
      </c>
      <c r="T504">
        <v>23.424891595454888</v>
      </c>
      <c r="U504">
        <v>29.782921103875186</v>
      </c>
      <c r="V504">
        <v>52.58783031883889</v>
      </c>
      <c r="W504">
        <v>65.102530326646374</v>
      </c>
      <c r="X504">
        <v>75.719393851131628</v>
      </c>
      <c r="Y504">
        <v>91.622150597055693</v>
      </c>
      <c r="Z504">
        <v>107.96451807338707</v>
      </c>
      <c r="AA504">
        <v>136.91323912202409</v>
      </c>
      <c r="AB504">
        <v>201.21095218990615</v>
      </c>
      <c r="AC504">
        <v>399.42420404881091</v>
      </c>
      <c r="AD504">
        <v>118.66377762102553</v>
      </c>
      <c r="AE504">
        <v>138.53480913580714</v>
      </c>
      <c r="AF504">
        <v>171.6198769366508</v>
      </c>
      <c r="AG504">
        <v>216.92734032425363</v>
      </c>
      <c r="AH504">
        <v>354.46488882405578</v>
      </c>
      <c r="AI504">
        <v>968.82247260081476</v>
      </c>
      <c r="AJ504">
        <v>24.891202734633467</v>
      </c>
      <c r="AK504">
        <v>30.44354486154571</v>
      </c>
      <c r="AL504">
        <v>53.777180968100971</v>
      </c>
      <c r="AM504">
        <v>66.633040023109984</v>
      </c>
      <c r="AN504">
        <v>77.573652523370072</v>
      </c>
      <c r="AO504">
        <v>93.899405188849755</v>
      </c>
      <c r="AP504">
        <v>110.68116776598066</v>
      </c>
      <c r="AQ504">
        <v>140.42704302164182</v>
      </c>
      <c r="AR504">
        <v>206.43750715643375</v>
      </c>
      <c r="AS504">
        <v>409.994888625562</v>
      </c>
      <c r="AT504">
        <v>121.8565606533256</v>
      </c>
      <c r="AU504">
        <v>142.32669718620903</v>
      </c>
      <c r="AV504">
        <v>176.32534941967003</v>
      </c>
      <c r="AW504">
        <v>222.91390153313276</v>
      </c>
      <c r="AX504">
        <v>364.42075217033465</v>
      </c>
      <c r="AY504">
        <v>899.21163122011853</v>
      </c>
      <c r="AZ504">
        <v>21.628154823293396</v>
      </c>
      <c r="BA504">
        <v>28.555532080213279</v>
      </c>
      <c r="BB504">
        <v>50.381104088422248</v>
      </c>
      <c r="BC504">
        <v>62.287875532558957</v>
      </c>
      <c r="BD504">
        <v>72.372906891768693</v>
      </c>
      <c r="BE504">
        <v>87.472592154432917</v>
      </c>
      <c r="BF504">
        <v>103.00476379183984</v>
      </c>
      <c r="BG504">
        <v>130.57194551603618</v>
      </c>
      <c r="BH504">
        <v>191.91384753118874</v>
      </c>
      <c r="BI504">
        <v>381.21735233287518</v>
      </c>
      <c r="BJ504">
        <v>113.28805416411083</v>
      </c>
      <c r="BK504">
        <v>132.24929036471181</v>
      </c>
      <c r="BL504">
        <v>163.78339758086662</v>
      </c>
      <c r="BM504">
        <v>206.7928380440521</v>
      </c>
      <c r="BN504">
        <v>337.53948984872164</v>
      </c>
      <c r="BO504">
        <v>961.92159214634978</v>
      </c>
      <c r="BP504">
        <v>24.591694057399305</v>
      </c>
      <c r="BQ504">
        <v>30.256150821305017</v>
      </c>
      <c r="BR504">
        <v>53.441228760018483</v>
      </c>
      <c r="BS504">
        <v>66.20583340838941</v>
      </c>
      <c r="BT504">
        <v>77.068595732322549</v>
      </c>
      <c r="BU504">
        <v>93.271817099002192</v>
      </c>
      <c r="BV504">
        <v>109.92928406725824</v>
      </c>
      <c r="BW504">
        <v>139.46381842218184</v>
      </c>
      <c r="BX504">
        <v>205.02463126615075</v>
      </c>
      <c r="BY504">
        <v>407.24113007472931</v>
      </c>
      <c r="BZ504">
        <v>121.04538847152665</v>
      </c>
      <c r="CA504">
        <v>141.37910688635549</v>
      </c>
      <c r="CB504">
        <v>175.14301946105908</v>
      </c>
      <c r="CC504">
        <v>221.37139160163815</v>
      </c>
      <c r="CD504">
        <v>361.82764531173899</v>
      </c>
    </row>
    <row r="505" spans="2:82" x14ac:dyDescent="0.25">
      <c r="B505" s="87" t="s">
        <v>1497</v>
      </c>
      <c r="C505">
        <v>888.13957070441518</v>
      </c>
      <c r="D505">
        <v>17.640230640224832</v>
      </c>
      <c r="E505">
        <v>28.406374379012284</v>
      </c>
      <c r="F505">
        <v>50.080650531906791</v>
      </c>
      <c r="G505">
        <v>61.837463851742548</v>
      </c>
      <c r="H505">
        <v>71.764977298560552</v>
      </c>
      <c r="I505">
        <v>86.636154395468651</v>
      </c>
      <c r="J505">
        <v>101.90634950813073</v>
      </c>
      <c r="K505">
        <v>129.09904620379913</v>
      </c>
      <c r="L505">
        <v>189.65362916912929</v>
      </c>
      <c r="M505">
        <v>376.61754505939882</v>
      </c>
      <c r="N505">
        <v>111.88878092961846</v>
      </c>
      <c r="O505">
        <v>130.60912478548082</v>
      </c>
      <c r="P505">
        <v>161.74328528605542</v>
      </c>
      <c r="Q505">
        <v>204.19651661711771</v>
      </c>
      <c r="R505">
        <v>333.25818204579173</v>
      </c>
      <c r="S505">
        <v>995.98343280813253</v>
      </c>
      <c r="T505">
        <v>25.658462505652739</v>
      </c>
      <c r="U505">
        <v>31.487748221354636</v>
      </c>
      <c r="V505">
        <v>55.588166162509893</v>
      </c>
      <c r="W505">
        <v>68.801579906716753</v>
      </c>
      <c r="X505">
        <v>79.986591052506668</v>
      </c>
      <c r="Y505">
        <v>96.759093893015503</v>
      </c>
      <c r="Z505">
        <v>113.94617675007383</v>
      </c>
      <c r="AA505">
        <v>144.46249491535377</v>
      </c>
      <c r="AB505">
        <v>212.16316341291659</v>
      </c>
      <c r="AC505">
        <v>420.78082553407057</v>
      </c>
      <c r="AD505">
        <v>124.94565825419555</v>
      </c>
      <c r="AE505">
        <v>145.90079446031703</v>
      </c>
      <c r="AF505">
        <v>180.79489181120351</v>
      </c>
      <c r="AG505">
        <v>228.8198563054105</v>
      </c>
      <c r="AH505">
        <v>374.38234603921779</v>
      </c>
      <c r="AI505">
        <v>1032.2881258436191</v>
      </c>
      <c r="AJ505">
        <v>27.848280519354958</v>
      </c>
      <c r="AK505">
        <v>32.443024916741756</v>
      </c>
      <c r="AL505">
        <v>57.299531754836643</v>
      </c>
      <c r="AM505">
        <v>70.989787242744015</v>
      </c>
      <c r="AN505">
        <v>82.618329843562606</v>
      </c>
      <c r="AO505">
        <v>99.984908036804967</v>
      </c>
      <c r="AP505">
        <v>117.79315709873836</v>
      </c>
      <c r="AQ505">
        <v>149.4358199461534</v>
      </c>
      <c r="AR505">
        <v>219.55370479940217</v>
      </c>
      <c r="AS505">
        <v>435.69027619417994</v>
      </c>
      <c r="AT505">
        <v>129.43885603377498</v>
      </c>
      <c r="AU505">
        <v>151.23874792299736</v>
      </c>
      <c r="AV505">
        <v>187.42410036407497</v>
      </c>
      <c r="AW505">
        <v>237.30098506635062</v>
      </c>
      <c r="AX505">
        <v>388.54429068181287</v>
      </c>
      <c r="AY505">
        <v>932.91872242318061</v>
      </c>
      <c r="AZ505">
        <v>22.924485948883902</v>
      </c>
      <c r="BA505">
        <v>29.674020075360676</v>
      </c>
      <c r="BB505">
        <v>52.342509253216996</v>
      </c>
      <c r="BC505">
        <v>64.694723972467202</v>
      </c>
      <c r="BD505">
        <v>75.137812947778272</v>
      </c>
      <c r="BE505">
        <v>90.783556002601188</v>
      </c>
      <c r="BF505">
        <v>106.8423293944635</v>
      </c>
      <c r="BG505">
        <v>135.40948297446164</v>
      </c>
      <c r="BH505">
        <v>198.92055870567856</v>
      </c>
      <c r="BI505">
        <v>394.87354657680174</v>
      </c>
      <c r="BJ505">
        <v>117.30368213047599</v>
      </c>
      <c r="BK505">
        <v>136.96992820318368</v>
      </c>
      <c r="BL505">
        <v>169.66482130195794</v>
      </c>
      <c r="BM505">
        <v>214.44263635556396</v>
      </c>
      <c r="BN505">
        <v>350.40561408984092</v>
      </c>
      <c r="BO505">
        <v>1022.210763541535</v>
      </c>
      <c r="BP505">
        <v>27.371310273269003</v>
      </c>
      <c r="BQ505">
        <v>32.159160893623124</v>
      </c>
      <c r="BR505">
        <v>56.79284375200664</v>
      </c>
      <c r="BS505">
        <v>70.350224742016138</v>
      </c>
      <c r="BT505">
        <v>81.866958934203822</v>
      </c>
      <c r="BU505">
        <v>99.056959463687221</v>
      </c>
      <c r="BV505">
        <v>116.68727658469281</v>
      </c>
      <c r="BW505">
        <v>148.02345707529088</v>
      </c>
      <c r="BX505">
        <v>217.48639246372997</v>
      </c>
      <c r="BY505">
        <v>431.66249653811423</v>
      </c>
      <c r="BZ505">
        <v>128.25310970793001</v>
      </c>
      <c r="CA505">
        <v>149.85364833866419</v>
      </c>
      <c r="CB505">
        <v>185.69653200816791</v>
      </c>
      <c r="CC505">
        <v>235.05009845456939</v>
      </c>
      <c r="CD505">
        <v>384.76532513099579</v>
      </c>
    </row>
    <row r="506" spans="2:82" x14ac:dyDescent="0.25">
      <c r="B506" s="87" t="s">
        <v>1498</v>
      </c>
      <c r="C506">
        <v>909.30675493128467</v>
      </c>
      <c r="D506">
        <v>16.929881476817911</v>
      </c>
      <c r="E506">
        <v>29.098486922361946</v>
      </c>
      <c r="F506">
        <v>51.283241343307687</v>
      </c>
      <c r="G506">
        <v>63.300085034836592</v>
      </c>
      <c r="H506">
        <v>73.432581106390884</v>
      </c>
      <c r="I506">
        <v>88.637319696547465</v>
      </c>
      <c r="J506">
        <v>104.26302561391203</v>
      </c>
      <c r="K506">
        <v>132.08494486813879</v>
      </c>
      <c r="L506">
        <v>194.03367286675402</v>
      </c>
      <c r="M506">
        <v>385.40999143450739</v>
      </c>
      <c r="N506">
        <v>114.50161866255441</v>
      </c>
      <c r="O506">
        <v>133.71158710023224</v>
      </c>
      <c r="P506">
        <v>165.60070251740365</v>
      </c>
      <c r="Q506">
        <v>209.15561102564592</v>
      </c>
      <c r="R506">
        <v>341.52332294699926</v>
      </c>
      <c r="S506">
        <v>1051.4641855713114</v>
      </c>
      <c r="T506">
        <v>27.957680200966699</v>
      </c>
      <c r="U506">
        <v>33.251980085565016</v>
      </c>
      <c r="V506">
        <v>58.685502276421339</v>
      </c>
      <c r="W506">
        <v>72.614915400616937</v>
      </c>
      <c r="X506">
        <v>84.381725982476141</v>
      </c>
      <c r="Y506">
        <v>102.07029336995768</v>
      </c>
      <c r="Z506">
        <v>120.19320868799005</v>
      </c>
      <c r="AA506">
        <v>152.37441047413699</v>
      </c>
      <c r="AB506">
        <v>223.72408958921872</v>
      </c>
      <c r="AC506">
        <v>443.6416938623471</v>
      </c>
      <c r="AD506">
        <v>131.70844333558236</v>
      </c>
      <c r="AE506">
        <v>153.8608417873736</v>
      </c>
      <c r="AF506">
        <v>190.69903930835829</v>
      </c>
      <c r="AG506">
        <v>241.5772586143957</v>
      </c>
      <c r="AH506">
        <v>395.63212824061804</v>
      </c>
      <c r="AI506">
        <v>1101.4790401156888</v>
      </c>
      <c r="AJ506">
        <v>30.992959952614118</v>
      </c>
      <c r="AK506">
        <v>34.558888462523612</v>
      </c>
      <c r="AL506">
        <v>61.019719897546551</v>
      </c>
      <c r="AM506">
        <v>75.589407379689419</v>
      </c>
      <c r="AN506">
        <v>87.943157038088046</v>
      </c>
      <c r="AO506">
        <v>106.43702540716107</v>
      </c>
      <c r="AP506">
        <v>125.41032979547272</v>
      </c>
      <c r="AQ506">
        <v>159.12269089104151</v>
      </c>
      <c r="AR506">
        <v>233.75435635338982</v>
      </c>
      <c r="AS506">
        <v>463.85851893139846</v>
      </c>
      <c r="AT506">
        <v>137.79325895322717</v>
      </c>
      <c r="AU506">
        <v>161.09366580910742</v>
      </c>
      <c r="AV506">
        <v>199.68737539582779</v>
      </c>
      <c r="AW506">
        <v>253.12635866230613</v>
      </c>
      <c r="AX506">
        <v>414.97782335349859</v>
      </c>
      <c r="AY506">
        <v>968.38853097148717</v>
      </c>
      <c r="AZ506">
        <v>23.165844647806651</v>
      </c>
      <c r="BA506">
        <v>30.802069288702754</v>
      </c>
      <c r="BB506">
        <v>54.314971122605982</v>
      </c>
      <c r="BC506">
        <v>67.113285794305966</v>
      </c>
      <c r="BD506">
        <v>77.915892423854345</v>
      </c>
      <c r="BE506">
        <v>94.133628672981715</v>
      </c>
      <c r="BF506">
        <v>110.78962606330127</v>
      </c>
      <c r="BG506">
        <v>140.4162045905984</v>
      </c>
      <c r="BH506">
        <v>206.25691058268296</v>
      </c>
      <c r="BI506">
        <v>409.48332046473331</v>
      </c>
      <c r="BJ506">
        <v>121.6366956450304</v>
      </c>
      <c r="BK506">
        <v>142.09009685598119</v>
      </c>
      <c r="BL506">
        <v>176.03311537229152</v>
      </c>
      <c r="BM506">
        <v>222.64152337787954</v>
      </c>
      <c r="BN506">
        <v>364.07150953517709</v>
      </c>
      <c r="BO506">
        <v>1087.7316131705461</v>
      </c>
      <c r="BP506">
        <v>30.305639809209417</v>
      </c>
      <c r="BQ506">
        <v>34.163098194619167</v>
      </c>
      <c r="BR506">
        <v>60.314975511302606</v>
      </c>
      <c r="BS506">
        <v>74.703579015653403</v>
      </c>
      <c r="BT506">
        <v>86.906043609119649</v>
      </c>
      <c r="BU506">
        <v>105.16096921444132</v>
      </c>
      <c r="BV506">
        <v>123.89438982541442</v>
      </c>
      <c r="BW506">
        <v>157.19025290342745</v>
      </c>
      <c r="BX506">
        <v>230.92919084633166</v>
      </c>
      <c r="BY506">
        <v>458.35344775630227</v>
      </c>
      <c r="BZ506">
        <v>136.17292404352818</v>
      </c>
      <c r="CA506">
        <v>159.20072619264417</v>
      </c>
      <c r="CB506">
        <v>197.32703401459159</v>
      </c>
      <c r="CC506">
        <v>250.05462441797218</v>
      </c>
      <c r="CD506">
        <v>409.82625349721457</v>
      </c>
    </row>
    <row r="507" spans="2:82" x14ac:dyDescent="0.25">
      <c r="B507" s="87" t="s">
        <v>1499</v>
      </c>
      <c r="C507">
        <v>930.75441093936865</v>
      </c>
      <c r="D507">
        <v>17.262614865739028</v>
      </c>
      <c r="E507">
        <v>29.806753009407686</v>
      </c>
      <c r="F507">
        <v>52.514308577789826</v>
      </c>
      <c r="G507">
        <v>64.796469888188625</v>
      </c>
      <c r="H507">
        <v>75.138406496883775</v>
      </c>
      <c r="I507">
        <v>90.681093495502807</v>
      </c>
      <c r="J507">
        <v>106.66369879372921</v>
      </c>
      <c r="K507">
        <v>135.12196320589462</v>
      </c>
      <c r="L507">
        <v>198.48327643792041</v>
      </c>
      <c r="M507">
        <v>394.33197029102189</v>
      </c>
      <c r="N507">
        <v>117.15389494754645</v>
      </c>
      <c r="O507">
        <v>136.85878082942634</v>
      </c>
      <c r="P507">
        <v>169.51257410776017</v>
      </c>
      <c r="Q507">
        <v>214.17850692714575</v>
      </c>
      <c r="R507">
        <v>349.88584006571068</v>
      </c>
      <c r="S507">
        <v>1110.3737577391844</v>
      </c>
      <c r="T507">
        <v>30.394569545713047</v>
      </c>
      <c r="U507">
        <v>35.129628463315775</v>
      </c>
      <c r="V507">
        <v>61.981952400075855</v>
      </c>
      <c r="W507">
        <v>76.671504444469406</v>
      </c>
      <c r="X507">
        <v>89.054743564544822</v>
      </c>
      <c r="Y507">
        <v>107.71361520905502</v>
      </c>
      <c r="Z507">
        <v>126.82374481034401</v>
      </c>
      <c r="AA507">
        <v>160.76747944811132</v>
      </c>
      <c r="AB507">
        <v>235.98000039292913</v>
      </c>
      <c r="AC507">
        <v>467.84244317553112</v>
      </c>
      <c r="AD507">
        <v>138.86286085709429</v>
      </c>
      <c r="AE507">
        <v>162.27437957788874</v>
      </c>
      <c r="AF507">
        <v>201.16723962632383</v>
      </c>
      <c r="AG507">
        <v>255.06154937496268</v>
      </c>
      <c r="AH507">
        <v>418.08532171325379</v>
      </c>
      <c r="AI507">
        <v>1176.9688765345916</v>
      </c>
      <c r="AJ507">
        <v>34.439681126642114</v>
      </c>
      <c r="AK507">
        <v>36.865602797217932</v>
      </c>
      <c r="AL507">
        <v>65.075324168272886</v>
      </c>
      <c r="AM507">
        <v>80.602195545036068</v>
      </c>
      <c r="AN507">
        <v>93.743472361356211</v>
      </c>
      <c r="AO507">
        <v>113.46309333162509</v>
      </c>
      <c r="AP507">
        <v>133.70016884846186</v>
      </c>
      <c r="AQ507">
        <v>169.6625747550371</v>
      </c>
      <c r="AR507">
        <v>249.19853077973744</v>
      </c>
      <c r="AS507">
        <v>494.45357441972885</v>
      </c>
      <c r="AT507">
        <v>146.86173942771754</v>
      </c>
      <c r="AU507">
        <v>171.78395560369952</v>
      </c>
      <c r="AV507">
        <v>212.99121717740175</v>
      </c>
      <c r="AW507">
        <v>270.30454095086219</v>
      </c>
      <c r="AX507">
        <v>443.67687669177775</v>
      </c>
      <c r="AY507">
        <v>1005.5639763712174</v>
      </c>
      <c r="AZ507">
        <v>24.242146480310286</v>
      </c>
      <c r="BA507">
        <v>31.988233028847322</v>
      </c>
      <c r="BB507">
        <v>56.389931191799917</v>
      </c>
      <c r="BC507">
        <v>69.657510308629085</v>
      </c>
      <c r="BD507">
        <v>80.838797083468847</v>
      </c>
      <c r="BE507">
        <v>97.655890297035953</v>
      </c>
      <c r="BF507">
        <v>114.93408420937044</v>
      </c>
      <c r="BG507">
        <v>145.66913130812281</v>
      </c>
      <c r="BH507">
        <v>213.94845362826993</v>
      </c>
      <c r="BI507">
        <v>424.78318556231</v>
      </c>
      <c r="BJ507">
        <v>126.17405199954618</v>
      </c>
      <c r="BK507">
        <v>147.44794599543368</v>
      </c>
      <c r="BL507">
        <v>182.69621961613751</v>
      </c>
      <c r="BM507">
        <v>231.21533659908852</v>
      </c>
      <c r="BN507">
        <v>378.35377811650511</v>
      </c>
      <c r="BO507">
        <v>1159.4474950763324</v>
      </c>
      <c r="BP507">
        <v>33.516358314414099</v>
      </c>
      <c r="BQ507">
        <v>36.351027228982296</v>
      </c>
      <c r="BR507">
        <v>64.161945274985868</v>
      </c>
      <c r="BS507">
        <v>79.459947897199001</v>
      </c>
      <c r="BT507">
        <v>92.412675360974035</v>
      </c>
      <c r="BU507">
        <v>111.83156197735968</v>
      </c>
      <c r="BV507">
        <v>131.76758593330021</v>
      </c>
      <c r="BW507">
        <v>167.20338954838169</v>
      </c>
      <c r="BX507">
        <v>245.60817842852461</v>
      </c>
      <c r="BY507">
        <v>487.46390122566669</v>
      </c>
      <c r="BZ507">
        <v>144.80625337675997</v>
      </c>
      <c r="CA507">
        <v>169.38283711007264</v>
      </c>
      <c r="CB507">
        <v>209.99736133137009</v>
      </c>
      <c r="CC507">
        <v>266.40592791531918</v>
      </c>
      <c r="CD507">
        <v>437.13718085080933</v>
      </c>
    </row>
    <row r="508" spans="2:82" x14ac:dyDescent="0.25">
      <c r="B508" s="87" t="s">
        <v>1500</v>
      </c>
      <c r="C508">
        <v>952.7481987104984</v>
      </c>
      <c r="D508">
        <v>17.701296456978984</v>
      </c>
      <c r="E508">
        <v>30.541060850668217</v>
      </c>
      <c r="F508">
        <v>53.790666478369197</v>
      </c>
      <c r="G508">
        <v>66.346156316032037</v>
      </c>
      <c r="H508">
        <v>76.903469809245877</v>
      </c>
      <c r="I508">
        <v>92.792083879574733</v>
      </c>
      <c r="J508">
        <v>109.13714264543728</v>
      </c>
      <c r="K508">
        <v>138.24631459657095</v>
      </c>
      <c r="L508">
        <v>203.05550216076725</v>
      </c>
      <c r="M508">
        <v>403.48615801671849</v>
      </c>
      <c r="N508">
        <v>119.87366813735231</v>
      </c>
      <c r="O508">
        <v>140.08109555411164</v>
      </c>
      <c r="P508">
        <v>173.51637833772554</v>
      </c>
      <c r="Q508">
        <v>219.30992538864942</v>
      </c>
      <c r="R508">
        <v>358.4105588541405</v>
      </c>
      <c r="S508">
        <v>1169.3714919834324</v>
      </c>
      <c r="T508">
        <v>32.875395854085959</v>
      </c>
      <c r="U508">
        <v>37.053729997941815</v>
      </c>
      <c r="V508">
        <v>65.35026597228196</v>
      </c>
      <c r="W508">
        <v>80.795182486717707</v>
      </c>
      <c r="X508">
        <v>93.781153415857432</v>
      </c>
      <c r="Y508">
        <v>113.39802054713444</v>
      </c>
      <c r="Z508">
        <v>133.47915638257928</v>
      </c>
      <c r="AA508">
        <v>169.17253768092311</v>
      </c>
      <c r="AB508">
        <v>248.233629515525</v>
      </c>
      <c r="AC508">
        <v>492.01300372913005</v>
      </c>
      <c r="AD508">
        <v>146.00073393550591</v>
      </c>
      <c r="AE508">
        <v>170.66333565944129</v>
      </c>
      <c r="AF508">
        <v>211.60250741733978</v>
      </c>
      <c r="AG508">
        <v>268.49830937913072</v>
      </c>
      <c r="AH508">
        <v>440.43837393877914</v>
      </c>
      <c r="AI508">
        <v>1245.1435400250209</v>
      </c>
      <c r="AJ508">
        <v>37.752479784591593</v>
      </c>
      <c r="AK508">
        <v>39.094606092182246</v>
      </c>
      <c r="AL508">
        <v>68.956926843636779</v>
      </c>
      <c r="AM508">
        <v>85.3224417534569</v>
      </c>
      <c r="AN508">
        <v>99.117651353708141</v>
      </c>
      <c r="AO508">
        <v>119.89616714757756</v>
      </c>
      <c r="AP508">
        <v>141.22227962827739</v>
      </c>
      <c r="AQ508">
        <v>179.16638423005489</v>
      </c>
      <c r="AR508">
        <v>263.06967580105413</v>
      </c>
      <c r="AS508">
        <v>521.89465674683618</v>
      </c>
      <c r="AT508">
        <v>154.9743922321147</v>
      </c>
      <c r="AU508">
        <v>181.34399088838711</v>
      </c>
      <c r="AV508">
        <v>224.88208689720298</v>
      </c>
      <c r="AW508">
        <v>285.65836604008956</v>
      </c>
      <c r="AX508">
        <v>469.2909784855101</v>
      </c>
      <c r="AY508">
        <v>1040.1984030896767</v>
      </c>
      <c r="AZ508">
        <v>23.302060032302332</v>
      </c>
      <c r="BA508">
        <v>33.15633800911678</v>
      </c>
      <c r="BB508">
        <v>58.421558323815212</v>
      </c>
      <c r="BC508">
        <v>72.121584541788025</v>
      </c>
      <c r="BD508">
        <v>83.639872072841825</v>
      </c>
      <c r="BE508">
        <v>101.00137252305731</v>
      </c>
      <c r="BF508">
        <v>118.8408768781282</v>
      </c>
      <c r="BG508">
        <v>150.59514031038029</v>
      </c>
      <c r="BH508">
        <v>221.13831792506181</v>
      </c>
      <c r="BI508">
        <v>439.06539446054188</v>
      </c>
      <c r="BJ508">
        <v>130.39847132483303</v>
      </c>
      <c r="BK508">
        <v>152.42538005648674</v>
      </c>
      <c r="BL508">
        <v>188.88082361651979</v>
      </c>
      <c r="BM508">
        <v>239.14464371995487</v>
      </c>
      <c r="BN508">
        <v>391.49821120643765</v>
      </c>
      <c r="BO508">
        <v>1226.6422738887577</v>
      </c>
      <c r="BP508">
        <v>36.713012304669682</v>
      </c>
      <c r="BQ508">
        <v>38.517763341625567</v>
      </c>
      <c r="BR508">
        <v>67.942507036936746</v>
      </c>
      <c r="BS508">
        <v>84.073525916233294</v>
      </c>
      <c r="BT508">
        <v>97.686888164754293</v>
      </c>
      <c r="BU508">
        <v>118.15721384614008</v>
      </c>
      <c r="BV508">
        <v>139.17666821633395</v>
      </c>
      <c r="BW508">
        <v>176.57954580749336</v>
      </c>
      <c r="BX508">
        <v>259.31243628496844</v>
      </c>
      <c r="BY508">
        <v>514.62640461479941</v>
      </c>
      <c r="BZ508">
        <v>152.84937182880412</v>
      </c>
      <c r="CA508">
        <v>178.86748477177622</v>
      </c>
      <c r="CB508">
        <v>221.79263101480677</v>
      </c>
      <c r="CC508">
        <v>281.61685624385979</v>
      </c>
      <c r="CD508">
        <v>462.50310809877573</v>
      </c>
    </row>
    <row r="509" spans="2:82" x14ac:dyDescent="0.25">
      <c r="B509" s="87" t="s">
        <v>1501</v>
      </c>
      <c r="C509">
        <v>975.31480037564756</v>
      </c>
      <c r="D509">
        <v>18.168369233845105</v>
      </c>
      <c r="E509">
        <v>31.299418528472113</v>
      </c>
      <c r="F509">
        <v>55.108960466748456</v>
      </c>
      <c r="G509">
        <v>67.945637192965563</v>
      </c>
      <c r="H509">
        <v>78.72427938532627</v>
      </c>
      <c r="I509">
        <v>94.967162187169023</v>
      </c>
      <c r="J509">
        <v>111.6812914306863</v>
      </c>
      <c r="K509">
        <v>141.45666678095657</v>
      </c>
      <c r="L509">
        <v>207.74980565084167</v>
      </c>
      <c r="M509">
        <v>412.87336220756333</v>
      </c>
      <c r="N509">
        <v>122.66129387086505</v>
      </c>
      <c r="O509">
        <v>143.37950036932122</v>
      </c>
      <c r="P509">
        <v>177.61362814404751</v>
      </c>
      <c r="Q509">
        <v>224.55371341857142</v>
      </c>
      <c r="R509">
        <v>367.10693947492155</v>
      </c>
      <c r="S509">
        <v>1232.3481664028429</v>
      </c>
      <c r="T509">
        <v>35.390429309037856</v>
      </c>
      <c r="U509">
        <v>39.058795210361325</v>
      </c>
      <c r="V509">
        <v>68.869033021099909</v>
      </c>
      <c r="W509">
        <v>85.121591621627516</v>
      </c>
      <c r="X509">
        <v>98.759869349475025</v>
      </c>
      <c r="Y509">
        <v>119.40542174950596</v>
      </c>
      <c r="Z509">
        <v>140.53079536562819</v>
      </c>
      <c r="AA509">
        <v>178.09498729746164</v>
      </c>
      <c r="AB509">
        <v>261.25451786776955</v>
      </c>
      <c r="AC509">
        <v>517.68376412173052</v>
      </c>
      <c r="AD509">
        <v>153.58283765514906</v>
      </c>
      <c r="AE509">
        <v>179.57272834186736</v>
      </c>
      <c r="AF509">
        <v>222.68891803976251</v>
      </c>
      <c r="AG509">
        <v>282.78990343822483</v>
      </c>
      <c r="AH509">
        <v>464.24092891782226</v>
      </c>
      <c r="AI509">
        <v>1323.0254767045794</v>
      </c>
      <c r="AJ509">
        <v>40.9384326760782</v>
      </c>
      <c r="AK509">
        <v>41.423402643909974</v>
      </c>
      <c r="AL509">
        <v>73.054167859137607</v>
      </c>
      <c r="AM509">
        <v>90.395663801999078</v>
      </c>
      <c r="AN509">
        <v>104.9939433044913</v>
      </c>
      <c r="AO509">
        <v>127.0290822979574</v>
      </c>
      <c r="AP509">
        <v>149.65667149942885</v>
      </c>
      <c r="AQ509">
        <v>189.9058121886651</v>
      </c>
      <c r="AR509">
        <v>278.81547130664228</v>
      </c>
      <c r="AS509">
        <v>553.04548396526513</v>
      </c>
      <c r="AT509">
        <v>164.19986785105959</v>
      </c>
      <c r="AU509">
        <v>192.21728144067504</v>
      </c>
      <c r="AV509">
        <v>238.421370227577</v>
      </c>
      <c r="AW509">
        <v>303.19195753108971</v>
      </c>
      <c r="AX509">
        <v>498.64921362896348</v>
      </c>
      <c r="AY509">
        <v>1075.7150241979878</v>
      </c>
      <c r="AZ509">
        <v>24.151383871182517</v>
      </c>
      <c r="BA509">
        <v>34.304566723339292</v>
      </c>
      <c r="BB509">
        <v>60.426744611129109</v>
      </c>
      <c r="BC509">
        <v>74.571888021700104</v>
      </c>
      <c r="BD509">
        <v>86.445818289992644</v>
      </c>
      <c r="BE509">
        <v>104.37251406747245</v>
      </c>
      <c r="BF509">
        <v>122.79701867028976</v>
      </c>
      <c r="BG509">
        <v>155.60097518665958</v>
      </c>
      <c r="BH509">
        <v>228.46010627135678</v>
      </c>
      <c r="BI509">
        <v>453.61668059859977</v>
      </c>
      <c r="BJ509">
        <v>134.71025154575491</v>
      </c>
      <c r="BK509">
        <v>157.51182802632189</v>
      </c>
      <c r="BL509">
        <v>195.2046483222762</v>
      </c>
      <c r="BM509">
        <v>247.27336306035934</v>
      </c>
      <c r="BN509">
        <v>405.01777831137161</v>
      </c>
      <c r="BO509">
        <v>1299.1961917277781</v>
      </c>
      <c r="BP509">
        <v>39.778891846892684</v>
      </c>
      <c r="BQ509">
        <v>40.726922576587761</v>
      </c>
      <c r="BR509">
        <v>71.818953760705</v>
      </c>
      <c r="BS509">
        <v>88.853373516500071</v>
      </c>
      <c r="BT509">
        <v>103.20449610199464</v>
      </c>
      <c r="BU509">
        <v>124.82982998194845</v>
      </c>
      <c r="BV509">
        <v>147.04747546749149</v>
      </c>
      <c r="BW509">
        <v>186.58974695825592</v>
      </c>
      <c r="BX509">
        <v>273.98650078747613</v>
      </c>
      <c r="BY509">
        <v>543.7110634289902</v>
      </c>
      <c r="BZ509">
        <v>161.46965736486939</v>
      </c>
      <c r="CA509">
        <v>189.03596284256383</v>
      </c>
      <c r="CB509">
        <v>234.4481425011123</v>
      </c>
      <c r="CC509">
        <v>297.9812876741787</v>
      </c>
      <c r="CD509">
        <v>489.87392893468984</v>
      </c>
    </row>
    <row r="510" spans="2:82" x14ac:dyDescent="0.25">
      <c r="B510" s="87" t="s">
        <v>1502</v>
      </c>
      <c r="C510">
        <v>998.47103288880771</v>
      </c>
      <c r="D510">
        <v>18.655252418260861</v>
      </c>
      <c r="E510">
        <v>32.081176459181329</v>
      </c>
      <c r="F510">
        <v>56.467999784738055</v>
      </c>
      <c r="G510">
        <v>69.593570563234309</v>
      </c>
      <c r="H510">
        <v>80.599345646779071</v>
      </c>
      <c r="I510">
        <v>97.204949925897182</v>
      </c>
      <c r="J510">
        <v>114.29532052347676</v>
      </c>
      <c r="K510">
        <v>144.75257369540361</v>
      </c>
      <c r="L510">
        <v>212.56626240201098</v>
      </c>
      <c r="M510">
        <v>422.49531533743112</v>
      </c>
      <c r="N510">
        <v>125.51743222130982</v>
      </c>
      <c r="O510">
        <v>146.7553098033226</v>
      </c>
      <c r="P510">
        <v>181.80613065881346</v>
      </c>
      <c r="Q510">
        <v>229.91348159487106</v>
      </c>
      <c r="R510">
        <v>375.98318843899375</v>
      </c>
      <c r="S510">
        <v>1299.4916078381768</v>
      </c>
      <c r="T510">
        <v>38.07745748591659</v>
      </c>
      <c r="U510">
        <v>41.192444420210307</v>
      </c>
      <c r="V510">
        <v>72.612970105540128</v>
      </c>
      <c r="W510">
        <v>89.723633809374505</v>
      </c>
      <c r="X510">
        <v>104.05352478873895</v>
      </c>
      <c r="Y510">
        <v>125.79162704675356</v>
      </c>
      <c r="Z510">
        <v>148.02510203717245</v>
      </c>
      <c r="AA510">
        <v>187.57694471076411</v>
      </c>
      <c r="AB510">
        <v>275.08843944257808</v>
      </c>
      <c r="AC510">
        <v>544.93426918207501</v>
      </c>
      <c r="AD510">
        <v>161.62781934904223</v>
      </c>
      <c r="AE510">
        <v>189.02278518727422</v>
      </c>
      <c r="AF510">
        <v>234.44935148932086</v>
      </c>
      <c r="AG510">
        <v>297.96062398380667</v>
      </c>
      <c r="AH510">
        <v>489.51728457662716</v>
      </c>
      <c r="AI510">
        <v>1407.4831282503433</v>
      </c>
      <c r="AJ510">
        <v>44.545946375653919</v>
      </c>
      <c r="AK510">
        <v>43.988363732990472</v>
      </c>
      <c r="AL510">
        <v>77.557683678786887</v>
      </c>
      <c r="AM510">
        <v>95.951332739331079</v>
      </c>
      <c r="AN510">
        <v>111.4053507439349</v>
      </c>
      <c r="AO510">
        <v>134.78965573390528</v>
      </c>
      <c r="AP510">
        <v>158.81022062988907</v>
      </c>
      <c r="AQ510">
        <v>201.54284896659414</v>
      </c>
      <c r="AR510">
        <v>295.85676553927271</v>
      </c>
      <c r="AS510">
        <v>586.71977716337415</v>
      </c>
      <c r="AT510">
        <v>174.16384607185114</v>
      </c>
      <c r="AU510">
        <v>203.95481501778394</v>
      </c>
      <c r="AV510">
        <v>253.03544781447667</v>
      </c>
      <c r="AW510">
        <v>322.12144073073648</v>
      </c>
      <c r="AX510">
        <v>530.33645713461294</v>
      </c>
      <c r="AY510">
        <v>1112.6946516920714</v>
      </c>
      <c r="AZ510">
        <v>25.115624451949884</v>
      </c>
      <c r="BA510">
        <v>35.502287895579862</v>
      </c>
      <c r="BB510">
        <v>62.518052138274925</v>
      </c>
      <c r="BC510">
        <v>77.125923436075141</v>
      </c>
      <c r="BD510">
        <v>89.368753253953557</v>
      </c>
      <c r="BE510">
        <v>107.8819214284142</v>
      </c>
      <c r="BF510">
        <v>126.91196597337982</v>
      </c>
      <c r="BG510">
        <v>160.80539359798382</v>
      </c>
      <c r="BH510">
        <v>236.0690294869861</v>
      </c>
      <c r="BI510">
        <v>468.72540526130228</v>
      </c>
      <c r="BJ510">
        <v>139.18541863898147</v>
      </c>
      <c r="BK510">
        <v>162.78762771615402</v>
      </c>
      <c r="BL510">
        <v>201.76352454940144</v>
      </c>
      <c r="BM510">
        <v>255.70305469402615</v>
      </c>
      <c r="BN510">
        <v>419.03207726246802</v>
      </c>
      <c r="BO510">
        <v>1377.3970072871005</v>
      </c>
      <c r="BP510">
        <v>43.081326398795881</v>
      </c>
      <c r="BQ510">
        <v>43.096889809473062</v>
      </c>
      <c r="BR510">
        <v>75.976896719163221</v>
      </c>
      <c r="BS510">
        <v>93.979635771357337</v>
      </c>
      <c r="BT510">
        <v>109.11945134476402</v>
      </c>
      <c r="BU510">
        <v>131.98396640182656</v>
      </c>
      <c r="BV510">
        <v>155.48767535898995</v>
      </c>
      <c r="BW510">
        <v>197.32664119275177</v>
      </c>
      <c r="BX510">
        <v>289.72481235652276</v>
      </c>
      <c r="BY510">
        <v>574.87790527549816</v>
      </c>
      <c r="BZ510">
        <v>170.70265127425341</v>
      </c>
      <c r="CA510">
        <v>199.9248107868996</v>
      </c>
      <c r="CB510">
        <v>248.00267741356086</v>
      </c>
      <c r="CC510">
        <v>315.52957815138859</v>
      </c>
      <c r="CD510">
        <v>519.25002407583577</v>
      </c>
    </row>
    <row r="511" spans="2:82" x14ac:dyDescent="0.25">
      <c r="B511" s="87" t="s">
        <v>1503</v>
      </c>
      <c r="C511">
        <v>1022.2355157256159</v>
      </c>
      <c r="D511">
        <v>19.1604754909382</v>
      </c>
      <c r="E511">
        <v>32.886307825324586</v>
      </c>
      <c r="F511">
        <v>57.86766372765787</v>
      </c>
      <c r="G511">
        <v>71.289820997607791</v>
      </c>
      <c r="H511">
        <v>82.528477307513398</v>
      </c>
      <c r="I511">
        <v>99.505435393934661</v>
      </c>
      <c r="J511">
        <v>116.97971371917814</v>
      </c>
      <c r="K511">
        <v>148.13500657339247</v>
      </c>
      <c r="L511">
        <v>217.506767372056</v>
      </c>
      <c r="M511">
        <v>432.35706813184595</v>
      </c>
      <c r="N511">
        <v>128.44370242789964</v>
      </c>
      <c r="O511">
        <v>150.2108575572797</v>
      </c>
      <c r="P511">
        <v>186.09689535763079</v>
      </c>
      <c r="Q511">
        <v>235.39395055942575</v>
      </c>
      <c r="R511">
        <v>385.04866806439867</v>
      </c>
      <c r="S511">
        <v>1371.102533941068</v>
      </c>
      <c r="T511">
        <v>40.921466874338122</v>
      </c>
      <c r="U511">
        <v>43.462770720158019</v>
      </c>
      <c r="V511">
        <v>76.596114212621814</v>
      </c>
      <c r="W511">
        <v>94.618504063444661</v>
      </c>
      <c r="X511">
        <v>109.68161698086261</v>
      </c>
      <c r="Y511">
        <v>132.58051913991233</v>
      </c>
      <c r="Z511">
        <v>155.99084478775299</v>
      </c>
      <c r="AA511">
        <v>197.65542469817981</v>
      </c>
      <c r="AB511">
        <v>289.78985038595079</v>
      </c>
      <c r="AC511">
        <v>573.87136178689718</v>
      </c>
      <c r="AD511">
        <v>170.16697026724756</v>
      </c>
      <c r="AE511">
        <v>199.05066873474834</v>
      </c>
      <c r="AF511">
        <v>246.93041122953287</v>
      </c>
      <c r="AG511">
        <v>314.0733802185286</v>
      </c>
      <c r="AH511">
        <v>516.3762525378346</v>
      </c>
      <c r="AI511">
        <v>1499.0597140570433</v>
      </c>
      <c r="AJ511">
        <v>48.465938269606106</v>
      </c>
      <c r="AK511">
        <v>46.763159154959126</v>
      </c>
      <c r="AL511">
        <v>82.428245946712295</v>
      </c>
      <c r="AM511">
        <v>101.95749513734411</v>
      </c>
      <c r="AN511">
        <v>118.33245667747943</v>
      </c>
      <c r="AO511">
        <v>143.17318828895682</v>
      </c>
      <c r="AP511">
        <v>168.69731459087583</v>
      </c>
      <c r="AQ511">
        <v>214.11312870006563</v>
      </c>
      <c r="AR511">
        <v>314.26156676065392</v>
      </c>
      <c r="AS511">
        <v>623.05975837913638</v>
      </c>
      <c r="AT511">
        <v>184.9118118641986</v>
      </c>
      <c r="AU511">
        <v>216.61351000530212</v>
      </c>
      <c r="AV511">
        <v>268.79866217270467</v>
      </c>
      <c r="AW511">
        <v>342.55977834691225</v>
      </c>
      <c r="AX511">
        <v>564.57325685803016</v>
      </c>
      <c r="AY511">
        <v>1151.2276486976587</v>
      </c>
      <c r="AZ511">
        <v>26.132765724426822</v>
      </c>
      <c r="BA511">
        <v>36.75110205335443</v>
      </c>
      <c r="BB511">
        <v>64.698359977587685</v>
      </c>
      <c r="BC511">
        <v>79.787536702042033</v>
      </c>
      <c r="BD511">
        <v>92.413386664341104</v>
      </c>
      <c r="BE511">
        <v>111.53580527479002</v>
      </c>
      <c r="BF511">
        <v>131.19381265084346</v>
      </c>
      <c r="BG511">
        <v>166.21927176547268</v>
      </c>
      <c r="BH511">
        <v>243.98169696181645</v>
      </c>
      <c r="BI511">
        <v>484.42548346423177</v>
      </c>
      <c r="BJ511">
        <v>143.83403677440529</v>
      </c>
      <c r="BK511">
        <v>168.26484886720345</v>
      </c>
      <c r="BL511">
        <v>208.57259432334996</v>
      </c>
      <c r="BM511">
        <v>264.45391256896443</v>
      </c>
      <c r="BN511">
        <v>433.57583841526554</v>
      </c>
      <c r="BO511">
        <v>1461.8595367324767</v>
      </c>
      <c r="BP511">
        <v>46.38620376519296</v>
      </c>
      <c r="BQ511">
        <v>45.645068678755223</v>
      </c>
      <c r="BR511">
        <v>80.446921892676755</v>
      </c>
      <c r="BS511">
        <v>99.490246823003872</v>
      </c>
      <c r="BT511">
        <v>115.47561098500229</v>
      </c>
      <c r="BU511">
        <v>139.67311711813036</v>
      </c>
      <c r="BV511">
        <v>164.56099592346192</v>
      </c>
      <c r="BW511">
        <v>208.87193552825912</v>
      </c>
      <c r="BX511">
        <v>306.64756182256389</v>
      </c>
      <c r="BY511">
        <v>608.36310582394719</v>
      </c>
      <c r="BZ511">
        <v>180.6175797143394</v>
      </c>
      <c r="CA511">
        <v>211.61509063356391</v>
      </c>
      <c r="CB511">
        <v>262.55731940119557</v>
      </c>
      <c r="CC511">
        <v>334.39355589310804</v>
      </c>
      <c r="CD511">
        <v>550.85250136359673</v>
      </c>
    </row>
    <row r="512" spans="2:82" x14ac:dyDescent="0.25">
      <c r="B512" s="87" t="s">
        <v>1504</v>
      </c>
      <c r="C512">
        <v>1046.6273458428791</v>
      </c>
      <c r="D512">
        <v>19.683460219005774</v>
      </c>
      <c r="E512">
        <v>33.715071375664785</v>
      </c>
      <c r="F512">
        <v>59.308332034077971</v>
      </c>
      <c r="G512">
        <v>73.034828763494048</v>
      </c>
      <c r="H512">
        <v>84.512117752583805</v>
      </c>
      <c r="I512">
        <v>101.86927976774288</v>
      </c>
      <c r="J512">
        <v>119.73558901985361</v>
      </c>
      <c r="K512">
        <v>151.60561833170692</v>
      </c>
      <c r="L512">
        <v>222.57407289737338</v>
      </c>
      <c r="M512">
        <v>442.46513974274717</v>
      </c>
      <c r="N512">
        <v>131.4421348860414</v>
      </c>
      <c r="O512">
        <v>153.74887953482201</v>
      </c>
      <c r="P512">
        <v>190.48939828747376</v>
      </c>
      <c r="Q512">
        <v>241.00019631536054</v>
      </c>
      <c r="R512">
        <v>394.31293003927652</v>
      </c>
      <c r="S512">
        <v>1442.7746913657759</v>
      </c>
      <c r="T512">
        <v>40.983790998731713</v>
      </c>
      <c r="U512">
        <v>45.789470519740718</v>
      </c>
      <c r="V512">
        <v>80.666007226085426</v>
      </c>
      <c r="W512">
        <v>99.593255386358578</v>
      </c>
      <c r="X512">
        <v>115.3709808589505</v>
      </c>
      <c r="Y512">
        <v>139.41587136698038</v>
      </c>
      <c r="Z512">
        <v>163.98539255285982</v>
      </c>
      <c r="AA512">
        <v>207.74789396051699</v>
      </c>
      <c r="AB512">
        <v>304.49022910104117</v>
      </c>
      <c r="AC512">
        <v>602.77199296166907</v>
      </c>
      <c r="AD512">
        <v>178.67990920322302</v>
      </c>
      <c r="AE512">
        <v>209.03415985730476</v>
      </c>
      <c r="AF512">
        <v>259.35256291763892</v>
      </c>
      <c r="AG512">
        <v>330.09306313927891</v>
      </c>
      <c r="AH512">
        <v>543.02692332761319</v>
      </c>
      <c r="AI512">
        <v>1594.3619114714616</v>
      </c>
      <c r="AJ512">
        <v>50.899145137658159</v>
      </c>
      <c r="AK512">
        <v>49.685807698839383</v>
      </c>
      <c r="AL512">
        <v>87.547519920263042</v>
      </c>
      <c r="AM512">
        <v>108.24823762116193</v>
      </c>
      <c r="AN512">
        <v>125.5623264525404</v>
      </c>
      <c r="AO512">
        <v>151.90046058434521</v>
      </c>
      <c r="AP512">
        <v>178.97026620129387</v>
      </c>
      <c r="AQ512">
        <v>227.16018413763635</v>
      </c>
      <c r="AR512">
        <v>333.35110945717219</v>
      </c>
      <c r="AS512">
        <v>660.72801825104091</v>
      </c>
      <c r="AT512">
        <v>196.04254033812623</v>
      </c>
      <c r="AU512">
        <v>229.71686354751083</v>
      </c>
      <c r="AV512">
        <v>285.11365319279776</v>
      </c>
      <c r="AW512">
        <v>363.715516036336</v>
      </c>
      <c r="AX512">
        <v>599.99710690314612</v>
      </c>
      <c r="AY512">
        <v>1190.161865922832</v>
      </c>
      <c r="AZ512">
        <v>26.731884576679203</v>
      </c>
      <c r="BA512">
        <v>38.029487202316218</v>
      </c>
      <c r="BB512">
        <v>66.926817737808491</v>
      </c>
      <c r="BC512">
        <v>82.499918686775843</v>
      </c>
      <c r="BD512">
        <v>95.507280330911527</v>
      </c>
      <c r="BE512">
        <v>115.23950841393641</v>
      </c>
      <c r="BF512">
        <v>135.52483854097321</v>
      </c>
      <c r="BG512">
        <v>171.68815337997859</v>
      </c>
      <c r="BH512">
        <v>251.9683845032913</v>
      </c>
      <c r="BI512">
        <v>500.26496508848089</v>
      </c>
      <c r="BJ512">
        <v>148.52093586924997</v>
      </c>
      <c r="BK512">
        <v>173.783514309651</v>
      </c>
      <c r="BL512">
        <v>215.4314103077287</v>
      </c>
      <c r="BM512">
        <v>273.26090655232974</v>
      </c>
      <c r="BN512">
        <v>448.19446528986686</v>
      </c>
      <c r="BO512">
        <v>1545.1049787205179</v>
      </c>
      <c r="BP512">
        <v>45.196543228480245</v>
      </c>
      <c r="BQ512">
        <v>48.236781898736105</v>
      </c>
      <c r="BR512">
        <v>84.97334897072912</v>
      </c>
      <c r="BS512">
        <v>105.02782059783358</v>
      </c>
      <c r="BT512">
        <v>121.81455699024633</v>
      </c>
      <c r="BU512">
        <v>147.29807877818419</v>
      </c>
      <c r="BV512">
        <v>173.52054708795376</v>
      </c>
      <c r="BW512">
        <v>220.24143514391574</v>
      </c>
      <c r="BX512">
        <v>323.28518411385301</v>
      </c>
      <c r="BY512">
        <v>641.2469645182241</v>
      </c>
      <c r="BZ512">
        <v>190.33311367107379</v>
      </c>
      <c r="CA512">
        <v>223.05366250921278</v>
      </c>
      <c r="CB512">
        <v>276.79279478003326</v>
      </c>
      <c r="CC512">
        <v>352.82307131755874</v>
      </c>
      <c r="CD512">
        <v>581.65771996119861</v>
      </c>
    </row>
    <row r="513" spans="2:82" x14ac:dyDescent="0.25">
      <c r="B513" s="87" t="s">
        <v>1505</v>
      </c>
      <c r="C513">
        <v>1071.6652380265298</v>
      </c>
      <c r="D513">
        <v>20.223868086539852</v>
      </c>
      <c r="E513">
        <v>34.567863257942292</v>
      </c>
      <c r="F513">
        <v>60.790629390628922</v>
      </c>
      <c r="G513">
        <v>74.829317742642786</v>
      </c>
      <c r="H513">
        <v>86.551026393426454</v>
      </c>
      <c r="I513">
        <v>104.29747336390187</v>
      </c>
      <c r="J513">
        <v>122.56435478792545</v>
      </c>
      <c r="K513">
        <v>155.16635718455288</v>
      </c>
      <c r="L513">
        <v>227.77127331916552</v>
      </c>
      <c r="M513">
        <v>452.82654205834365</v>
      </c>
      <c r="N513">
        <v>134.51488643634826</v>
      </c>
      <c r="O513">
        <v>157.37220153121282</v>
      </c>
      <c r="P513">
        <v>194.98720825523597</v>
      </c>
      <c r="Q513">
        <v>246.73727031837478</v>
      </c>
      <c r="R513">
        <v>403.78524168123982</v>
      </c>
      <c r="S513">
        <v>1517.8436897135305</v>
      </c>
      <c r="T513">
        <v>43.46664654322651</v>
      </c>
      <c r="U513">
        <v>48.165254630499021</v>
      </c>
      <c r="V513">
        <v>84.829449438520783</v>
      </c>
      <c r="W513">
        <v>104.70140525616243</v>
      </c>
      <c r="X513">
        <v>121.23254395410619</v>
      </c>
      <c r="Y513">
        <v>146.4807435657757</v>
      </c>
      <c r="Z513">
        <v>172.27207815836221</v>
      </c>
      <c r="AA513">
        <v>218.23076341595902</v>
      </c>
      <c r="AB513">
        <v>319.77621870351146</v>
      </c>
      <c r="AC513">
        <v>632.82431390328429</v>
      </c>
      <c r="AD513">
        <v>187.53918755809514</v>
      </c>
      <c r="AE513">
        <v>219.43455915849498</v>
      </c>
      <c r="AF513">
        <v>272.30032727797982</v>
      </c>
      <c r="AG513">
        <v>346.83621853914332</v>
      </c>
      <c r="AH513">
        <v>570.96439563194281</v>
      </c>
      <c r="AI513">
        <v>1696.6272992709771</v>
      </c>
      <c r="AJ513">
        <v>54.659401018700741</v>
      </c>
      <c r="AK513">
        <v>52.76205132486318</v>
      </c>
      <c r="AL513">
        <v>92.941210144937699</v>
      </c>
      <c r="AM513">
        <v>114.89156734582834</v>
      </c>
      <c r="AN513">
        <v>133.21154937697287</v>
      </c>
      <c r="AO513">
        <v>161.15465982216134</v>
      </c>
      <c r="AP513">
        <v>189.8873411893762</v>
      </c>
      <c r="AQ513">
        <v>241.04753763881979</v>
      </c>
      <c r="AR513">
        <v>353.6870613386991</v>
      </c>
      <c r="AS513">
        <v>700.84473154840634</v>
      </c>
      <c r="AT513">
        <v>207.89887843024351</v>
      </c>
      <c r="AU513">
        <v>243.68218885616602</v>
      </c>
      <c r="AV513">
        <v>302.50942212593122</v>
      </c>
      <c r="AW513">
        <v>386.3261688937813</v>
      </c>
      <c r="AX513">
        <v>637.94307559024458</v>
      </c>
      <c r="AY513">
        <v>1230.4646858274305</v>
      </c>
      <c r="AZ513">
        <v>27.730645038055798</v>
      </c>
      <c r="BA513">
        <v>39.338386745743236</v>
      </c>
      <c r="BB513">
        <v>69.210152251393879</v>
      </c>
      <c r="BC513">
        <v>85.282993294156341</v>
      </c>
      <c r="BD513">
        <v>98.685783136949908</v>
      </c>
      <c r="BE513">
        <v>119.04914061062208</v>
      </c>
      <c r="BF513">
        <v>139.98453933782889</v>
      </c>
      <c r="BG513">
        <v>177.32404850006262</v>
      </c>
      <c r="BH513">
        <v>260.20254331807337</v>
      </c>
      <c r="BI513">
        <v>516.59129113967322</v>
      </c>
      <c r="BJ513">
        <v>153.35263952059242</v>
      </c>
      <c r="BK513">
        <v>179.47306496690484</v>
      </c>
      <c r="BL513">
        <v>222.50384557754558</v>
      </c>
      <c r="BM513">
        <v>282.35048650479058</v>
      </c>
      <c r="BN513">
        <v>463.29528602292959</v>
      </c>
      <c r="BO513">
        <v>1632.2823622060739</v>
      </c>
      <c r="BP513">
        <v>48.538337658561318</v>
      </c>
      <c r="BQ513">
        <v>50.848753064884711</v>
      </c>
      <c r="BR513">
        <v>89.546254663465959</v>
      </c>
      <c r="BS513">
        <v>110.65247133907187</v>
      </c>
      <c r="BT513">
        <v>128.28411178968466</v>
      </c>
      <c r="BU513">
        <v>155.11788060387318</v>
      </c>
      <c r="BV513">
        <v>182.75174310310186</v>
      </c>
      <c r="BW513">
        <v>231.99414355513818</v>
      </c>
      <c r="BX513">
        <v>340.51679069010464</v>
      </c>
      <c r="BY513">
        <v>675.32461373707031</v>
      </c>
      <c r="BZ513">
        <v>200.41663329014332</v>
      </c>
      <c r="CA513">
        <v>234.94864509262064</v>
      </c>
      <c r="CB513">
        <v>291.60764919378056</v>
      </c>
      <c r="CC513">
        <v>372.08354830753484</v>
      </c>
      <c r="CD513">
        <v>614.00128472225913</v>
      </c>
    </row>
    <row r="514" spans="2:82" x14ac:dyDescent="0.25">
      <c r="B514" s="87" t="s">
        <v>1506</v>
      </c>
      <c r="C514">
        <v>1097.3673519410618</v>
      </c>
      <c r="D514">
        <v>20.781521709731358</v>
      </c>
      <c r="E514">
        <v>35.445154893917113</v>
      </c>
      <c r="F514">
        <v>62.315317074031597</v>
      </c>
      <c r="G514">
        <v>76.674170622463421</v>
      </c>
      <c r="H514">
        <v>88.646140981116773</v>
      </c>
      <c r="I514">
        <v>106.79118806271842</v>
      </c>
      <c r="J514">
        <v>125.46756645902465</v>
      </c>
      <c r="K514">
        <v>158.81930908582044</v>
      </c>
      <c r="L514">
        <v>233.10160076973955</v>
      </c>
      <c r="M514">
        <v>463.44840953167011</v>
      </c>
      <c r="N514">
        <v>137.66413425565295</v>
      </c>
      <c r="O514">
        <v>161.0836282595516</v>
      </c>
      <c r="P514">
        <v>199.59385571849705</v>
      </c>
      <c r="Q514">
        <v>252.61008116319783</v>
      </c>
      <c r="R514">
        <v>413.4744691136504</v>
      </c>
      <c r="S514">
        <v>1597.3022770693237</v>
      </c>
      <c r="T514">
        <v>45.975743711447038</v>
      </c>
      <c r="U514">
        <v>50.674298774822304</v>
      </c>
      <c r="V514">
        <v>89.225310953499118</v>
      </c>
      <c r="W514">
        <v>110.09298577359753</v>
      </c>
      <c r="X514">
        <v>127.41610588196974</v>
      </c>
      <c r="Y514">
        <v>153.9332331276625</v>
      </c>
      <c r="Z514">
        <v>181.01343254621199</v>
      </c>
      <c r="AA514">
        <v>229.28951877940312</v>
      </c>
      <c r="AB514">
        <v>335.90013353885405</v>
      </c>
      <c r="AC514">
        <v>664.50498651049497</v>
      </c>
      <c r="AD514">
        <v>196.87472796030229</v>
      </c>
      <c r="AE514">
        <v>230.39251069967955</v>
      </c>
      <c r="AF514">
        <v>285.94401967836797</v>
      </c>
      <c r="AG514">
        <v>364.49432253507314</v>
      </c>
      <c r="AH514">
        <v>600.44564436718349</v>
      </c>
      <c r="AI514">
        <v>1807.0388108676789</v>
      </c>
      <c r="AJ514">
        <v>58.551761171182186</v>
      </c>
      <c r="AK514">
        <v>56.065176356582583</v>
      </c>
      <c r="AL514">
        <v>98.731621312108174</v>
      </c>
      <c r="AM514">
        <v>122.0234022747253</v>
      </c>
      <c r="AN514">
        <v>141.42055181318281</v>
      </c>
      <c r="AO514">
        <v>171.08927697904971</v>
      </c>
      <c r="AP514">
        <v>201.61243330786783</v>
      </c>
      <c r="AQ514">
        <v>255.96882575572269</v>
      </c>
      <c r="AR514">
        <v>375.53906668906689</v>
      </c>
      <c r="AS514">
        <v>743.92679692181389</v>
      </c>
      <c r="AT514">
        <v>220.62679832883876</v>
      </c>
      <c r="AU514">
        <v>258.6742709356065</v>
      </c>
      <c r="AV514">
        <v>321.18811549865251</v>
      </c>
      <c r="AW514">
        <v>410.63721433146895</v>
      </c>
      <c r="AX514">
        <v>678.78556477553707</v>
      </c>
      <c r="AY514">
        <v>1272.3276915672504</v>
      </c>
      <c r="AZ514">
        <v>28.810816964278374</v>
      </c>
      <c r="BA514">
        <v>40.697117372509183</v>
      </c>
      <c r="BB514">
        <v>71.579967390023342</v>
      </c>
      <c r="BC514">
        <v>88.170377495677457</v>
      </c>
      <c r="BD514">
        <v>101.98185804784022</v>
      </c>
      <c r="BE514">
        <v>122.99869288507315</v>
      </c>
      <c r="BF514">
        <v>144.60696406542249</v>
      </c>
      <c r="BG514">
        <v>183.16495281056814</v>
      </c>
      <c r="BH514">
        <v>268.73502157018567</v>
      </c>
      <c r="BI514">
        <v>533.50121094075303</v>
      </c>
      <c r="BJ514">
        <v>158.35576879289837</v>
      </c>
      <c r="BK514">
        <v>185.36286410730986</v>
      </c>
      <c r="BL514">
        <v>229.82534669429543</v>
      </c>
      <c r="BM514">
        <v>291.76262931368501</v>
      </c>
      <c r="BN514">
        <v>478.93273544646348</v>
      </c>
      <c r="BO514">
        <v>1725.5374143137758</v>
      </c>
      <c r="BP514">
        <v>51.4480853688423</v>
      </c>
      <c r="BQ514">
        <v>53.628906005099999</v>
      </c>
      <c r="BR514">
        <v>94.413015672639219</v>
      </c>
      <c r="BS514">
        <v>116.6386648761315</v>
      </c>
      <c r="BT514">
        <v>135.1676255202986</v>
      </c>
      <c r="BU514">
        <v>163.44070852609627</v>
      </c>
      <c r="BV514">
        <v>192.58096085608264</v>
      </c>
      <c r="BW514">
        <v>244.51302864129462</v>
      </c>
      <c r="BX514">
        <v>358.87356640033244</v>
      </c>
      <c r="BY514">
        <v>711.60478576367336</v>
      </c>
      <c r="BZ514">
        <v>211.14690680784165</v>
      </c>
      <c r="CA514">
        <v>247.60428331093129</v>
      </c>
      <c r="CB514">
        <v>307.37252684809158</v>
      </c>
      <c r="CC514">
        <v>392.60090792873683</v>
      </c>
      <c r="CD514">
        <v>648.48051511592541</v>
      </c>
    </row>
    <row r="515" spans="2:82" x14ac:dyDescent="0.25">
      <c r="B515" s="87" t="s">
        <v>1507</v>
      </c>
      <c r="C515">
        <v>1123.7513963146071</v>
      </c>
      <c r="D515">
        <v>21.356375865075304</v>
      </c>
      <c r="E515">
        <v>36.347467088909163</v>
      </c>
      <c r="F515">
        <v>63.883247067707792</v>
      </c>
      <c r="G515">
        <v>78.570375839658709</v>
      </c>
      <c r="H515">
        <v>90.79851850083196</v>
      </c>
      <c r="I515">
        <v>109.35171542728047</v>
      </c>
      <c r="J515">
        <v>128.44687084379586</v>
      </c>
      <c r="K515">
        <v>162.566640240212</v>
      </c>
      <c r="L515">
        <v>238.56835677375767</v>
      </c>
      <c r="M515">
        <v>474.33789057015105</v>
      </c>
      <c r="N515">
        <v>140.89204641027661</v>
      </c>
      <c r="O515">
        <v>164.88591761663267</v>
      </c>
      <c r="P515">
        <v>204.31280425935702</v>
      </c>
      <c r="Q515">
        <v>258.62338437987637</v>
      </c>
      <c r="R515">
        <v>423.38910294869009</v>
      </c>
      <c r="S515">
        <v>1681.3629812165641</v>
      </c>
      <c r="T515">
        <v>48.634090328419987</v>
      </c>
      <c r="U515">
        <v>53.322638405862683</v>
      </c>
      <c r="V515">
        <v>93.863943829057092</v>
      </c>
      <c r="W515">
        <v>115.78046279491063</v>
      </c>
      <c r="X515">
        <v>133.93555941239569</v>
      </c>
      <c r="Y515">
        <v>161.79011677371858</v>
      </c>
      <c r="Z515">
        <v>190.22941470223103</v>
      </c>
      <c r="AA515">
        <v>240.94964561046908</v>
      </c>
      <c r="AB515">
        <v>352.8991892168595</v>
      </c>
      <c r="AC515">
        <v>697.8868964725059</v>
      </c>
      <c r="AD515">
        <v>206.70803899551558</v>
      </c>
      <c r="AE515">
        <v>241.93395905611504</v>
      </c>
      <c r="AF515">
        <v>300.3162527631153</v>
      </c>
      <c r="AG515">
        <v>383.11234350086062</v>
      </c>
      <c r="AH515">
        <v>631.55019520830467</v>
      </c>
      <c r="AI515">
        <v>1926.2548287694237</v>
      </c>
      <c r="AJ515">
        <v>62.799154776962261</v>
      </c>
      <c r="AK515">
        <v>59.615770232670442</v>
      </c>
      <c r="AL515">
        <v>104.95394456819055</v>
      </c>
      <c r="AM515">
        <v>129.68559400569649</v>
      </c>
      <c r="AN515">
        <v>150.23555867394506</v>
      </c>
      <c r="AO515">
        <v>181.75917673921973</v>
      </c>
      <c r="AP515">
        <v>214.20969865942018</v>
      </c>
      <c r="AQ515">
        <v>272.00530889299898</v>
      </c>
      <c r="AR515">
        <v>399.02542540273635</v>
      </c>
      <c r="AS515">
        <v>790.20571500849121</v>
      </c>
      <c r="AT515">
        <v>234.29440100510206</v>
      </c>
      <c r="AU515">
        <v>274.77434403802317</v>
      </c>
      <c r="AV515">
        <v>341.25136997239395</v>
      </c>
      <c r="AW515">
        <v>436.78595990824692</v>
      </c>
      <c r="AX515">
        <v>722.76264438728469</v>
      </c>
      <c r="AY515">
        <v>1315.8375144421104</v>
      </c>
      <c r="AZ515">
        <v>29.943947882269779</v>
      </c>
      <c r="BA515">
        <v>42.108839083023149</v>
      </c>
      <c r="BB515">
        <v>74.04171943372009</v>
      </c>
      <c r="BC515">
        <v>91.168617684073496</v>
      </c>
      <c r="BD515">
        <v>105.40286607628171</v>
      </c>
      <c r="BE515">
        <v>127.0968956827743</v>
      </c>
      <c r="BF515">
        <v>149.40227928030512</v>
      </c>
      <c r="BG515">
        <v>189.22364955419607</v>
      </c>
      <c r="BH515">
        <v>277.58447075294487</v>
      </c>
      <c r="BI515">
        <v>551.03192939960923</v>
      </c>
      <c r="BJ515">
        <v>163.54128514092719</v>
      </c>
      <c r="BK515">
        <v>191.46582378648884</v>
      </c>
      <c r="BL515">
        <v>237.41194325840522</v>
      </c>
      <c r="BM515">
        <v>301.51777900396564</v>
      </c>
      <c r="BN515">
        <v>495.1404983350817</v>
      </c>
      <c r="BO515">
        <v>1825.0380757092039</v>
      </c>
      <c r="BP515">
        <v>54.664894463809652</v>
      </c>
      <c r="BQ515">
        <v>56.583821683750493</v>
      </c>
      <c r="BR515">
        <v>99.58381435929553</v>
      </c>
      <c r="BS515">
        <v>122.9967501403772</v>
      </c>
      <c r="BT515">
        <v>142.47436059641245</v>
      </c>
      <c r="BU515">
        <v>172.27602687663924</v>
      </c>
      <c r="BV515">
        <v>203.01841994492156</v>
      </c>
      <c r="BW515">
        <v>257.81035992606314</v>
      </c>
      <c r="BX515">
        <v>378.3726974120508</v>
      </c>
      <c r="BY515">
        <v>750.1232105750413</v>
      </c>
      <c r="BZ515">
        <v>222.53552054181199</v>
      </c>
      <c r="CA515">
        <v>261.03725802196118</v>
      </c>
      <c r="CB515">
        <v>324.10874123407262</v>
      </c>
      <c r="CC515">
        <v>414.41031477479879</v>
      </c>
      <c r="CD515">
        <v>685.16753991017958</v>
      </c>
    </row>
    <row r="516" spans="2:82" x14ac:dyDescent="0.25">
      <c r="B516" s="87" t="s">
        <v>1508</v>
      </c>
      <c r="C516">
        <v>1150.8348024212225</v>
      </c>
      <c r="D516">
        <v>21.948491686146255</v>
      </c>
      <c r="E516">
        <v>37.275358925835825</v>
      </c>
      <c r="F516">
        <v>65.495341827248225</v>
      </c>
      <c r="G516">
        <v>80.519004032185734</v>
      </c>
      <c r="H516">
        <v>93.009308532649996</v>
      </c>
      <c r="I516">
        <v>111.98043990718945</v>
      </c>
      <c r="J516">
        <v>131.5039853544647</v>
      </c>
      <c r="K516">
        <v>166.41057873223212</v>
      </c>
      <c r="L516">
        <v>244.17489576452203</v>
      </c>
      <c r="M516">
        <v>485.50213644013445</v>
      </c>
      <c r="N516">
        <v>144.20078072656483</v>
      </c>
      <c r="O516">
        <v>168.78178561365041</v>
      </c>
      <c r="P516">
        <v>209.14745864303396</v>
      </c>
      <c r="Q516">
        <v>264.78180810449788</v>
      </c>
      <c r="R516">
        <v>433.53732609207367</v>
      </c>
      <c r="S516">
        <v>1770.2846557314194</v>
      </c>
      <c r="T516">
        <v>51.44487737199816</v>
      </c>
      <c r="U516">
        <v>56.11794729804015</v>
      </c>
      <c r="V516">
        <v>98.758587713245163</v>
      </c>
      <c r="W516">
        <v>121.77982694475561</v>
      </c>
      <c r="X516">
        <v>140.80881254959115</v>
      </c>
      <c r="Y516">
        <v>170.07298255896347</v>
      </c>
      <c r="Z516">
        <v>199.94557440739624</v>
      </c>
      <c r="AA516">
        <v>253.24366499204939</v>
      </c>
      <c r="AB516">
        <v>370.82082424473782</v>
      </c>
      <c r="AC516">
        <v>733.06242722332479</v>
      </c>
      <c r="AD516">
        <v>217.06607678897797</v>
      </c>
      <c r="AE516">
        <v>254.09079554662267</v>
      </c>
      <c r="AF516">
        <v>315.45698044638829</v>
      </c>
      <c r="AG516">
        <v>402.74404695422533</v>
      </c>
      <c r="AH516">
        <v>664.37067134423762</v>
      </c>
      <c r="AI516">
        <v>2055.0501205121318</v>
      </c>
      <c r="AJ516">
        <v>67.386641629642355</v>
      </c>
      <c r="AK516">
        <v>63.43519115179231</v>
      </c>
      <c r="AL516">
        <v>111.6452026025501</v>
      </c>
      <c r="AM516">
        <v>137.92330850682092</v>
      </c>
      <c r="AN516">
        <v>159.70768516947822</v>
      </c>
      <c r="AO516">
        <v>193.22638910055048</v>
      </c>
      <c r="AP516">
        <v>227.7530563521504</v>
      </c>
      <c r="AQ516">
        <v>289.25182499463722</v>
      </c>
      <c r="AR516">
        <v>424.28533322194846</v>
      </c>
      <c r="AS516">
        <v>839.9533589147311</v>
      </c>
      <c r="AT516">
        <v>248.98132002107573</v>
      </c>
      <c r="AU516">
        <v>292.07662450923806</v>
      </c>
      <c r="AV516">
        <v>362.8171587272675</v>
      </c>
      <c r="AW516">
        <v>464.93113548745657</v>
      </c>
      <c r="AX516">
        <v>770.14799410615012</v>
      </c>
      <c r="AY516">
        <v>1361.0645301485806</v>
      </c>
      <c r="AZ516">
        <v>31.127522528495408</v>
      </c>
      <c r="BA516">
        <v>43.57599518161306</v>
      </c>
      <c r="BB516">
        <v>76.599582853391524</v>
      </c>
      <c r="BC516">
        <v>94.282669729216451</v>
      </c>
      <c r="BD516">
        <v>108.95429841338965</v>
      </c>
      <c r="BE516">
        <v>131.35025059317408</v>
      </c>
      <c r="BF516">
        <v>154.37809763595422</v>
      </c>
      <c r="BG516">
        <v>195.50974706221118</v>
      </c>
      <c r="BH516">
        <v>286.76493513943183</v>
      </c>
      <c r="BI516">
        <v>569.21152907792759</v>
      </c>
      <c r="BJ516">
        <v>168.91748135041442</v>
      </c>
      <c r="BK516">
        <v>197.7918392232294</v>
      </c>
      <c r="BL516">
        <v>245.2759629270594</v>
      </c>
      <c r="BM516">
        <v>311.6320788700998</v>
      </c>
      <c r="BN516">
        <v>511.94587289932377</v>
      </c>
      <c r="BO516">
        <v>1931.2614795859188</v>
      </c>
      <c r="BP516">
        <v>58.100966177515012</v>
      </c>
      <c r="BQ516">
        <v>59.726573953844259</v>
      </c>
      <c r="BR516">
        <v>105.08136777283539</v>
      </c>
      <c r="BS516">
        <v>129.75455384423304</v>
      </c>
      <c r="BT516">
        <v>150.23598507019997</v>
      </c>
      <c r="BU516">
        <v>181.66232958304397</v>
      </c>
      <c r="BV516">
        <v>214.11011350878238</v>
      </c>
      <c r="BW516">
        <v>271.94527436107523</v>
      </c>
      <c r="BX516">
        <v>399.10125158505991</v>
      </c>
      <c r="BY516">
        <v>791.05065094654901</v>
      </c>
      <c r="BZ516">
        <v>234.63250014946834</v>
      </c>
      <c r="CA516">
        <v>275.30660459676096</v>
      </c>
      <c r="CB516">
        <v>341.89011703149953</v>
      </c>
      <c r="CC516">
        <v>437.61023981102011</v>
      </c>
      <c r="CD516">
        <v>724.23082258782438</v>
      </c>
    </row>
    <row r="517" spans="2:82" x14ac:dyDescent="0.25">
      <c r="B517" s="87" t="s">
        <v>1509</v>
      </c>
      <c r="C517">
        <v>1178.6348896962641</v>
      </c>
      <c r="D517">
        <v>22.558014031677303</v>
      </c>
      <c r="E517">
        <v>38.229422604643787</v>
      </c>
      <c r="F517">
        <v>67.152584465957858</v>
      </c>
      <c r="G517">
        <v>82.521196482150287</v>
      </c>
      <c r="H517">
        <v>95.279739875414805</v>
      </c>
      <c r="I517">
        <v>114.67882607615113</v>
      </c>
      <c r="J517">
        <v>134.64069039718228</v>
      </c>
      <c r="K517">
        <v>170.35341020766518</v>
      </c>
      <c r="L517">
        <v>249.92462619287525</v>
      </c>
      <c r="M517">
        <v>496.94832099358155</v>
      </c>
      <c r="N517">
        <v>147.59249238461095</v>
      </c>
      <c r="O517">
        <v>172.77392004055466</v>
      </c>
      <c r="P517">
        <v>214.10118300303702</v>
      </c>
      <c r="Q517">
        <v>271.08988627142782</v>
      </c>
      <c r="R517">
        <v>443.92708540525098</v>
      </c>
      <c r="S517">
        <v>1857.4276753722852</v>
      </c>
      <c r="T517">
        <v>51.390457366008405</v>
      </c>
      <c r="U517">
        <v>58.933100215830173</v>
      </c>
      <c r="V517">
        <v>103.66803987316374</v>
      </c>
      <c r="W517">
        <v>127.75579925598244</v>
      </c>
      <c r="X517">
        <v>147.6068961856698</v>
      </c>
      <c r="Y517">
        <v>178.22503815685008</v>
      </c>
      <c r="Z517">
        <v>209.47348066395679</v>
      </c>
      <c r="AA517">
        <v>265.26923198901926</v>
      </c>
      <c r="AB517">
        <v>388.32327363539935</v>
      </c>
      <c r="AC517">
        <v>767.37709808523641</v>
      </c>
      <c r="AD517">
        <v>227.15139977845936</v>
      </c>
      <c r="AE517">
        <v>265.91555446380289</v>
      </c>
      <c r="AF517">
        <v>330.18010087580603</v>
      </c>
      <c r="AG517">
        <v>421.82873741967035</v>
      </c>
      <c r="AH517">
        <v>696.23364285422053</v>
      </c>
      <c r="AI517">
        <v>2173.1540306264214</v>
      </c>
      <c r="AJ517">
        <v>62.05427025757043</v>
      </c>
      <c r="AK517">
        <v>67.153393050336547</v>
      </c>
      <c r="AL517">
        <v>118.1056811082078</v>
      </c>
      <c r="AM517">
        <v>145.76411223872856</v>
      </c>
      <c r="AN517">
        <v>168.59716427444744</v>
      </c>
      <c r="AO517">
        <v>203.87257611140762</v>
      </c>
      <c r="AP517">
        <v>240.22748860213875</v>
      </c>
      <c r="AQ517">
        <v>305.05697441416538</v>
      </c>
      <c r="AR517">
        <v>447.36833840342342</v>
      </c>
      <c r="AS517">
        <v>885.35824227770468</v>
      </c>
      <c r="AT517">
        <v>262.34083011440907</v>
      </c>
      <c r="AU517">
        <v>307.78346717923961</v>
      </c>
      <c r="AV517">
        <v>382.37763711064963</v>
      </c>
      <c r="AW517">
        <v>490.40589123481055</v>
      </c>
      <c r="AX517">
        <v>812.8733880545135</v>
      </c>
      <c r="AY517">
        <v>1398.9570363506332</v>
      </c>
      <c r="AZ517">
        <v>29.071991601563393</v>
      </c>
      <c r="BA517">
        <v>44.926425534927574</v>
      </c>
      <c r="BB517">
        <v>78.928756890448994</v>
      </c>
      <c r="BC517">
        <v>97.063730323397863</v>
      </c>
      <c r="BD517">
        <v>112.06608427348287</v>
      </c>
      <c r="BE517">
        <v>135.01691419286146</v>
      </c>
      <c r="BF517">
        <v>158.61274143460292</v>
      </c>
      <c r="BG517">
        <v>200.81355946441923</v>
      </c>
      <c r="BH517">
        <v>294.47492528275649</v>
      </c>
      <c r="BI517">
        <v>584.47934909049945</v>
      </c>
      <c r="BJ517">
        <v>173.4179220822829</v>
      </c>
      <c r="BK517">
        <v>203.07595445689947</v>
      </c>
      <c r="BL517">
        <v>251.8332667680167</v>
      </c>
      <c r="BM517">
        <v>320.01488444845091</v>
      </c>
      <c r="BN517">
        <v>525.76609094167122</v>
      </c>
      <c r="BO517">
        <v>2017.1224469204531</v>
      </c>
      <c r="BP517">
        <v>50.09084788283144</v>
      </c>
      <c r="BQ517">
        <v>62.559682811785905</v>
      </c>
      <c r="BR517">
        <v>109.96757212086743</v>
      </c>
      <c r="BS517">
        <v>135.6130143635153</v>
      </c>
      <c r="BT517">
        <v>156.80241904143483</v>
      </c>
      <c r="BU517">
        <v>189.44495925633998</v>
      </c>
      <c r="BV517">
        <v>223.16925431845851</v>
      </c>
      <c r="BW517">
        <v>283.38289422830633</v>
      </c>
      <c r="BX517">
        <v>415.79077996107122</v>
      </c>
      <c r="BY517">
        <v>823.97549652308533</v>
      </c>
      <c r="BZ517">
        <v>244.31686290008585</v>
      </c>
      <c r="CA517">
        <v>286.69827500780298</v>
      </c>
      <c r="CB517">
        <v>356.05971348950794</v>
      </c>
      <c r="CC517">
        <v>456.00805906726816</v>
      </c>
      <c r="CD517">
        <v>754.98292609445662</v>
      </c>
    </row>
    <row r="518" spans="2:82" x14ac:dyDescent="0.25">
      <c r="B518" s="87" t="s">
        <v>1510</v>
      </c>
      <c r="C518">
        <v>1207.1690020270801</v>
      </c>
      <c r="D518">
        <v>23.185153362672477</v>
      </c>
      <c r="E518">
        <v>39.210280681912096</v>
      </c>
      <c r="F518">
        <v>68.856013230608966</v>
      </c>
      <c r="G518">
        <v>84.578158503410265</v>
      </c>
      <c r="H518">
        <v>97.611112695202991</v>
      </c>
      <c r="I518">
        <v>117.44841149796895</v>
      </c>
      <c r="J518">
        <v>137.85882643137481</v>
      </c>
      <c r="K518">
        <v>174.39747798087282</v>
      </c>
      <c r="L518">
        <v>255.82101627048939</v>
      </c>
      <c r="M518">
        <v>508.68366640574351</v>
      </c>
      <c r="N518">
        <v>151.06934298159504</v>
      </c>
      <c r="O518">
        <v>176.86499487944144</v>
      </c>
      <c r="P518">
        <v>219.17731958347062</v>
      </c>
      <c r="Q518">
        <v>277.55208959082717</v>
      </c>
      <c r="R518">
        <v>454.5661550489113</v>
      </c>
      <c r="S518">
        <v>1947.8231696155581</v>
      </c>
      <c r="T518">
        <v>54.010622513099264</v>
      </c>
      <c r="U518">
        <v>61.767688865867669</v>
      </c>
      <c r="V518">
        <v>108.62207949177966</v>
      </c>
      <c r="W518">
        <v>133.81299221915725</v>
      </c>
      <c r="X518">
        <v>154.5252689502031</v>
      </c>
      <c r="Y518">
        <v>186.55417296259202</v>
      </c>
      <c r="Z518">
        <v>219.24360700887146</v>
      </c>
      <c r="AA518">
        <v>277.63198260690308</v>
      </c>
      <c r="AB518">
        <v>406.34258131834792</v>
      </c>
      <c r="AC518">
        <v>802.71367429062525</v>
      </c>
      <c r="AD518">
        <v>237.5469400313732</v>
      </c>
      <c r="AE518">
        <v>278.1189776456394</v>
      </c>
      <c r="AF518">
        <v>345.38395610086724</v>
      </c>
      <c r="AG518">
        <v>441.5954217292616</v>
      </c>
      <c r="AH518">
        <v>729.34379526372334</v>
      </c>
      <c r="AI518">
        <v>2293.6878257631047</v>
      </c>
      <c r="AJ518">
        <v>66.685173760432534</v>
      </c>
      <c r="AK518">
        <v>70.700880600464743</v>
      </c>
      <c r="AL518">
        <v>124.29543377123208</v>
      </c>
      <c r="AM518">
        <v>153.34839767680927</v>
      </c>
      <c r="AN518">
        <v>177.27011754108636</v>
      </c>
      <c r="AO518">
        <v>214.35158579761472</v>
      </c>
      <c r="AP518">
        <v>252.6119935974302</v>
      </c>
      <c r="AQ518">
        <v>320.84262913685791</v>
      </c>
      <c r="AR518">
        <v>470.50675835957537</v>
      </c>
      <c r="AS518">
        <v>930.93894869832866</v>
      </c>
      <c r="AT518">
        <v>275.79001166098499</v>
      </c>
      <c r="AU518">
        <v>323.65295754886267</v>
      </c>
      <c r="AV518">
        <v>402.16741303370867</v>
      </c>
      <c r="AW518">
        <v>516.36283559283322</v>
      </c>
      <c r="AX518">
        <v>856.75250060280916</v>
      </c>
      <c r="AY518">
        <v>1436.5188452361913</v>
      </c>
      <c r="AZ518">
        <v>29.427486348522876</v>
      </c>
      <c r="BA518">
        <v>46.160762530090402</v>
      </c>
      <c r="BB518">
        <v>81.070842489728477</v>
      </c>
      <c r="BC518">
        <v>99.653884501926626</v>
      </c>
      <c r="BD518">
        <v>115.00041204450039</v>
      </c>
      <c r="BE518">
        <v>138.51407677713789</v>
      </c>
      <c r="BF518">
        <v>162.6954436158708</v>
      </c>
      <c r="BG518">
        <v>205.9658009556029</v>
      </c>
      <c r="BH518">
        <v>302.00141451649824</v>
      </c>
      <c r="BI518">
        <v>599.41682232328992</v>
      </c>
      <c r="BJ518">
        <v>177.83580659612332</v>
      </c>
      <c r="BK518">
        <v>208.27921530428785</v>
      </c>
      <c r="BL518">
        <v>258.29884082633976</v>
      </c>
      <c r="BM518">
        <v>328.32866671994304</v>
      </c>
      <c r="BN518">
        <v>539.57179240898245</v>
      </c>
      <c r="BO518">
        <v>2100.3426206125059</v>
      </c>
      <c r="BP518">
        <v>52.425817688567598</v>
      </c>
      <c r="BQ518">
        <v>65.002671914635826</v>
      </c>
      <c r="BR518">
        <v>114.20986155354034</v>
      </c>
      <c r="BS518">
        <v>140.78223334057773</v>
      </c>
      <c r="BT518">
        <v>162.68358752532311</v>
      </c>
      <c r="BU518">
        <v>196.52426187121537</v>
      </c>
      <c r="BV518">
        <v>231.5395974268672</v>
      </c>
      <c r="BW518">
        <v>294.06666222145918</v>
      </c>
      <c r="BX518">
        <v>431.48860775050298</v>
      </c>
      <c r="BY518">
        <v>855.04527539524975</v>
      </c>
      <c r="BZ518">
        <v>253.50076117400275</v>
      </c>
      <c r="CA518">
        <v>297.56595246786736</v>
      </c>
      <c r="CB518">
        <v>369.6075841220362</v>
      </c>
      <c r="CC518">
        <v>473.79846012694088</v>
      </c>
      <c r="CD518">
        <v>785.10019008112533</v>
      </c>
    </row>
    <row r="519" spans="2:82" x14ac:dyDescent="0.25">
      <c r="B519" s="87" t="s">
        <v>1511</v>
      </c>
      <c r="C519">
        <v>1236.4546137240457</v>
      </c>
      <c r="D519">
        <v>23.830171980963726</v>
      </c>
      <c r="E519">
        <v>40.218584327002382</v>
      </c>
      <c r="F519">
        <v>70.606717859073925</v>
      </c>
      <c r="G519">
        <v>86.691155011262367</v>
      </c>
      <c r="H519">
        <v>100.00479315662685</v>
      </c>
      <c r="I519">
        <v>120.29080197975215</v>
      </c>
      <c r="J519">
        <v>141.16029257225514</v>
      </c>
      <c r="K519">
        <v>178.54518416403627</v>
      </c>
      <c r="L519">
        <v>261.86759995590222</v>
      </c>
      <c r="M519">
        <v>520.71546684535451</v>
      </c>
      <c r="N519">
        <v>154.63350873408677</v>
      </c>
      <c r="O519">
        <v>181.05768301422026</v>
      </c>
      <c r="P519">
        <v>224.37920515247572</v>
      </c>
      <c r="Q519">
        <v>284.17285181047151</v>
      </c>
      <c r="R519">
        <v>465.46218923102651</v>
      </c>
      <c r="S519">
        <v>2042.4913722488886</v>
      </c>
      <c r="T519">
        <v>56.785571401986324</v>
      </c>
      <c r="U519">
        <v>64.730674257989406</v>
      </c>
      <c r="V519">
        <v>113.79886071085666</v>
      </c>
      <c r="W519">
        <v>140.14017624287004</v>
      </c>
      <c r="X519">
        <v>161.74790120141131</v>
      </c>
      <c r="Y519">
        <v>195.24915057478574</v>
      </c>
      <c r="Z519">
        <v>229.44368800882916</v>
      </c>
      <c r="AA519">
        <v>290.53985189888488</v>
      </c>
      <c r="AB519">
        <v>425.15521530947365</v>
      </c>
      <c r="AC519">
        <v>839.59096958772125</v>
      </c>
      <c r="AD519">
        <v>248.39246039881243</v>
      </c>
      <c r="AE519">
        <v>290.8509645288317</v>
      </c>
      <c r="AF519">
        <v>361.24852054424167</v>
      </c>
      <c r="AG519">
        <v>462.23956452558889</v>
      </c>
      <c r="AH519">
        <v>763.94709809630774</v>
      </c>
      <c r="AI519">
        <v>2421.2882241192988</v>
      </c>
      <c r="AJ519">
        <v>70.301390371152081</v>
      </c>
      <c r="AK519">
        <v>74.42901155067598</v>
      </c>
      <c r="AL519">
        <v>130.80087903455734</v>
      </c>
      <c r="AM519">
        <v>161.32320569000342</v>
      </c>
      <c r="AN519">
        <v>186.39087969499252</v>
      </c>
      <c r="AO519">
        <v>225.38016823096228</v>
      </c>
      <c r="AP519">
        <v>265.65777069886224</v>
      </c>
      <c r="AQ519">
        <v>337.48214983570404</v>
      </c>
      <c r="AR519">
        <v>494.90443306949419</v>
      </c>
      <c r="AS519">
        <v>978.98053727132628</v>
      </c>
      <c r="AT519">
        <v>289.95979666081388</v>
      </c>
      <c r="AU519">
        <v>340.37144987347307</v>
      </c>
      <c r="AV519">
        <v>423.02010926322589</v>
      </c>
      <c r="AW519">
        <v>543.74432186904664</v>
      </c>
      <c r="AX519">
        <v>903.0769497678491</v>
      </c>
      <c r="AY519">
        <v>1474.5518105825292</v>
      </c>
      <c r="AZ519">
        <v>30.125017636286806</v>
      </c>
      <c r="BA519">
        <v>47.409041146113346</v>
      </c>
      <c r="BB519">
        <v>83.236038827174667</v>
      </c>
      <c r="BC519">
        <v>102.27018895829022</v>
      </c>
      <c r="BD519">
        <v>117.9619000169414</v>
      </c>
      <c r="BE519">
        <v>142.04265386656064</v>
      </c>
      <c r="BF519">
        <v>166.81488370191335</v>
      </c>
      <c r="BG519">
        <v>211.16429865482596</v>
      </c>
      <c r="BH519">
        <v>309.59553493295243</v>
      </c>
      <c r="BI519">
        <v>614.48821548552041</v>
      </c>
      <c r="BJ519">
        <v>182.29326937433433</v>
      </c>
      <c r="BK519">
        <v>213.53014876056116</v>
      </c>
      <c r="BL519">
        <v>264.82408213564884</v>
      </c>
      <c r="BM519">
        <v>336.72482217826723</v>
      </c>
      <c r="BN519">
        <v>553.521903315391</v>
      </c>
      <c r="BO519">
        <v>2185.5419681147537</v>
      </c>
      <c r="BP519">
        <v>54.134258122368756</v>
      </c>
      <c r="BQ519">
        <v>67.474963214346232</v>
      </c>
      <c r="BR519">
        <v>118.5036095572539</v>
      </c>
      <c r="BS519">
        <v>146.01836353128729</v>
      </c>
      <c r="BT519">
        <v>168.64316678201695</v>
      </c>
      <c r="BU519">
        <v>203.70715037718594</v>
      </c>
      <c r="BV519">
        <v>240.04584738310228</v>
      </c>
      <c r="BW519">
        <v>304.9356173353633</v>
      </c>
      <c r="BX519">
        <v>447.46867331147041</v>
      </c>
      <c r="BY519">
        <v>886.66705274688491</v>
      </c>
      <c r="BZ519">
        <v>262.84536974669402</v>
      </c>
      <c r="CA519">
        <v>308.62520696488934</v>
      </c>
      <c r="CB519">
        <v>383.39803736476438</v>
      </c>
      <c r="CC519">
        <v>491.93510379687194</v>
      </c>
      <c r="CD519">
        <v>815.84036738839461</v>
      </c>
    </row>
    <row r="520" spans="2:82" x14ac:dyDescent="0.25">
      <c r="B520" s="87" t="s">
        <v>1512</v>
      </c>
      <c r="C520">
        <v>1266.5094103181691</v>
      </c>
      <c r="D520">
        <v>24.493373876566665</v>
      </c>
      <c r="E520">
        <v>41.255012071424801</v>
      </c>
      <c r="F520">
        <v>72.405836895589943</v>
      </c>
      <c r="G520">
        <v>88.861507216549114</v>
      </c>
      <c r="H520">
        <v>102.46220936498963</v>
      </c>
      <c r="I520">
        <v>123.20766800950905</v>
      </c>
      <c r="J520">
        <v>144.5470456958688</v>
      </c>
      <c r="K520">
        <v>182.79899079251041</v>
      </c>
      <c r="L520">
        <v>268.06798202232505</v>
      </c>
      <c r="M520">
        <v>533.05110825254542</v>
      </c>
      <c r="N520">
        <v>158.28718732355583</v>
      </c>
      <c r="O520">
        <v>185.3546668224165</v>
      </c>
      <c r="P520">
        <v>229.71018465098487</v>
      </c>
      <c r="Q520">
        <v>290.9565913105572</v>
      </c>
      <c r="R520">
        <v>476.6227653841205</v>
      </c>
      <c r="S520">
        <v>2141.6666280689815</v>
      </c>
      <c r="T520">
        <v>59.70278453183704</v>
      </c>
      <c r="U520">
        <v>67.829875309079668</v>
      </c>
      <c r="V520">
        <v>119.2119486758458</v>
      </c>
      <c r="W520">
        <v>146.75373416150657</v>
      </c>
      <c r="X520">
        <v>169.2932438603722</v>
      </c>
      <c r="Y520">
        <v>204.33197262343361</v>
      </c>
      <c r="Z520">
        <v>240.09928309707945</v>
      </c>
      <c r="AA520">
        <v>304.0250103063147</v>
      </c>
      <c r="AB520">
        <v>444.80776451442716</v>
      </c>
      <c r="AC520">
        <v>878.09952164223091</v>
      </c>
      <c r="AD520">
        <v>259.71439568533873</v>
      </c>
      <c r="AE520">
        <v>304.14249701325713</v>
      </c>
      <c r="AF520">
        <v>377.81243595434245</v>
      </c>
      <c r="AG520">
        <v>483.81180220857351</v>
      </c>
      <c r="AH520">
        <v>800.12881048121108</v>
      </c>
      <c r="AI520">
        <v>2555.9888319013289</v>
      </c>
      <c r="AJ520">
        <v>74.304766625039591</v>
      </c>
      <c r="AK520">
        <v>78.350659531220089</v>
      </c>
      <c r="AL520">
        <v>137.64130841164243</v>
      </c>
      <c r="AM520">
        <v>169.70583379235373</v>
      </c>
      <c r="AN520">
        <v>195.9722143083446</v>
      </c>
      <c r="AO520">
        <v>236.96705688660245</v>
      </c>
      <c r="AP520">
        <v>279.36891506788567</v>
      </c>
      <c r="AQ520">
        <v>354.9755636346423</v>
      </c>
      <c r="AR520">
        <v>520.55636779130282</v>
      </c>
      <c r="AS520">
        <v>1029.4748099331036</v>
      </c>
      <c r="AT520">
        <v>304.84932281577335</v>
      </c>
      <c r="AU520">
        <v>357.9422804317627</v>
      </c>
      <c r="AV520">
        <v>444.93986659814107</v>
      </c>
      <c r="AW520">
        <v>572.56286338973416</v>
      </c>
      <c r="AX520">
        <v>951.88127842058407</v>
      </c>
      <c r="AY520">
        <v>1513.2373787491736</v>
      </c>
      <c r="AZ520">
        <v>30.903771002888551</v>
      </c>
      <c r="BA520">
        <v>48.679570709318668</v>
      </c>
      <c r="BB520">
        <v>85.439072229059136</v>
      </c>
      <c r="BC520">
        <v>104.93065515565016</v>
      </c>
      <c r="BD520">
        <v>120.97140623549667</v>
      </c>
      <c r="BE520">
        <v>145.62721819685333</v>
      </c>
      <c r="BF520">
        <v>170.99888800384124</v>
      </c>
      <c r="BG520">
        <v>216.44342531584201</v>
      </c>
      <c r="BH520">
        <v>317.30684537003867</v>
      </c>
      <c r="BI520">
        <v>629.79091785092464</v>
      </c>
      <c r="BJ520">
        <v>186.81869042107098</v>
      </c>
      <c r="BK520">
        <v>218.86078241924668</v>
      </c>
      <c r="BL520">
        <v>271.44829206313153</v>
      </c>
      <c r="BM520">
        <v>345.24922340578451</v>
      </c>
      <c r="BN520">
        <v>567.68477702127871</v>
      </c>
      <c r="BO520">
        <v>2272.6564909304311</v>
      </c>
      <c r="BP520">
        <v>55.973076903702953</v>
      </c>
      <c r="BQ520">
        <v>69.993922472116253</v>
      </c>
      <c r="BR520">
        <v>122.87614045882422</v>
      </c>
      <c r="BS520">
        <v>151.34784922256821</v>
      </c>
      <c r="BT520">
        <v>174.70421219462406</v>
      </c>
      <c r="BU520">
        <v>211.01286797532049</v>
      </c>
      <c r="BV520">
        <v>248.70147050386092</v>
      </c>
      <c r="BW520">
        <v>315.99897723189463</v>
      </c>
      <c r="BX520">
        <v>463.73739436591876</v>
      </c>
      <c r="BY520">
        <v>918.85441170894114</v>
      </c>
      <c r="BZ520">
        <v>272.35519163475095</v>
      </c>
      <c r="CA520">
        <v>319.8823308793402</v>
      </c>
      <c r="CB520">
        <v>397.43744321319446</v>
      </c>
      <c r="CC520">
        <v>510.42086793923249</v>
      </c>
      <c r="CD520">
        <v>847.20078451276629</v>
      </c>
    </row>
    <row r="521" spans="2:82" x14ac:dyDescent="0.25">
      <c r="B521" s="87" t="s">
        <v>1513</v>
      </c>
      <c r="C521">
        <v>1297.3513501520156</v>
      </c>
      <c r="D521">
        <v>25.175097337123635</v>
      </c>
      <c r="E521">
        <v>42.32026885821201</v>
      </c>
      <c r="F521">
        <v>74.254555611222372</v>
      </c>
      <c r="G521">
        <v>91.090590040979919</v>
      </c>
      <c r="H521">
        <v>104.98484816544126</v>
      </c>
      <c r="I521">
        <v>126.20074194458397</v>
      </c>
      <c r="J521">
        <v>148.02109976231725</v>
      </c>
      <c r="K521">
        <v>187.16142075685639</v>
      </c>
      <c r="L521">
        <v>274.42584214780885</v>
      </c>
      <c r="M521">
        <v>545.69808448598212</v>
      </c>
      <c r="N521">
        <v>162.03260349771469</v>
      </c>
      <c r="O521">
        <v>189.75864689190564</v>
      </c>
      <c r="P521">
        <v>235.17362241979072</v>
      </c>
      <c r="Q521">
        <v>297.90772880460327</v>
      </c>
      <c r="R521">
        <v>488.05541957200211</v>
      </c>
      <c r="S521">
        <v>2245.5603705540793</v>
      </c>
      <c r="T521">
        <v>62.76599808554586</v>
      </c>
      <c r="U521">
        <v>71.07227180176109</v>
      </c>
      <c r="V521">
        <v>124.87330917498896</v>
      </c>
      <c r="W521">
        <v>153.66789383967213</v>
      </c>
      <c r="X521">
        <v>177.17699921087316</v>
      </c>
      <c r="Y521">
        <v>213.82123786262437</v>
      </c>
      <c r="Z521">
        <v>251.23198056859107</v>
      </c>
      <c r="AA521">
        <v>318.11462496391255</v>
      </c>
      <c r="AB521">
        <v>465.33949816447301</v>
      </c>
      <c r="AC521">
        <v>918.31523004468306</v>
      </c>
      <c r="AD521">
        <v>271.53479043659331</v>
      </c>
      <c r="AE521">
        <v>318.01954096688172</v>
      </c>
      <c r="AF521">
        <v>395.10818580776549</v>
      </c>
      <c r="AG521">
        <v>506.35566740473058</v>
      </c>
      <c r="AH521">
        <v>837.96354096558809</v>
      </c>
      <c r="AI521">
        <v>2698.2797601738816</v>
      </c>
      <c r="AJ521">
        <v>78.540527754516873</v>
      </c>
      <c r="AK521">
        <v>82.481654505497062</v>
      </c>
      <c r="AL521">
        <v>144.84395939042159</v>
      </c>
      <c r="AM521">
        <v>178.52886155147817</v>
      </c>
      <c r="AN521">
        <v>206.05041037722776</v>
      </c>
      <c r="AO521">
        <v>249.15532603234811</v>
      </c>
      <c r="AP521">
        <v>293.79566804304483</v>
      </c>
      <c r="AQ521">
        <v>373.38644898788272</v>
      </c>
      <c r="AR521">
        <v>547.55521434693594</v>
      </c>
      <c r="AS521">
        <v>1082.6024957762129</v>
      </c>
      <c r="AT521">
        <v>320.51118702386793</v>
      </c>
      <c r="AU521">
        <v>376.42698911085489</v>
      </c>
      <c r="AV521">
        <v>468.00339392132702</v>
      </c>
      <c r="AW521">
        <v>602.91924429487301</v>
      </c>
      <c r="AX521">
        <v>1003.3350273027835</v>
      </c>
      <c r="AY521">
        <v>1552.6338206629578</v>
      </c>
      <c r="AZ521">
        <v>31.718122335350792</v>
      </c>
      <c r="BA521">
        <v>49.975741455459335</v>
      </c>
      <c r="BB521">
        <v>87.685792243162112</v>
      </c>
      <c r="BC521">
        <v>107.64214595166244</v>
      </c>
      <c r="BD521">
        <v>124.03655954043185</v>
      </c>
      <c r="BE521">
        <v>149.27644262979982</v>
      </c>
      <c r="BF521">
        <v>175.25698564281564</v>
      </c>
      <c r="BG521">
        <v>221.81469614335523</v>
      </c>
      <c r="BH521">
        <v>325.15172746002565</v>
      </c>
      <c r="BI521">
        <v>645.35740317279465</v>
      </c>
      <c r="BJ521">
        <v>191.42159778117119</v>
      </c>
      <c r="BK521">
        <v>224.28203487323464</v>
      </c>
      <c r="BL521">
        <v>278.18483819591205</v>
      </c>
      <c r="BM521">
        <v>353.9175173671843</v>
      </c>
      <c r="BN521">
        <v>582.08393665457083</v>
      </c>
      <c r="BO521">
        <v>2361.7264407591788</v>
      </c>
      <c r="BP521">
        <v>57.880601143960774</v>
      </c>
      <c r="BQ521">
        <v>72.565548327432225</v>
      </c>
      <c r="BR521">
        <v>127.33745668873472</v>
      </c>
      <c r="BS521">
        <v>156.78162200735798</v>
      </c>
      <c r="BT521">
        <v>180.8780157010296</v>
      </c>
      <c r="BU521">
        <v>218.45313576853979</v>
      </c>
      <c r="BV521">
        <v>257.51808102950554</v>
      </c>
      <c r="BW521">
        <v>327.26969371079616</v>
      </c>
      <c r="BX521">
        <v>480.31221831164049</v>
      </c>
      <c r="BY521">
        <v>951.64184251367408</v>
      </c>
      <c r="BZ521">
        <v>282.04020565649381</v>
      </c>
      <c r="CA521">
        <v>331.3484795337078</v>
      </c>
      <c r="CB521">
        <v>411.73912281583245</v>
      </c>
      <c r="CC521">
        <v>529.26942075583918</v>
      </c>
      <c r="CD521">
        <v>879.19847090744292</v>
      </c>
    </row>
    <row r="522" spans="2:82" x14ac:dyDescent="0.25">
      <c r="B522" s="87" t="s">
        <v>1514</v>
      </c>
      <c r="C522">
        <v>1328.9987118712859</v>
      </c>
      <c r="D522">
        <v>25.875709580591867</v>
      </c>
      <c r="E522">
        <v>43.415085318755573</v>
      </c>
      <c r="F522">
        <v>76.154104388038945</v>
      </c>
      <c r="G522">
        <v>93.379830090233853</v>
      </c>
      <c r="H522">
        <v>107.5742526085761</v>
      </c>
      <c r="I522">
        <v>129.2718157890753</v>
      </c>
      <c r="J522">
        <v>151.58452531555733</v>
      </c>
      <c r="K522">
        <v>191.63505859847592</v>
      </c>
      <c r="L522">
        <v>280.94493826147283</v>
      </c>
      <c r="M522">
        <v>558.66401060401301</v>
      </c>
      <c r="N522">
        <v>165.87201368214008</v>
      </c>
      <c r="O522">
        <v>194.27234924005285</v>
      </c>
      <c r="P522">
        <v>240.77291149792606</v>
      </c>
      <c r="Q522">
        <v>305.03070198108895</v>
      </c>
      <c r="R522">
        <v>499.76767582622557</v>
      </c>
      <c r="S522">
        <v>2343.7485288999192</v>
      </c>
      <c r="T522">
        <v>61.687015926511407</v>
      </c>
      <c r="U522">
        <v>74.259543471902134</v>
      </c>
      <c r="V522">
        <v>130.40762083119384</v>
      </c>
      <c r="W522">
        <v>160.36202244088241</v>
      </c>
      <c r="X522">
        <v>184.73435198701122</v>
      </c>
      <c r="Y522">
        <v>222.85461699033061</v>
      </c>
      <c r="Z522">
        <v>261.77502312906927</v>
      </c>
      <c r="AA522">
        <v>331.40855346005969</v>
      </c>
      <c r="AB522">
        <v>484.66644713145052</v>
      </c>
      <c r="AC522">
        <v>956.11369741709177</v>
      </c>
      <c r="AD522">
        <v>282.61491970523736</v>
      </c>
      <c r="AE522">
        <v>331.00970189451135</v>
      </c>
      <c r="AF522">
        <v>411.29243775872533</v>
      </c>
      <c r="AG522">
        <v>527.44167919611994</v>
      </c>
      <c r="AH522">
        <v>873.28413748479988</v>
      </c>
      <c r="AI522">
        <v>2818.54915525768</v>
      </c>
      <c r="AJ522">
        <v>68.531664956890978</v>
      </c>
      <c r="AK522">
        <v>86.291318220727106</v>
      </c>
      <c r="AL522">
        <v>151.40767626485021</v>
      </c>
      <c r="AM522">
        <v>186.40059565801724</v>
      </c>
      <c r="AN522">
        <v>214.84730525561145</v>
      </c>
      <c r="AO522">
        <v>259.6314059933008</v>
      </c>
      <c r="AP522">
        <v>306.05884525284006</v>
      </c>
      <c r="AQ522">
        <v>388.91099176264896</v>
      </c>
      <c r="AR522">
        <v>570.2122881420903</v>
      </c>
      <c r="AS522">
        <v>1127.044942344658</v>
      </c>
      <c r="AT522">
        <v>333.52932676734218</v>
      </c>
      <c r="AU522">
        <v>391.73777215404141</v>
      </c>
      <c r="AV522">
        <v>487.09002924585405</v>
      </c>
      <c r="AW522">
        <v>628.00499607346444</v>
      </c>
      <c r="AX522">
        <v>1045.6489880260031</v>
      </c>
      <c r="AY522">
        <v>1589.173813746884</v>
      </c>
      <c r="AZ522">
        <v>31.433759942510676</v>
      </c>
      <c r="BA522">
        <v>51.22842989906465</v>
      </c>
      <c r="BB522">
        <v>89.845051693454892</v>
      </c>
      <c r="BC522">
        <v>110.22232551610715</v>
      </c>
      <c r="BD522">
        <v>126.92324983271764</v>
      </c>
      <c r="BE522">
        <v>152.68719636906485</v>
      </c>
      <c r="BF522">
        <v>179.2139448425248</v>
      </c>
      <c r="BG522">
        <v>226.78566566606628</v>
      </c>
      <c r="BH522">
        <v>332.39484494520843</v>
      </c>
      <c r="BI522">
        <v>659.71949931094184</v>
      </c>
      <c r="BJ522">
        <v>195.65969769742205</v>
      </c>
      <c r="BK522">
        <v>229.26877531730608</v>
      </c>
      <c r="BL522">
        <v>284.3777956635991</v>
      </c>
      <c r="BM522">
        <v>361.87710208019058</v>
      </c>
      <c r="BN522">
        <v>595.27401591398336</v>
      </c>
      <c r="BO522">
        <v>2444.6175887561485</v>
      </c>
      <c r="BP522">
        <v>56.622640980036621</v>
      </c>
      <c r="BQ522">
        <v>75.042592269688598</v>
      </c>
      <c r="BR522">
        <v>131.60969913419538</v>
      </c>
      <c r="BS522">
        <v>161.93376501328459</v>
      </c>
      <c r="BT522">
        <v>186.67198147227819</v>
      </c>
      <c r="BU522">
        <v>225.38592046115969</v>
      </c>
      <c r="BV522">
        <v>265.69465866963645</v>
      </c>
      <c r="BW522">
        <v>337.69080930912787</v>
      </c>
      <c r="BX522">
        <v>495.61221781397381</v>
      </c>
      <c r="BY522">
        <v>981.88427397937255</v>
      </c>
      <c r="BZ522">
        <v>290.95391062943349</v>
      </c>
      <c r="CA522">
        <v>341.8947729062503</v>
      </c>
      <c r="CB522">
        <v>424.88928162059096</v>
      </c>
      <c r="CC522">
        <v>546.60871934929719</v>
      </c>
      <c r="CD522">
        <v>908.60929983660185</v>
      </c>
    </row>
    <row r="523" spans="2:82" x14ac:dyDescent="0.25">
      <c r="B523" s="87" t="s">
        <v>1515</v>
      </c>
      <c r="C523">
        <v>1361.4701318632763</v>
      </c>
      <c r="D523">
        <v>26.595602936000653</v>
      </c>
      <c r="E523">
        <v>44.540217246900035</v>
      </c>
      <c r="F523">
        <v>78.105757501776438</v>
      </c>
      <c r="G523">
        <v>95.730704108779449</v>
      </c>
      <c r="H523">
        <v>110.23201999037626</v>
      </c>
      <c r="I523">
        <v>132.42273949537315</v>
      </c>
      <c r="J523">
        <v>155.23944919126578</v>
      </c>
      <c r="K523">
        <v>196.22255128619668</v>
      </c>
      <c r="L523">
        <v>287.62910943005255</v>
      </c>
      <c r="M523">
        <v>571.95663409424344</v>
      </c>
      <c r="N523">
        <v>169.8077098675509</v>
      </c>
      <c r="O523">
        <v>198.89853140752118</v>
      </c>
      <c r="P523">
        <v>246.51148147013078</v>
      </c>
      <c r="Q523">
        <v>312.32997783074694</v>
      </c>
      <c r="R523">
        <v>511.76707085774746</v>
      </c>
      <c r="S523">
        <v>2444.3255495639828</v>
      </c>
      <c r="T523">
        <v>64.110213924495042</v>
      </c>
      <c r="U523">
        <v>77.396850316933225</v>
      </c>
      <c r="V523">
        <v>135.87311480475412</v>
      </c>
      <c r="W523">
        <v>167.01649844912541</v>
      </c>
      <c r="X523">
        <v>192.29361460521017</v>
      </c>
      <c r="Y523">
        <v>231.9417349596242</v>
      </c>
      <c r="Z523">
        <v>272.43429546724866</v>
      </c>
      <c r="AA523">
        <v>344.89679388301562</v>
      </c>
      <c r="AB523">
        <v>504.31666879947886</v>
      </c>
      <c r="AC523">
        <v>994.5660522689999</v>
      </c>
      <c r="AD523">
        <v>293.90347699177289</v>
      </c>
      <c r="AE523">
        <v>344.26486698420439</v>
      </c>
      <c r="AF523">
        <v>427.81911734527353</v>
      </c>
      <c r="AG523">
        <v>549.04492248986423</v>
      </c>
      <c r="AH523">
        <v>909.61108236475866</v>
      </c>
      <c r="AI523">
        <v>2938.2914238742969</v>
      </c>
      <c r="AJ523">
        <v>71.878495036436149</v>
      </c>
      <c r="AK523">
        <v>89.741282832145245</v>
      </c>
      <c r="AL523">
        <v>157.39685571301584</v>
      </c>
      <c r="AM523">
        <v>193.69861894296196</v>
      </c>
      <c r="AN523">
        <v>223.12960821387503</v>
      </c>
      <c r="AO523">
        <v>269.63255909546172</v>
      </c>
      <c r="AP523">
        <v>317.91386641157163</v>
      </c>
      <c r="AQ523">
        <v>404.05099750460505</v>
      </c>
      <c r="AR523">
        <v>592.42833346706823</v>
      </c>
      <c r="AS523">
        <v>1170.742916544051</v>
      </c>
      <c r="AT523">
        <v>346.3925752049816</v>
      </c>
      <c r="AU523">
        <v>406.93748053228956</v>
      </c>
      <c r="AV523">
        <v>506.06833229576432</v>
      </c>
      <c r="AW523">
        <v>653.12717980418859</v>
      </c>
      <c r="AX523">
        <v>1088.4056675032846</v>
      </c>
      <c r="AY523">
        <v>1625.8849460102008</v>
      </c>
      <c r="AZ523">
        <v>31.944776641859285</v>
      </c>
      <c r="BA523">
        <v>52.447253841318542</v>
      </c>
      <c r="BB523">
        <v>91.951877816733841</v>
      </c>
      <c r="BC523">
        <v>112.75377713338847</v>
      </c>
      <c r="BD523">
        <v>129.77136945412539</v>
      </c>
      <c r="BE523">
        <v>156.06855764905509</v>
      </c>
      <c r="BF523">
        <v>183.15398753886961</v>
      </c>
      <c r="BG523">
        <v>231.75036363241773</v>
      </c>
      <c r="BH523">
        <v>339.64360045986132</v>
      </c>
      <c r="BI523">
        <v>674.10846001219056</v>
      </c>
      <c r="BJ523">
        <v>199.91216374732673</v>
      </c>
      <c r="BK523">
        <v>234.27752416743752</v>
      </c>
      <c r="BL523">
        <v>290.60067856214363</v>
      </c>
      <c r="BM523">
        <v>369.88660998692365</v>
      </c>
      <c r="BN523">
        <v>608.57462165237837</v>
      </c>
      <c r="BO523">
        <v>2527.2334829669394</v>
      </c>
      <c r="BP523">
        <v>58.086720312506031</v>
      </c>
      <c r="BQ523">
        <v>77.417106160378665</v>
      </c>
      <c r="BR523">
        <v>135.71486024424155</v>
      </c>
      <c r="BS523">
        <v>166.91237196908477</v>
      </c>
      <c r="BT523">
        <v>192.30021620751353</v>
      </c>
      <c r="BU523">
        <v>232.15660402043932</v>
      </c>
      <c r="BV523">
        <v>273.72293872462257</v>
      </c>
      <c r="BW523">
        <v>347.96074369291512</v>
      </c>
      <c r="BX523">
        <v>510.72619975356736</v>
      </c>
      <c r="BY523">
        <v>1011.7943793596129</v>
      </c>
      <c r="BZ523">
        <v>299.78413679374063</v>
      </c>
      <c r="CA523">
        <v>352.3610853798038</v>
      </c>
      <c r="CB523">
        <v>437.94830547519916</v>
      </c>
      <c r="CC523">
        <v>563.88307086777206</v>
      </c>
      <c r="CD523">
        <v>938.01613059306442</v>
      </c>
    </row>
    <row r="524" spans="2:82" x14ac:dyDescent="0.25">
      <c r="B524" s="87" t="s">
        <v>1516</v>
      </c>
      <c r="C524">
        <v>1394.7846345143234</v>
      </c>
      <c r="D524">
        <v>27.335192037949966</v>
      </c>
      <c r="E524">
        <v>45.696445250241048</v>
      </c>
      <c r="F524">
        <v>80.110832257196563</v>
      </c>
      <c r="G524">
        <v>98.144737860240383</v>
      </c>
      <c r="H524">
        <v>112.95980039553673</v>
      </c>
      <c r="I524">
        <v>135.65541973584587</v>
      </c>
      <c r="J524">
        <v>158.98805444795283</v>
      </c>
      <c r="K524">
        <v>200.92660904880404</v>
      </c>
      <c r="L524">
        <v>294.48227847841048</v>
      </c>
      <c r="M524">
        <v>585.58384463247853</v>
      </c>
      <c r="N524">
        <v>173.84202296340897</v>
      </c>
      <c r="O524">
        <v>203.63998769668814</v>
      </c>
      <c r="P524">
        <v>252.39280520911905</v>
      </c>
      <c r="Q524">
        <v>319.81006319571981</v>
      </c>
      <c r="R524">
        <v>524.06117518116775</v>
      </c>
      <c r="S524">
        <v>2548.2183314074364</v>
      </c>
      <c r="T524">
        <v>66.88173102408355</v>
      </c>
      <c r="U524">
        <v>80.640359223570343</v>
      </c>
      <c r="V524">
        <v>141.5207998369969</v>
      </c>
      <c r="W524">
        <v>173.88772220184092</v>
      </c>
      <c r="X524">
        <v>200.0921588298462</v>
      </c>
      <c r="Y524">
        <v>241.31267613182669</v>
      </c>
      <c r="Z524">
        <v>283.42359633694025</v>
      </c>
      <c r="AA524">
        <v>358.80046925297506</v>
      </c>
      <c r="AB524">
        <v>524.56788644726578</v>
      </c>
      <c r="AC524">
        <v>1034.1803037624375</v>
      </c>
      <c r="AD524">
        <v>305.52999257300996</v>
      </c>
      <c r="AE524">
        <v>357.91776445583173</v>
      </c>
      <c r="AF524">
        <v>444.84331660974595</v>
      </c>
      <c r="AG524">
        <v>571.31461105725714</v>
      </c>
      <c r="AH524">
        <v>947.07894979339562</v>
      </c>
      <c r="AI524">
        <v>3060.9728111947343</v>
      </c>
      <c r="AJ524">
        <v>74.678437166008536</v>
      </c>
      <c r="AK524">
        <v>93.294600996496413</v>
      </c>
      <c r="AL524">
        <v>163.55952556854228</v>
      </c>
      <c r="AM524">
        <v>201.19581787308962</v>
      </c>
      <c r="AN524">
        <v>231.62319478710194</v>
      </c>
      <c r="AO524">
        <v>279.87730510157587</v>
      </c>
      <c r="AP524">
        <v>330.04778650620904</v>
      </c>
      <c r="AQ524">
        <v>419.53985934505261</v>
      </c>
      <c r="AR524">
        <v>615.14873464748371</v>
      </c>
      <c r="AS524">
        <v>1215.4194801866672</v>
      </c>
      <c r="AT524">
        <v>359.53850587523408</v>
      </c>
      <c r="AU524">
        <v>422.46942813849779</v>
      </c>
      <c r="AV524">
        <v>525.46110315060412</v>
      </c>
      <c r="AW524">
        <v>678.80554741003652</v>
      </c>
      <c r="AX524">
        <v>1132.1110202418004</v>
      </c>
      <c r="AY524">
        <v>1662.9231606740318</v>
      </c>
      <c r="AZ524">
        <v>32.619891795682356</v>
      </c>
      <c r="BA524">
        <v>53.683029823961277</v>
      </c>
      <c r="BB524">
        <v>94.086833595225841</v>
      </c>
      <c r="BC524">
        <v>115.31630081592806</v>
      </c>
      <c r="BD524">
        <v>132.6514851019204</v>
      </c>
      <c r="BE524">
        <v>159.48485453530748</v>
      </c>
      <c r="BF524">
        <v>187.13181865609278</v>
      </c>
      <c r="BG524">
        <v>236.75991864433934</v>
      </c>
      <c r="BH524">
        <v>346.95587430443476</v>
      </c>
      <c r="BI524">
        <v>688.62507890196969</v>
      </c>
      <c r="BJ524">
        <v>204.20237075346927</v>
      </c>
      <c r="BK524">
        <v>239.33053687764354</v>
      </c>
      <c r="BL524">
        <v>296.87784071700383</v>
      </c>
      <c r="BM524">
        <v>377.96274757091874</v>
      </c>
      <c r="BN524">
        <v>621.9799512136567</v>
      </c>
      <c r="BO524">
        <v>2610.334316552864</v>
      </c>
      <c r="BP524">
        <v>59.611106109794925</v>
      </c>
      <c r="BQ524">
        <v>79.807420661334035</v>
      </c>
      <c r="BR524">
        <v>139.8442801635041</v>
      </c>
      <c r="BS524">
        <v>171.91513001456758</v>
      </c>
      <c r="BT524">
        <v>197.94896772419423</v>
      </c>
      <c r="BU524">
        <v>238.94830005895426</v>
      </c>
      <c r="BV524">
        <v>281.77523941803383</v>
      </c>
      <c r="BW524">
        <v>358.26089288421429</v>
      </c>
      <c r="BX524">
        <v>525.88483431228212</v>
      </c>
      <c r="BY524">
        <v>1041.7930562323993</v>
      </c>
      <c r="BZ524">
        <v>308.63927064190483</v>
      </c>
      <c r="CA524">
        <v>362.85864505010329</v>
      </c>
      <c r="CB524">
        <v>451.04687359655622</v>
      </c>
      <c r="CC524">
        <v>581.22027566579368</v>
      </c>
      <c r="CD524">
        <v>967.54235503510233</v>
      </c>
    </row>
    <row r="525" spans="2:82" x14ac:dyDescent="0.25">
      <c r="B525" s="87" t="s">
        <v>1517</v>
      </c>
      <c r="C525">
        <v>1428.9616574353322</v>
      </c>
      <c r="D525">
        <v>28.09491181525344</v>
      </c>
      <c r="E525">
        <v>46.884574561813544</v>
      </c>
      <c r="F525">
        <v>82.170688438388723</v>
      </c>
      <c r="G525">
        <v>100.62350538738413</v>
      </c>
      <c r="H525">
        <v>115.75929568721388</v>
      </c>
      <c r="I525">
        <v>138.97181910123433</v>
      </c>
      <c r="J525">
        <v>162.83258053303845</v>
      </c>
      <c r="K525">
        <v>205.75000632226815</v>
      </c>
      <c r="L525">
        <v>301.50845449746782</v>
      </c>
      <c r="M525">
        <v>599.55368284242729</v>
      </c>
      <c r="N525">
        <v>177.97732577418259</v>
      </c>
      <c r="O525">
        <v>208.49955377657653</v>
      </c>
      <c r="P525">
        <v>258.42040479604691</v>
      </c>
      <c r="Q525">
        <v>327.47551397290079</v>
      </c>
      <c r="R525">
        <v>536.65761148174659</v>
      </c>
      <c r="S525">
        <v>2655.6077896996067</v>
      </c>
      <c r="T525">
        <v>69.791657785621723</v>
      </c>
      <c r="U525">
        <v>83.993538711456807</v>
      </c>
      <c r="V525">
        <v>147.35733705351402</v>
      </c>
      <c r="W525">
        <v>180.98503202006836</v>
      </c>
      <c r="X525">
        <v>208.14197382513444</v>
      </c>
      <c r="Y525">
        <v>250.98309428305308</v>
      </c>
      <c r="Z525">
        <v>294.76236565872296</v>
      </c>
      <c r="AA525">
        <v>373.14513480413524</v>
      </c>
      <c r="AB525">
        <v>545.45816809962912</v>
      </c>
      <c r="AC525">
        <v>1075.0304894881119</v>
      </c>
      <c r="AD525">
        <v>317.5160047901424</v>
      </c>
      <c r="AE525">
        <v>371.99303568612424</v>
      </c>
      <c r="AF525">
        <v>462.39580304388193</v>
      </c>
      <c r="AG525">
        <v>594.2899834081453</v>
      </c>
      <c r="AH525">
        <v>985.75201676927884</v>
      </c>
      <c r="AI525">
        <v>3186.4391008562602</v>
      </c>
      <c r="AJ525">
        <v>77.544716071609244</v>
      </c>
      <c r="AK525">
        <v>96.929850791712241</v>
      </c>
      <c r="AL525">
        <v>169.86113942820228</v>
      </c>
      <c r="AM525">
        <v>208.85665097902481</v>
      </c>
      <c r="AN525">
        <v>240.294925201225</v>
      </c>
      <c r="AO525">
        <v>290.33314623777994</v>
      </c>
      <c r="AP525">
        <v>342.43008994878073</v>
      </c>
      <c r="AQ525">
        <v>435.34534812255731</v>
      </c>
      <c r="AR525">
        <v>638.33253656496549</v>
      </c>
      <c r="AS525">
        <v>1261.0011738283063</v>
      </c>
      <c r="AT525">
        <v>372.94868300744838</v>
      </c>
      <c r="AU525">
        <v>438.31515405543644</v>
      </c>
      <c r="AV525">
        <v>545.2467017986836</v>
      </c>
      <c r="AW525">
        <v>705.01882105497532</v>
      </c>
      <c r="AX525">
        <v>1176.7452337400689</v>
      </c>
      <c r="AY525">
        <v>1700.3355078027266</v>
      </c>
      <c r="AZ525">
        <v>33.338494541718561</v>
      </c>
      <c r="BA525">
        <v>54.936730281636891</v>
      </c>
      <c r="BB525">
        <v>96.251845503828775</v>
      </c>
      <c r="BC525">
        <v>117.91266572406218</v>
      </c>
      <c r="BD525">
        <v>135.56725924936742</v>
      </c>
      <c r="BE525">
        <v>162.94086073209485</v>
      </c>
      <c r="BF525">
        <v>191.15333728138739</v>
      </c>
      <c r="BG525">
        <v>241.82206517348905</v>
      </c>
      <c r="BH525">
        <v>354.34325190321493</v>
      </c>
      <c r="BI525">
        <v>703.29219570837802</v>
      </c>
      <c r="BJ525">
        <v>208.53694377026611</v>
      </c>
      <c r="BK525">
        <v>244.43521733796314</v>
      </c>
      <c r="BL525">
        <v>303.21843685850536</v>
      </c>
      <c r="BM525">
        <v>386.11637374181868</v>
      </c>
      <c r="BN525">
        <v>635.50644071617933</v>
      </c>
      <c r="BO525">
        <v>2693.855910302083</v>
      </c>
      <c r="BP525">
        <v>61.145416462091305</v>
      </c>
      <c r="BQ525">
        <v>82.212615215647347</v>
      </c>
      <c r="BR525">
        <v>143.99658099736951</v>
      </c>
      <c r="BS525">
        <v>176.94060342872294</v>
      </c>
      <c r="BT525">
        <v>203.61706645618483</v>
      </c>
      <c r="BU525">
        <v>245.75949872565229</v>
      </c>
      <c r="BV525">
        <v>289.84936916341417</v>
      </c>
      <c r="BW525">
        <v>368.58809625119591</v>
      </c>
      <c r="BX525">
        <v>541.08325490158347</v>
      </c>
      <c r="BY525">
        <v>1071.8712440594791</v>
      </c>
      <c r="BZ525">
        <v>317.51675598610666</v>
      </c>
      <c r="CA525">
        <v>373.38402559982035</v>
      </c>
      <c r="CB525">
        <v>464.18043814795141</v>
      </c>
      <c r="CC525">
        <v>598.61179642036484</v>
      </c>
      <c r="CD525">
        <v>997.16987494462387</v>
      </c>
    </row>
    <row r="526" spans="2:82" x14ac:dyDescent="0.25">
      <c r="B526" s="87" t="s">
        <v>1518</v>
      </c>
      <c r="C526">
        <v>1464.0210732072278</v>
      </c>
      <c r="D526">
        <v>28.875216088926557</v>
      </c>
      <c r="E526">
        <v>48.105434996513686</v>
      </c>
      <c r="F526">
        <v>84.286728039815443</v>
      </c>
      <c r="G526">
        <v>103.16862860964436</v>
      </c>
      <c r="H526">
        <v>118.63225889112957</v>
      </c>
      <c r="I526">
        <v>142.37395568243736</v>
      </c>
      <c r="J526">
        <v>166.77532368211982</v>
      </c>
      <c r="K526">
        <v>210.69558284357618</v>
      </c>
      <c r="L526">
        <v>308.71173533921888</v>
      </c>
      <c r="M526">
        <v>613.87434838797367</v>
      </c>
      <c r="N526">
        <v>182.21603570995924</v>
      </c>
      <c r="O526">
        <v>213.48011081629886</v>
      </c>
      <c r="P526">
        <v>264.59785682641046</v>
      </c>
      <c r="Q526">
        <v>335.33094329080728</v>
      </c>
      <c r="R526">
        <v>549.56407084382431</v>
      </c>
      <c r="S526">
        <v>2766.6069958849366</v>
      </c>
      <c r="T526">
        <v>72.82410579761779</v>
      </c>
      <c r="U526">
        <v>87.460385794271204</v>
      </c>
      <c r="V526">
        <v>153.38961810183764</v>
      </c>
      <c r="W526">
        <v>188.31664990230414</v>
      </c>
      <c r="X526">
        <v>216.45217951525623</v>
      </c>
      <c r="Y526">
        <v>260.96374431085297</v>
      </c>
      <c r="Z526">
        <v>306.46292185141766</v>
      </c>
      <c r="AA526">
        <v>387.94617280472778</v>
      </c>
      <c r="AB526">
        <v>567.00954567008569</v>
      </c>
      <c r="AC526">
        <v>1117.1586021255282</v>
      </c>
      <c r="AD526">
        <v>329.87360761862249</v>
      </c>
      <c r="AE526">
        <v>386.50476827493299</v>
      </c>
      <c r="AF526">
        <v>480.4941867156536</v>
      </c>
      <c r="AG526">
        <v>617.99442303403464</v>
      </c>
      <c r="AH526">
        <v>1025.6699567409119</v>
      </c>
      <c r="AI526">
        <v>3314.7505386089124</v>
      </c>
      <c r="AJ526">
        <v>80.484758036900374</v>
      </c>
      <c r="AK526">
        <v>100.64997205166628</v>
      </c>
      <c r="AL526">
        <v>176.30684920248169</v>
      </c>
      <c r="AM526">
        <v>216.68733647523854</v>
      </c>
      <c r="AN526">
        <v>249.15192951493628</v>
      </c>
      <c r="AO526">
        <v>301.00842511858093</v>
      </c>
      <c r="AP526">
        <v>355.07025880892184</v>
      </c>
      <c r="AQ526">
        <v>451.47906053866211</v>
      </c>
      <c r="AR526">
        <v>661.99642091298142</v>
      </c>
      <c r="AS526">
        <v>1307.5212974967399</v>
      </c>
      <c r="AT526">
        <v>386.63296464981255</v>
      </c>
      <c r="AU526">
        <v>454.48607416719074</v>
      </c>
      <c r="AV526">
        <v>565.43918731461633</v>
      </c>
      <c r="AW526">
        <v>731.78381647652691</v>
      </c>
      <c r="AX526">
        <v>1222.3342642759962</v>
      </c>
      <c r="AY526">
        <v>1738.1354898223985</v>
      </c>
      <c r="AZ526">
        <v>34.075102432891931</v>
      </c>
      <c r="BA526">
        <v>56.208949824566098</v>
      </c>
      <c r="BB526">
        <v>98.447962289990926</v>
      </c>
      <c r="BC526">
        <v>120.54415418386249</v>
      </c>
      <c r="BD526">
        <v>138.52017804399878</v>
      </c>
      <c r="BE526">
        <v>166.43832847363899</v>
      </c>
      <c r="BF526">
        <v>195.22054336298666</v>
      </c>
      <c r="BG526">
        <v>246.93929169238353</v>
      </c>
      <c r="BH526">
        <v>361.80934734372653</v>
      </c>
      <c r="BI526">
        <v>718.11702959779711</v>
      </c>
      <c r="BJ526">
        <v>212.9179916646377</v>
      </c>
      <c r="BK526">
        <v>249.59397489073419</v>
      </c>
      <c r="BL526">
        <v>309.62542692374035</v>
      </c>
      <c r="BM526">
        <v>394.35096303454486</v>
      </c>
      <c r="BN526">
        <v>649.15932970499478</v>
      </c>
      <c r="BO526">
        <v>2777.7025435116225</v>
      </c>
      <c r="BP526">
        <v>62.679845871437415</v>
      </c>
      <c r="BQ526">
        <v>84.63130629028322</v>
      </c>
      <c r="BR526">
        <v>148.16936465963369</v>
      </c>
      <c r="BS526">
        <v>181.98571071388403</v>
      </c>
      <c r="BT526">
        <v>209.30097554014441</v>
      </c>
      <c r="BU526">
        <v>252.58550970440507</v>
      </c>
      <c r="BV526">
        <v>297.93915720180991</v>
      </c>
      <c r="BW526">
        <v>378.93391394574309</v>
      </c>
      <c r="BX526">
        <v>556.30864985171252</v>
      </c>
      <c r="BY526">
        <v>1102.0041170036604</v>
      </c>
      <c r="BZ526">
        <v>326.40934210546169</v>
      </c>
      <c r="CA526">
        <v>383.92843523477728</v>
      </c>
      <c r="CB526">
        <v>477.33779885698658</v>
      </c>
      <c r="CC526">
        <v>616.04102831577438</v>
      </c>
      <c r="CD526">
        <v>1026.8678563483841</v>
      </c>
    </row>
    <row r="527" spans="2:82" x14ac:dyDescent="0.25">
      <c r="B527" s="87" t="s">
        <v>1519</v>
      </c>
      <c r="C527">
        <v>1499.9832086974116</v>
      </c>
      <c r="D527">
        <v>29.676576545636891</v>
      </c>
      <c r="E527">
        <v>49.359881036221388</v>
      </c>
      <c r="F527">
        <v>86.460395244556082</v>
      </c>
      <c r="G527">
        <v>105.78177721668327</v>
      </c>
      <c r="H527">
        <v>121.58049392336284</v>
      </c>
      <c r="I527">
        <v>145.86390298967109</v>
      </c>
      <c r="J527">
        <v>170.81863753601181</v>
      </c>
      <c r="K527">
        <v>215.76624489822888</v>
      </c>
      <c r="L527">
        <v>316.09631015125888</v>
      </c>
      <c r="M527">
        <v>628.55420761253708</v>
      </c>
      <c r="N527">
        <v>186.56061730602741</v>
      </c>
      <c r="O527">
        <v>218.5845892593446</v>
      </c>
      <c r="P527">
        <v>270.92879724526409</v>
      </c>
      <c r="Q527">
        <v>343.38102888376324</v>
      </c>
      <c r="R527">
        <v>562.78832727811948</v>
      </c>
      <c r="S527">
        <v>2881.3240595146331</v>
      </c>
      <c r="T527">
        <v>75.982923070057637</v>
      </c>
      <c r="U527">
        <v>91.044765582635321</v>
      </c>
      <c r="V527">
        <v>159.62427385802286</v>
      </c>
      <c r="W527">
        <v>195.89042805347822</v>
      </c>
      <c r="X527">
        <v>225.03140426689077</v>
      </c>
      <c r="Y527">
        <v>271.26474739187842</v>
      </c>
      <c r="Z527">
        <v>318.53679883612404</v>
      </c>
      <c r="AA527">
        <v>403.21794654370331</v>
      </c>
      <c r="AB527">
        <v>589.24250628682194</v>
      </c>
      <c r="AC527">
        <v>1160.6034598359249</v>
      </c>
      <c r="AD527">
        <v>342.61396225394589</v>
      </c>
      <c r="AE527">
        <v>401.46601505846536</v>
      </c>
      <c r="AF527">
        <v>499.15481382608704</v>
      </c>
      <c r="AG527">
        <v>642.44994207333048</v>
      </c>
      <c r="AH527">
        <v>1066.870585823953</v>
      </c>
      <c r="AI527">
        <v>3445.9721930780465</v>
      </c>
      <c r="AJ527">
        <v>83.498901742669617</v>
      </c>
      <c r="AK527">
        <v>104.45812589930081</v>
      </c>
      <c r="AL527">
        <v>182.90213619592612</v>
      </c>
      <c r="AM527">
        <v>224.69439006204775</v>
      </c>
      <c r="AN527">
        <v>258.20153646854425</v>
      </c>
      <c r="AO527">
        <v>311.91163419773255</v>
      </c>
      <c r="AP527">
        <v>367.97786692035828</v>
      </c>
      <c r="AQ527">
        <v>467.95268427370138</v>
      </c>
      <c r="AR527">
        <v>686.15714107521831</v>
      </c>
      <c r="AS527">
        <v>1355.0130770989874</v>
      </c>
      <c r="AT527">
        <v>400.60113727817946</v>
      </c>
      <c r="AU527">
        <v>470.99352316463359</v>
      </c>
      <c r="AV527">
        <v>586.05252782970354</v>
      </c>
      <c r="AW527">
        <v>759.11745353044012</v>
      </c>
      <c r="AX527">
        <v>1268.9045229614555</v>
      </c>
      <c r="AY527">
        <v>1776.3294233187635</v>
      </c>
      <c r="AZ527">
        <v>34.823775317742438</v>
      </c>
      <c r="BA527">
        <v>57.500109728135605</v>
      </c>
      <c r="BB527">
        <v>100.67589909851991</v>
      </c>
      <c r="BC527">
        <v>123.21158728527044</v>
      </c>
      <c r="BD527">
        <v>141.51113605162632</v>
      </c>
      <c r="BE527">
        <v>169.97825310305899</v>
      </c>
      <c r="BF527">
        <v>199.33451550908859</v>
      </c>
      <c r="BG527">
        <v>252.11288917853486</v>
      </c>
      <c r="BH527">
        <v>369.35599268505695</v>
      </c>
      <c r="BI527">
        <v>733.10331776033081</v>
      </c>
      <c r="BJ527">
        <v>217.34662134831274</v>
      </c>
      <c r="BK527">
        <v>254.80810874171297</v>
      </c>
      <c r="BL527">
        <v>316.10039981326713</v>
      </c>
      <c r="BM527">
        <v>402.66837163008177</v>
      </c>
      <c r="BN527">
        <v>662.94143595159608</v>
      </c>
      <c r="BO527">
        <v>2861.7728620687903</v>
      </c>
      <c r="BP527">
        <v>64.207779227801765</v>
      </c>
      <c r="BQ527">
        <v>87.061666262029092</v>
      </c>
      <c r="BR527">
        <v>152.35948285874045</v>
      </c>
      <c r="BS527">
        <v>187.04652344224084</v>
      </c>
      <c r="BT527">
        <v>214.99625221043803</v>
      </c>
      <c r="BU527">
        <v>259.42066247784771</v>
      </c>
      <c r="BV527">
        <v>306.03740930429086</v>
      </c>
      <c r="BW527">
        <v>389.2887075052862</v>
      </c>
      <c r="BX527">
        <v>571.5465408465285</v>
      </c>
      <c r="BY527">
        <v>1132.1635741534149</v>
      </c>
      <c r="BZ527">
        <v>335.30882296329378</v>
      </c>
      <c r="CA527">
        <v>394.48199150947522</v>
      </c>
      <c r="CB527">
        <v>490.50642981836626</v>
      </c>
      <c r="CC527">
        <v>633.48984688340852</v>
      </c>
      <c r="CD527">
        <v>1056.6032407389928</v>
      </c>
    </row>
    <row r="528" spans="2:82" x14ac:dyDescent="0.25">
      <c r="B528" s="87" t="s">
        <v>1520</v>
      </c>
      <c r="C528">
        <v>1536.8688627225913</v>
      </c>
      <c r="D528">
        <v>30.499482036164654</v>
      </c>
      <c r="E528">
        <v>50.648792027870648</v>
      </c>
      <c r="F528">
        <v>88.693176617775151</v>
      </c>
      <c r="G528">
        <v>108.46466881876725</v>
      </c>
      <c r="H528">
        <v>124.60585561458923</v>
      </c>
      <c r="I528">
        <v>149.44379016467153</v>
      </c>
      <c r="J528">
        <v>174.96493395520821</v>
      </c>
      <c r="K528">
        <v>220.96496671744885</v>
      </c>
      <c r="L528">
        <v>323.6664619792175</v>
      </c>
      <c r="M528">
        <v>643.60180087243759</v>
      </c>
      <c r="N528">
        <v>191.01358460429051</v>
      </c>
      <c r="O528">
        <v>223.81597232184379</v>
      </c>
      <c r="P528">
        <v>277.41692581883689</v>
      </c>
      <c r="Q528">
        <v>351.63051983450919</v>
      </c>
      <c r="R528">
        <v>576.33825088974629</v>
      </c>
      <c r="S528">
        <v>2999.8690809691043</v>
      </c>
      <c r="T528">
        <v>79.274849752611203</v>
      </c>
      <c r="U528">
        <v>94.750616032596099</v>
      </c>
      <c r="V528">
        <v>166.06805781439164</v>
      </c>
      <c r="W528">
        <v>203.71435784965121</v>
      </c>
      <c r="X528">
        <v>233.88841719202355</v>
      </c>
      <c r="Y528">
        <v>281.89638355606945</v>
      </c>
      <c r="Z528">
        <v>330.9956949356357</v>
      </c>
      <c r="AA528">
        <v>418.97501457742948</v>
      </c>
      <c r="AB528">
        <v>612.17778439917015</v>
      </c>
      <c r="AC528">
        <v>1205.404211453307</v>
      </c>
      <c r="AD528">
        <v>355.74830729504316</v>
      </c>
      <c r="AE528">
        <v>416.88991372249643</v>
      </c>
      <c r="AF528">
        <v>518.39414637007849</v>
      </c>
      <c r="AG528">
        <v>667.67879327316064</v>
      </c>
      <c r="AH528">
        <v>1109.3922443861472</v>
      </c>
      <c r="AI528">
        <v>3580.1664850902125</v>
      </c>
      <c r="AJ528">
        <v>86.587074540411606</v>
      </c>
      <c r="AK528">
        <v>108.35731445695798</v>
      </c>
      <c r="AL528">
        <v>189.65216319507954</v>
      </c>
      <c r="AM528">
        <v>232.88387892526239</v>
      </c>
      <c r="AN528">
        <v>267.4504713520451</v>
      </c>
      <c r="AO528">
        <v>323.05051339562715</v>
      </c>
      <c r="AP528">
        <v>381.16160528501956</v>
      </c>
      <c r="AQ528">
        <v>484.77681909877543</v>
      </c>
      <c r="AR528">
        <v>710.82986700030392</v>
      </c>
      <c r="AS528">
        <v>1403.5065197876609</v>
      </c>
      <c r="AT528">
        <v>414.86201537526284</v>
      </c>
      <c r="AU528">
        <v>487.84773405127601</v>
      </c>
      <c r="AV528">
        <v>607.09934498155303</v>
      </c>
      <c r="AW528">
        <v>787.03520590249491</v>
      </c>
      <c r="AX528">
        <v>1316.4804332673998</v>
      </c>
      <c r="AY528">
        <v>1814.9220308482745</v>
      </c>
      <c r="AZ528">
        <v>35.582883987097176</v>
      </c>
      <c r="BA528">
        <v>58.810585974997039</v>
      </c>
      <c r="BB528">
        <v>102.93628524949769</v>
      </c>
      <c r="BC528">
        <v>125.91566953316187</v>
      </c>
      <c r="BD528">
        <v>144.54087971445733</v>
      </c>
      <c r="BE528">
        <v>173.56144375139809</v>
      </c>
      <c r="BF528">
        <v>203.49610926354265</v>
      </c>
      <c r="BG528">
        <v>257.34386043404527</v>
      </c>
      <c r="BH528">
        <v>376.9845931417625</v>
      </c>
      <c r="BI528">
        <v>748.25395734195399</v>
      </c>
      <c r="BJ528">
        <v>221.82369616491761</v>
      </c>
      <c r="BK528">
        <v>260.07864437922865</v>
      </c>
      <c r="BL528">
        <v>322.6446065494589</v>
      </c>
      <c r="BM528">
        <v>411.07005543838443</v>
      </c>
      <c r="BN528">
        <v>676.85496949415415</v>
      </c>
      <c r="BO528">
        <v>2945.9634637219478</v>
      </c>
      <c r="BP528">
        <v>65.723320145806952</v>
      </c>
      <c r="BQ528">
        <v>89.501717924549638</v>
      </c>
      <c r="BR528">
        <v>156.56353176117486</v>
      </c>
      <c r="BS528">
        <v>192.11881777019588</v>
      </c>
      <c r="BT528">
        <v>220.69812608139816</v>
      </c>
      <c r="BU528">
        <v>266.25892960960959</v>
      </c>
      <c r="BV528">
        <v>314.13655552774753</v>
      </c>
      <c r="BW528">
        <v>399.64239036949834</v>
      </c>
      <c r="BX528">
        <v>586.78181679155148</v>
      </c>
      <c r="BY528">
        <v>1162.3202504117567</v>
      </c>
      <c r="BZ528">
        <v>344.20661668079657</v>
      </c>
      <c r="CA528">
        <v>405.03437605131842</v>
      </c>
      <c r="CB528">
        <v>503.67327472896528</v>
      </c>
      <c r="CC528">
        <v>650.93951501711354</v>
      </c>
      <c r="CD528">
        <v>1086.3420496355561</v>
      </c>
    </row>
    <row r="529" spans="1:17" x14ac:dyDescent="0.25">
      <c r="A529" t="s">
        <v>1564</v>
      </c>
    </row>
    <row r="530" spans="1:17" x14ac:dyDescent="0.25">
      <c r="A530" t="s">
        <v>1565</v>
      </c>
      <c r="C530" s="87" t="s">
        <v>1470</v>
      </c>
      <c r="D530" s="87" t="s">
        <v>1481</v>
      </c>
      <c r="E530" s="87" t="s">
        <v>1482</v>
      </c>
      <c r="F530" s="87" t="s">
        <v>1483</v>
      </c>
      <c r="G530" s="87" t="s">
        <v>1484</v>
      </c>
    </row>
    <row r="531" spans="1:17" x14ac:dyDescent="0.25">
      <c r="B531" s="87" t="s">
        <v>1543</v>
      </c>
      <c r="C531">
        <v>5.75693317913561E-2</v>
      </c>
      <c r="D531">
        <v>0.10832908709071029</v>
      </c>
      <c r="E531">
        <v>0.12218419954300072</v>
      </c>
      <c r="F531">
        <v>6.6856407301486356E-2</v>
      </c>
      <c r="G531">
        <v>0.1010054260918171</v>
      </c>
    </row>
    <row r="532" spans="1:17" x14ac:dyDescent="0.25">
      <c r="B532" s="87" t="s">
        <v>1544</v>
      </c>
      <c r="C532">
        <v>7.9095825993253238E-2</v>
      </c>
      <c r="D532">
        <v>0.15010568350918171</v>
      </c>
      <c r="E532">
        <v>0.17113595145662203</v>
      </c>
      <c r="F532">
        <v>9.2163242161520192E-2</v>
      </c>
      <c r="G532">
        <v>0.14145552821075549</v>
      </c>
    </row>
    <row r="533" spans="1:17" x14ac:dyDescent="0.25">
      <c r="B533" s="87" t="s">
        <v>1545</v>
      </c>
      <c r="C533">
        <v>0.9573513569729788</v>
      </c>
      <c r="D533">
        <v>1.8190736500718443</v>
      </c>
      <c r="E533">
        <v>2.1076124342465965</v>
      </c>
      <c r="F533">
        <v>1.1195223200438009</v>
      </c>
      <c r="G533">
        <v>1.7482336598206456</v>
      </c>
    </row>
    <row r="534" spans="1:17" x14ac:dyDescent="0.25">
      <c r="B534" s="87" t="s">
        <v>1566</v>
      </c>
      <c r="C534">
        <v>5.9210047721600302E-2</v>
      </c>
      <c r="D534">
        <v>0.11122730051385656</v>
      </c>
      <c r="E534">
        <v>0.12723390442264843</v>
      </c>
      <c r="F534">
        <v>6.8730352915948478E-2</v>
      </c>
      <c r="G534">
        <v>0.10496692635425611</v>
      </c>
    </row>
    <row r="535" spans="1:17" x14ac:dyDescent="0.25">
      <c r="B535" s="87" t="s">
        <v>1567</v>
      </c>
      <c r="C535">
        <v>8.1645725731374533E-2</v>
      </c>
      <c r="D535">
        <v>0.15454997844835694</v>
      </c>
      <c r="E535">
        <v>0.17890083683282054</v>
      </c>
      <c r="F535">
        <v>9.5059950298391316E-2</v>
      </c>
      <c r="G535">
        <v>0.14756220686852883</v>
      </c>
    </row>
    <row r="536" spans="1:17" x14ac:dyDescent="0.25">
      <c r="B536" s="87" t="s">
        <v>1568</v>
      </c>
      <c r="C536">
        <v>0.992763662811603</v>
      </c>
      <c r="D536">
        <v>1.8784221783991772</v>
      </c>
      <c r="E536">
        <v>2.2104022972223478</v>
      </c>
      <c r="F536">
        <v>1.1591882916837111</v>
      </c>
      <c r="G536">
        <v>1.8293084109483144</v>
      </c>
    </row>
    <row r="541" spans="1:17" ht="18" thickBot="1" x14ac:dyDescent="0.35">
      <c r="A541" s="541" t="s">
        <v>1569</v>
      </c>
      <c r="B541" s="541"/>
      <c r="C541" s="541"/>
    </row>
    <row r="542" spans="1:17" ht="15.75" thickTop="1" x14ac:dyDescent="0.25"/>
    <row r="543" spans="1:17" x14ac:dyDescent="0.25">
      <c r="C543" t="s">
        <v>1550</v>
      </c>
      <c r="D543" t="s">
        <v>1551</v>
      </c>
      <c r="E543" t="s">
        <v>1552</v>
      </c>
      <c r="F543" t="s">
        <v>1553</v>
      </c>
      <c r="G543" t="s">
        <v>1554</v>
      </c>
      <c r="H543" t="s">
        <v>1555</v>
      </c>
      <c r="I543" t="s">
        <v>1556</v>
      </c>
      <c r="J543" t="s">
        <v>1557</v>
      </c>
      <c r="K543" t="s">
        <v>1558</v>
      </c>
      <c r="L543" t="s">
        <v>1559</v>
      </c>
      <c r="M543" t="s">
        <v>1560</v>
      </c>
      <c r="N543" t="s">
        <v>1561</v>
      </c>
      <c r="O543" t="s">
        <v>1562</v>
      </c>
      <c r="P543" t="s">
        <v>1563</v>
      </c>
    </row>
    <row r="544" spans="1:17" x14ac:dyDescent="0.25">
      <c r="B544" t="s">
        <v>1543</v>
      </c>
      <c r="C544">
        <v>1</v>
      </c>
      <c r="D544">
        <v>1</v>
      </c>
      <c r="E544">
        <v>1</v>
      </c>
      <c r="F544">
        <v>1</v>
      </c>
      <c r="G544">
        <v>1</v>
      </c>
      <c r="Q544" t="str">
        <f>B544</f>
        <v>hhd-le</v>
      </c>
    </row>
    <row r="545" spans="1:82" x14ac:dyDescent="0.25">
      <c r="B545" t="s">
        <v>1544</v>
      </c>
      <c r="H545">
        <v>1</v>
      </c>
      <c r="I545">
        <v>1</v>
      </c>
      <c r="J545">
        <v>1</v>
      </c>
      <c r="Q545" t="str">
        <f t="shared" ref="Q545:Q546" si="18">B545</f>
        <v>hhd-me</v>
      </c>
    </row>
    <row r="546" spans="1:82" x14ac:dyDescent="0.25">
      <c r="B546" t="s">
        <v>1545</v>
      </c>
      <c r="K546">
        <v>1</v>
      </c>
      <c r="L546">
        <v>1</v>
      </c>
      <c r="M546">
        <v>1</v>
      </c>
      <c r="N546">
        <v>1</v>
      </c>
      <c r="O546">
        <v>1</v>
      </c>
      <c r="P546">
        <v>1</v>
      </c>
      <c r="Q546" t="str">
        <f t="shared" si="18"/>
        <v>hhd-he</v>
      </c>
    </row>
    <row r="547" spans="1:82" x14ac:dyDescent="0.25">
      <c r="C547" t="str">
        <f>VLOOKUP(1,C544:$Q546,COLUMN($Q543)-COLUMN(C543)+1,0)</f>
        <v>hhd-le</v>
      </c>
      <c r="D547" t="str">
        <f>VLOOKUP(1,D544:$Q546,COLUMN($Q543)-COLUMN(D543)+1,0)</f>
        <v>hhd-le</v>
      </c>
      <c r="E547" t="str">
        <f>VLOOKUP(1,E544:$Q546,COLUMN($Q543)-COLUMN(E543)+1,0)</f>
        <v>hhd-le</v>
      </c>
      <c r="F547" t="str">
        <f>VLOOKUP(1,F544:$Q546,COLUMN($Q543)-COLUMN(F543)+1,0)</f>
        <v>hhd-le</v>
      </c>
      <c r="G547" t="str">
        <f>VLOOKUP(1,G544:$Q546,COLUMN($Q543)-COLUMN(G543)+1,0)</f>
        <v>hhd-le</v>
      </c>
      <c r="H547" t="str">
        <f>VLOOKUP(1,H544:$Q546,COLUMN($Q543)-COLUMN(H543)+1,0)</f>
        <v>hhd-me</v>
      </c>
      <c r="I547" t="str">
        <f>VLOOKUP(1,I544:$Q546,COLUMN($Q543)-COLUMN(I543)+1,0)</f>
        <v>hhd-me</v>
      </c>
      <c r="J547" t="str">
        <f>VLOOKUP(1,J544:$Q546,COLUMN($Q543)-COLUMN(J543)+1,0)</f>
        <v>hhd-me</v>
      </c>
      <c r="K547" t="str">
        <f>VLOOKUP(1,K544:$Q546,COLUMN($Q543)-COLUMN(K543)+1,0)</f>
        <v>hhd-he</v>
      </c>
      <c r="L547" t="str">
        <f>VLOOKUP(1,L544:$Q546,COLUMN($Q543)-COLUMN(L543)+1,0)</f>
        <v>hhd-he</v>
      </c>
      <c r="M547" t="str">
        <f>VLOOKUP(1,M544:$Q546,COLUMN($Q543)-COLUMN(M543)+1,0)</f>
        <v>hhd-he</v>
      </c>
      <c r="N547" t="str">
        <f>VLOOKUP(1,N544:$Q546,COLUMN($Q543)-COLUMN(N543)+1,0)</f>
        <v>hhd-he</v>
      </c>
      <c r="O547" t="str">
        <f>VLOOKUP(1,O544:$Q546,COLUMN($Q543)-COLUMN(O543)+1,0)</f>
        <v>hhd-he</v>
      </c>
      <c r="P547" t="str">
        <f>VLOOKUP(1,P544:$Q546,COLUMN($Q543)-COLUMN(P543)+1,0)</f>
        <v>hhd-he</v>
      </c>
    </row>
    <row r="549" spans="1:82" x14ac:dyDescent="0.25">
      <c r="A549" t="s">
        <v>1570</v>
      </c>
      <c r="C549" t="str">
        <f>C456&amp;C457</f>
        <v>basehhd-le</v>
      </c>
      <c r="D549" t="str">
        <f t="shared" ref="D549:X549" si="19">D456&amp;D457</f>
        <v>basehhd-me</v>
      </c>
      <c r="E549" t="str">
        <f t="shared" si="19"/>
        <v>basehhd-he</v>
      </c>
      <c r="F549" t="str">
        <f t="shared" si="19"/>
        <v>sim1hhd-le</v>
      </c>
      <c r="G549" t="str">
        <f t="shared" si="19"/>
        <v>sim1hhd-me</v>
      </c>
      <c r="H549" t="str">
        <f t="shared" si="19"/>
        <v>sim1hhd-he</v>
      </c>
      <c r="I549" t="str">
        <f t="shared" si="19"/>
        <v>sim2hhd-le</v>
      </c>
      <c r="J549" t="str">
        <f t="shared" si="19"/>
        <v>sim2hhd-me</v>
      </c>
      <c r="K549" t="str">
        <f t="shared" si="19"/>
        <v>sim2hhd-he</v>
      </c>
      <c r="L549" t="str">
        <f t="shared" si="19"/>
        <v>sim3hhd-le</v>
      </c>
      <c r="M549" t="str">
        <f t="shared" si="19"/>
        <v>sim3hhd-me</v>
      </c>
      <c r="N549" t="str">
        <f t="shared" si="19"/>
        <v>sim3hhd-he</v>
      </c>
      <c r="O549" t="str">
        <f t="shared" si="19"/>
        <v>sim4hhd-le</v>
      </c>
      <c r="P549" t="str">
        <f t="shared" si="19"/>
        <v>sim4hhd-me</v>
      </c>
      <c r="Q549" t="str">
        <f t="shared" si="19"/>
        <v>sim4hhd-he</v>
      </c>
      <c r="R549" t="str">
        <f t="shared" si="19"/>
        <v/>
      </c>
      <c r="S549" t="str">
        <f t="shared" si="19"/>
        <v/>
      </c>
      <c r="T549" t="str">
        <f t="shared" si="19"/>
        <v/>
      </c>
      <c r="U549" t="str">
        <f t="shared" si="19"/>
        <v/>
      </c>
      <c r="V549" t="str">
        <f t="shared" si="19"/>
        <v/>
      </c>
      <c r="W549" t="str">
        <f t="shared" si="19"/>
        <v/>
      </c>
      <c r="X549" t="str">
        <f t="shared" si="19"/>
        <v/>
      </c>
    </row>
    <row r="550" spans="1:82" x14ac:dyDescent="0.25">
      <c r="A550" t="s">
        <v>1571</v>
      </c>
      <c r="C550" t="str">
        <f>IFERROR(C493&amp;HLOOKUP(C494,$C$543:$P$547,5,0),"")</f>
        <v/>
      </c>
      <c r="D550" t="str">
        <f t="shared" ref="D550:BO550" si="20">IFERROR(D493&amp;HLOOKUP(D494,$C$543:$P$547,5,0),"")</f>
        <v/>
      </c>
      <c r="E550" t="str">
        <f t="shared" si="20"/>
        <v>basehhd-le</v>
      </c>
      <c r="F550" t="str">
        <f t="shared" si="20"/>
        <v>basehhd-le</v>
      </c>
      <c r="G550" t="str">
        <f t="shared" si="20"/>
        <v>basehhd-le</v>
      </c>
      <c r="H550" t="str">
        <f t="shared" si="20"/>
        <v>basehhd-le</v>
      </c>
      <c r="I550" t="str">
        <f t="shared" si="20"/>
        <v>basehhd-le</v>
      </c>
      <c r="J550" t="str">
        <f t="shared" si="20"/>
        <v>basehhd-me</v>
      </c>
      <c r="K550" t="str">
        <f t="shared" si="20"/>
        <v>basehhd-me</v>
      </c>
      <c r="L550" t="str">
        <f t="shared" si="20"/>
        <v>basehhd-me</v>
      </c>
      <c r="M550" t="str">
        <f t="shared" si="20"/>
        <v>basehhd-he</v>
      </c>
      <c r="N550" t="str">
        <f t="shared" si="20"/>
        <v>basehhd-he</v>
      </c>
      <c r="O550" t="str">
        <f t="shared" si="20"/>
        <v>basehhd-he</v>
      </c>
      <c r="P550" t="str">
        <f t="shared" si="20"/>
        <v>basehhd-he</v>
      </c>
      <c r="Q550" t="str">
        <f t="shared" si="20"/>
        <v>basehhd-he</v>
      </c>
      <c r="R550" t="str">
        <f t="shared" si="20"/>
        <v>basehhd-he</v>
      </c>
      <c r="S550" t="str">
        <f t="shared" si="20"/>
        <v/>
      </c>
      <c r="T550" t="str">
        <f t="shared" si="20"/>
        <v/>
      </c>
      <c r="U550" t="str">
        <f t="shared" si="20"/>
        <v>sim1hhd-le</v>
      </c>
      <c r="V550" t="str">
        <f t="shared" si="20"/>
        <v>sim1hhd-le</v>
      </c>
      <c r="W550" t="str">
        <f t="shared" si="20"/>
        <v>sim1hhd-le</v>
      </c>
      <c r="X550" t="str">
        <f t="shared" si="20"/>
        <v>sim1hhd-le</v>
      </c>
      <c r="Y550" t="str">
        <f t="shared" si="20"/>
        <v>sim1hhd-le</v>
      </c>
      <c r="Z550" t="str">
        <f t="shared" si="20"/>
        <v>sim1hhd-me</v>
      </c>
      <c r="AA550" t="str">
        <f t="shared" si="20"/>
        <v>sim1hhd-me</v>
      </c>
      <c r="AB550" t="str">
        <f t="shared" si="20"/>
        <v>sim1hhd-me</v>
      </c>
      <c r="AC550" t="str">
        <f t="shared" si="20"/>
        <v>sim1hhd-he</v>
      </c>
      <c r="AD550" t="str">
        <f t="shared" si="20"/>
        <v>sim1hhd-he</v>
      </c>
      <c r="AE550" t="str">
        <f t="shared" si="20"/>
        <v>sim1hhd-he</v>
      </c>
      <c r="AF550" t="str">
        <f t="shared" si="20"/>
        <v>sim1hhd-he</v>
      </c>
      <c r="AG550" t="str">
        <f t="shared" si="20"/>
        <v>sim1hhd-he</v>
      </c>
      <c r="AH550" t="str">
        <f t="shared" si="20"/>
        <v>sim1hhd-he</v>
      </c>
      <c r="AI550" t="str">
        <f t="shared" si="20"/>
        <v/>
      </c>
      <c r="AJ550" t="str">
        <f t="shared" si="20"/>
        <v/>
      </c>
      <c r="AK550" t="str">
        <f t="shared" si="20"/>
        <v>sim2hhd-le</v>
      </c>
      <c r="AL550" t="str">
        <f t="shared" si="20"/>
        <v>sim2hhd-le</v>
      </c>
      <c r="AM550" t="str">
        <f t="shared" si="20"/>
        <v>sim2hhd-le</v>
      </c>
      <c r="AN550" t="str">
        <f t="shared" si="20"/>
        <v>sim2hhd-le</v>
      </c>
      <c r="AO550" t="str">
        <f t="shared" si="20"/>
        <v>sim2hhd-le</v>
      </c>
      <c r="AP550" t="str">
        <f t="shared" si="20"/>
        <v>sim2hhd-me</v>
      </c>
      <c r="AQ550" t="str">
        <f t="shared" si="20"/>
        <v>sim2hhd-me</v>
      </c>
      <c r="AR550" t="str">
        <f t="shared" si="20"/>
        <v>sim2hhd-me</v>
      </c>
      <c r="AS550" t="str">
        <f t="shared" si="20"/>
        <v>sim2hhd-he</v>
      </c>
      <c r="AT550" t="str">
        <f t="shared" si="20"/>
        <v>sim2hhd-he</v>
      </c>
      <c r="AU550" t="str">
        <f t="shared" si="20"/>
        <v>sim2hhd-he</v>
      </c>
      <c r="AV550" t="str">
        <f t="shared" si="20"/>
        <v>sim2hhd-he</v>
      </c>
      <c r="AW550" t="str">
        <f t="shared" si="20"/>
        <v>sim2hhd-he</v>
      </c>
      <c r="AX550" t="str">
        <f t="shared" si="20"/>
        <v>sim2hhd-he</v>
      </c>
      <c r="AY550" t="str">
        <f t="shared" si="20"/>
        <v/>
      </c>
      <c r="AZ550" t="str">
        <f t="shared" si="20"/>
        <v/>
      </c>
      <c r="BA550" t="str">
        <f t="shared" si="20"/>
        <v>sim3hhd-le</v>
      </c>
      <c r="BB550" t="str">
        <f t="shared" si="20"/>
        <v>sim3hhd-le</v>
      </c>
      <c r="BC550" t="str">
        <f t="shared" si="20"/>
        <v>sim3hhd-le</v>
      </c>
      <c r="BD550" t="str">
        <f t="shared" si="20"/>
        <v>sim3hhd-le</v>
      </c>
      <c r="BE550" t="str">
        <f t="shared" si="20"/>
        <v>sim3hhd-le</v>
      </c>
      <c r="BF550" t="str">
        <f t="shared" si="20"/>
        <v>sim3hhd-me</v>
      </c>
      <c r="BG550" t="str">
        <f t="shared" si="20"/>
        <v>sim3hhd-me</v>
      </c>
      <c r="BH550" t="str">
        <f t="shared" si="20"/>
        <v>sim3hhd-me</v>
      </c>
      <c r="BI550" t="str">
        <f t="shared" si="20"/>
        <v>sim3hhd-he</v>
      </c>
      <c r="BJ550" t="str">
        <f t="shared" si="20"/>
        <v>sim3hhd-he</v>
      </c>
      <c r="BK550" t="str">
        <f t="shared" si="20"/>
        <v>sim3hhd-he</v>
      </c>
      <c r="BL550" t="str">
        <f t="shared" si="20"/>
        <v>sim3hhd-he</v>
      </c>
      <c r="BM550" t="str">
        <f t="shared" si="20"/>
        <v>sim3hhd-he</v>
      </c>
      <c r="BN550" t="str">
        <f t="shared" si="20"/>
        <v>sim3hhd-he</v>
      </c>
      <c r="BO550" t="str">
        <f t="shared" si="20"/>
        <v/>
      </c>
      <c r="BP550" t="str">
        <f t="shared" ref="BP550:CD550" si="21">IFERROR(BP493&amp;HLOOKUP(BP494,$C$543:$P$547,5,0),"")</f>
        <v/>
      </c>
      <c r="BQ550" t="str">
        <f t="shared" si="21"/>
        <v>sim4hhd-le</v>
      </c>
      <c r="BR550" t="str">
        <f t="shared" si="21"/>
        <v>sim4hhd-le</v>
      </c>
      <c r="BS550" t="str">
        <f t="shared" si="21"/>
        <v>sim4hhd-le</v>
      </c>
      <c r="BT550" t="str">
        <f t="shared" si="21"/>
        <v>sim4hhd-le</v>
      </c>
      <c r="BU550" t="str">
        <f t="shared" si="21"/>
        <v>sim4hhd-le</v>
      </c>
      <c r="BV550" t="str">
        <f t="shared" si="21"/>
        <v>sim4hhd-me</v>
      </c>
      <c r="BW550" t="str">
        <f t="shared" si="21"/>
        <v>sim4hhd-me</v>
      </c>
      <c r="BX550" t="str">
        <f t="shared" si="21"/>
        <v>sim4hhd-me</v>
      </c>
      <c r="BY550" t="str">
        <f t="shared" si="21"/>
        <v>sim4hhd-he</v>
      </c>
      <c r="BZ550" t="str">
        <f t="shared" si="21"/>
        <v>sim4hhd-he</v>
      </c>
      <c r="CA550" t="str">
        <f t="shared" si="21"/>
        <v>sim4hhd-he</v>
      </c>
      <c r="CB550" t="str">
        <f t="shared" si="21"/>
        <v>sim4hhd-he</v>
      </c>
      <c r="CC550" t="str">
        <f t="shared" si="21"/>
        <v>sim4hhd-he</v>
      </c>
      <c r="CD550" t="str">
        <f t="shared" si="21"/>
        <v>sim4hhd-he</v>
      </c>
    </row>
    <row r="551" spans="1:82" x14ac:dyDescent="0.25">
      <c r="A551" t="s">
        <v>1572</v>
      </c>
      <c r="C551">
        <f>IF(C550="",0,C493)</f>
        <v>0</v>
      </c>
      <c r="D551">
        <f t="shared" ref="D551:BO551" si="22">IF(D550="",0,D493)</f>
        <v>0</v>
      </c>
      <c r="E551" t="str">
        <f t="shared" si="22"/>
        <v>base</v>
      </c>
      <c r="F551" t="str">
        <f t="shared" si="22"/>
        <v>base</v>
      </c>
      <c r="G551" t="str">
        <f t="shared" si="22"/>
        <v>base</v>
      </c>
      <c r="H551" t="str">
        <f t="shared" si="22"/>
        <v>base</v>
      </c>
      <c r="I551" t="str">
        <f t="shared" si="22"/>
        <v>base</v>
      </c>
      <c r="J551" t="str">
        <f t="shared" si="22"/>
        <v>base</v>
      </c>
      <c r="K551" t="str">
        <f t="shared" si="22"/>
        <v>base</v>
      </c>
      <c r="L551" t="str">
        <f t="shared" si="22"/>
        <v>base</v>
      </c>
      <c r="M551" t="str">
        <f t="shared" si="22"/>
        <v>base</v>
      </c>
      <c r="N551" t="str">
        <f t="shared" si="22"/>
        <v>base</v>
      </c>
      <c r="O551" t="str">
        <f t="shared" si="22"/>
        <v>base</v>
      </c>
      <c r="P551" t="str">
        <f t="shared" si="22"/>
        <v>base</v>
      </c>
      <c r="Q551" t="str">
        <f t="shared" si="22"/>
        <v>base</v>
      </c>
      <c r="R551" t="str">
        <f t="shared" si="22"/>
        <v>base</v>
      </c>
      <c r="S551">
        <f t="shared" si="22"/>
        <v>0</v>
      </c>
      <c r="T551">
        <f t="shared" si="22"/>
        <v>0</v>
      </c>
      <c r="U551" t="str">
        <f t="shared" si="22"/>
        <v>sim1</v>
      </c>
      <c r="V551" t="str">
        <f t="shared" si="22"/>
        <v>sim1</v>
      </c>
      <c r="W551" t="str">
        <f t="shared" si="22"/>
        <v>sim1</v>
      </c>
      <c r="X551" t="str">
        <f t="shared" si="22"/>
        <v>sim1</v>
      </c>
      <c r="Y551" t="str">
        <f t="shared" si="22"/>
        <v>sim1</v>
      </c>
      <c r="Z551" t="str">
        <f t="shared" si="22"/>
        <v>sim1</v>
      </c>
      <c r="AA551" t="str">
        <f t="shared" si="22"/>
        <v>sim1</v>
      </c>
      <c r="AB551" t="str">
        <f t="shared" si="22"/>
        <v>sim1</v>
      </c>
      <c r="AC551" t="str">
        <f t="shared" si="22"/>
        <v>sim1</v>
      </c>
      <c r="AD551" t="str">
        <f t="shared" si="22"/>
        <v>sim1</v>
      </c>
      <c r="AE551" t="str">
        <f t="shared" si="22"/>
        <v>sim1</v>
      </c>
      <c r="AF551" t="str">
        <f t="shared" si="22"/>
        <v>sim1</v>
      </c>
      <c r="AG551" t="str">
        <f t="shared" si="22"/>
        <v>sim1</v>
      </c>
      <c r="AH551" t="str">
        <f t="shared" si="22"/>
        <v>sim1</v>
      </c>
      <c r="AI551">
        <f t="shared" si="22"/>
        <v>0</v>
      </c>
      <c r="AJ551">
        <f t="shared" si="22"/>
        <v>0</v>
      </c>
      <c r="AK551" t="str">
        <f t="shared" si="22"/>
        <v>sim2</v>
      </c>
      <c r="AL551" t="str">
        <f t="shared" si="22"/>
        <v>sim2</v>
      </c>
      <c r="AM551" t="str">
        <f t="shared" si="22"/>
        <v>sim2</v>
      </c>
      <c r="AN551" t="str">
        <f t="shared" si="22"/>
        <v>sim2</v>
      </c>
      <c r="AO551" t="str">
        <f t="shared" si="22"/>
        <v>sim2</v>
      </c>
      <c r="AP551" t="str">
        <f t="shared" si="22"/>
        <v>sim2</v>
      </c>
      <c r="AQ551" t="str">
        <f t="shared" si="22"/>
        <v>sim2</v>
      </c>
      <c r="AR551" t="str">
        <f t="shared" si="22"/>
        <v>sim2</v>
      </c>
      <c r="AS551" t="str">
        <f t="shared" si="22"/>
        <v>sim2</v>
      </c>
      <c r="AT551" t="str">
        <f t="shared" si="22"/>
        <v>sim2</v>
      </c>
      <c r="AU551" t="str">
        <f t="shared" si="22"/>
        <v>sim2</v>
      </c>
      <c r="AV551" t="str">
        <f t="shared" si="22"/>
        <v>sim2</v>
      </c>
      <c r="AW551" t="str">
        <f t="shared" si="22"/>
        <v>sim2</v>
      </c>
      <c r="AX551" t="str">
        <f t="shared" si="22"/>
        <v>sim2</v>
      </c>
      <c r="AY551">
        <f t="shared" si="22"/>
        <v>0</v>
      </c>
      <c r="AZ551">
        <f t="shared" si="22"/>
        <v>0</v>
      </c>
      <c r="BA551" t="str">
        <f t="shared" si="22"/>
        <v>sim3</v>
      </c>
      <c r="BB551" t="str">
        <f t="shared" si="22"/>
        <v>sim3</v>
      </c>
      <c r="BC551" t="str">
        <f t="shared" si="22"/>
        <v>sim3</v>
      </c>
      <c r="BD551" t="str">
        <f t="shared" si="22"/>
        <v>sim3</v>
      </c>
      <c r="BE551" t="str">
        <f t="shared" si="22"/>
        <v>sim3</v>
      </c>
      <c r="BF551" t="str">
        <f t="shared" si="22"/>
        <v>sim3</v>
      </c>
      <c r="BG551" t="str">
        <f t="shared" si="22"/>
        <v>sim3</v>
      </c>
      <c r="BH551" t="str">
        <f t="shared" si="22"/>
        <v>sim3</v>
      </c>
      <c r="BI551" t="str">
        <f t="shared" si="22"/>
        <v>sim3</v>
      </c>
      <c r="BJ551" t="str">
        <f t="shared" si="22"/>
        <v>sim3</v>
      </c>
      <c r="BK551" t="str">
        <f t="shared" si="22"/>
        <v>sim3</v>
      </c>
      <c r="BL551" t="str">
        <f t="shared" si="22"/>
        <v>sim3</v>
      </c>
      <c r="BM551" t="str">
        <f t="shared" si="22"/>
        <v>sim3</v>
      </c>
      <c r="BN551" t="str">
        <f t="shared" si="22"/>
        <v>sim3</v>
      </c>
      <c r="BO551">
        <f t="shared" si="22"/>
        <v>0</v>
      </c>
      <c r="BP551">
        <f t="shared" ref="BP551:CD551" si="23">IF(BP550="",0,BP493)</f>
        <v>0</v>
      </c>
      <c r="BQ551" t="str">
        <f t="shared" si="23"/>
        <v>sim4</v>
      </c>
      <c r="BR551" t="str">
        <f t="shared" si="23"/>
        <v>sim4</v>
      </c>
      <c r="BS551" t="str">
        <f t="shared" si="23"/>
        <v>sim4</v>
      </c>
      <c r="BT551" t="str">
        <f t="shared" si="23"/>
        <v>sim4</v>
      </c>
      <c r="BU551" t="str">
        <f t="shared" si="23"/>
        <v>sim4</v>
      </c>
      <c r="BV551" t="str">
        <f t="shared" si="23"/>
        <v>sim4</v>
      </c>
      <c r="BW551" t="str">
        <f t="shared" si="23"/>
        <v>sim4</v>
      </c>
      <c r="BX551" t="str">
        <f t="shared" si="23"/>
        <v>sim4</v>
      </c>
      <c r="BY551" t="str">
        <f t="shared" si="23"/>
        <v>sim4</v>
      </c>
      <c r="BZ551" t="str">
        <f t="shared" si="23"/>
        <v>sim4</v>
      </c>
      <c r="CA551" t="str">
        <f t="shared" si="23"/>
        <v>sim4</v>
      </c>
      <c r="CB551" t="str">
        <f t="shared" si="23"/>
        <v>sim4</v>
      </c>
      <c r="CC551" t="str">
        <f t="shared" si="23"/>
        <v>sim4</v>
      </c>
      <c r="CD551" t="str">
        <f t="shared" si="23"/>
        <v>sim4</v>
      </c>
    </row>
    <row r="552" spans="1:82" x14ac:dyDescent="0.25">
      <c r="B552" t="s">
        <v>1573</v>
      </c>
    </row>
    <row r="553" spans="1:82" x14ac:dyDescent="0.25">
      <c r="C553" t="s">
        <v>1543</v>
      </c>
      <c r="D553" t="s">
        <v>1544</v>
      </c>
      <c r="E553" t="s">
        <v>1545</v>
      </c>
    </row>
    <row r="554" spans="1:82" x14ac:dyDescent="0.25">
      <c r="C554" s="53">
        <f>SUMIF(C550:R550,$C$493&amp;C553,C495:R495)</f>
        <v>233.71183187901136</v>
      </c>
      <c r="D554" s="53">
        <f t="shared" ref="D554:E554" si="24">SUMIF(D550:S550,$C$493&amp;D553,D495:S495)</f>
        <v>335.12231814700652</v>
      </c>
      <c r="E554" s="53">
        <f t="shared" si="24"/>
        <v>1051.2408195174096</v>
      </c>
    </row>
    <row r="555" spans="1:82" x14ac:dyDescent="0.25">
      <c r="B555" t="s">
        <v>1574</v>
      </c>
    </row>
    <row r="556" spans="1:82" x14ac:dyDescent="0.25">
      <c r="C556">
        <f>C554/C458</f>
        <v>9.9706412917666964E-3</v>
      </c>
      <c r="D556">
        <f t="shared" ref="D556:E556" si="25">D554/D458</f>
        <v>2.3828378707836072E-2</v>
      </c>
      <c r="E556">
        <f t="shared" si="25"/>
        <v>0.11215628075508477</v>
      </c>
    </row>
    <row r="558" spans="1:82" x14ac:dyDescent="0.25">
      <c r="C558" t="s">
        <v>1575</v>
      </c>
      <c r="I558" t="s">
        <v>1576</v>
      </c>
    </row>
    <row r="559" spans="1:82" x14ac:dyDescent="0.25">
      <c r="C559" t="str">
        <f>C530</f>
        <v>base</v>
      </c>
      <c r="D559" t="str">
        <f t="shared" ref="D559:F559" si="26">D530</f>
        <v>sim1</v>
      </c>
      <c r="E559" t="str">
        <f t="shared" si="26"/>
        <v>sim2</v>
      </c>
      <c r="F559" t="str">
        <f t="shared" si="26"/>
        <v>sim3</v>
      </c>
      <c r="G559" t="str">
        <f>G530</f>
        <v>sim4</v>
      </c>
      <c r="I559" t="str">
        <f>C559</f>
        <v>base</v>
      </c>
      <c r="J559" t="str">
        <f t="shared" ref="J559:L559" si="27">D559</f>
        <v>sim1</v>
      </c>
      <c r="K559" t="str">
        <f t="shared" si="27"/>
        <v>sim2</v>
      </c>
      <c r="L559" t="str">
        <f t="shared" si="27"/>
        <v>sim3</v>
      </c>
      <c r="M559" t="str">
        <f>G559</f>
        <v>sim4</v>
      </c>
    </row>
    <row r="560" spans="1:82" x14ac:dyDescent="0.25">
      <c r="B560" t="str">
        <f>B495</f>
        <v>2007</v>
      </c>
      <c r="C560" s="53">
        <f>SUMIF($C$551:$CD$551,C$559,$C495:$CD495)</f>
        <v>1620.0749695434272</v>
      </c>
      <c r="D560" s="53">
        <f t="shared" ref="D560:G560" si="28">SUMIF($C$551:$CD$551,D$559,$C495:$CD495)</f>
        <v>1620.0749695434272</v>
      </c>
      <c r="E560" s="53">
        <f t="shared" si="28"/>
        <v>1620.0749695434272</v>
      </c>
      <c r="F560" s="53">
        <f t="shared" si="28"/>
        <v>1620.0749695434272</v>
      </c>
      <c r="G560" s="53">
        <f t="shared" si="28"/>
        <v>1620.0749695434272</v>
      </c>
      <c r="I560" s="542">
        <f>(C560-($C$556*SUMIF($C$549:$Q$549,I$559&amp;$C$553,$C458:$Q458)+$D$556*SUMIF($C$549:$Q$549,I$559&amp;$D$553,$C458:$Q458)))/SUMIF($C$549:$Q$549,I$559&amp;$E$553,$C458:$Q458)</f>
        <v>0.11215628075508476</v>
      </c>
      <c r="J560" s="542">
        <f t="shared" ref="J560:M575" si="29">(D560-($C$556*SUMIF($C$549:$Q$549,J$559&amp;$C$553,$C458:$Q458)+$D$556*SUMIF($C$549:$Q$549,J$559&amp;$D$553,$C458:$Q458)))/SUMIF($C$549:$Q$549,J$559&amp;$E$553,$C458:$Q458)</f>
        <v>0.11215628075508476</v>
      </c>
      <c r="K560" s="542">
        <f t="shared" si="29"/>
        <v>0.11215628075508476</v>
      </c>
      <c r="L560" s="542">
        <f t="shared" si="29"/>
        <v>0.11215628075508476</v>
      </c>
      <c r="M560" s="542">
        <f t="shared" si="29"/>
        <v>0.11215628075508476</v>
      </c>
    </row>
    <row r="561" spans="2:13" x14ac:dyDescent="0.25">
      <c r="B561" t="str">
        <f t="shared" ref="B561:B593" si="30">B496</f>
        <v>2008</v>
      </c>
      <c r="C561" s="53">
        <f t="shared" ref="C561:G576" si="31">SUMIF($C$551:$CD$551,C$559,$C496:$CD496)</f>
        <v>1662.8703769297681</v>
      </c>
      <c r="D561" s="53">
        <f t="shared" si="31"/>
        <v>1662.8703769294625</v>
      </c>
      <c r="E561" s="53">
        <f t="shared" si="31"/>
        <v>1662.8703769294625</v>
      </c>
      <c r="F561" s="53">
        <f t="shared" si="31"/>
        <v>1662.8703769294625</v>
      </c>
      <c r="G561" s="53">
        <f t="shared" si="31"/>
        <v>1662.8703769299859</v>
      </c>
      <c r="I561" s="542">
        <f t="shared" ref="I561:M576" si="32">(C561-($C$556*SUMIF($C$549:$Q$549,I$559&amp;$C$553,$C459:$Q459)+$D$556*SUMIF($C$549:$Q$549,I$559&amp;$D$553,$C459:$Q459)))/SUMIF($C$549:$Q$549,I$559&amp;$E$553,$C459:$Q459)</f>
        <v>0.11139085537116863</v>
      </c>
      <c r="J561" s="542">
        <f t="shared" si="29"/>
        <v>0.11139085537140775</v>
      </c>
      <c r="K561" s="542">
        <f t="shared" si="29"/>
        <v>0.11139085537138703</v>
      </c>
      <c r="L561" s="542">
        <f t="shared" si="29"/>
        <v>0.11139085537140184</v>
      </c>
      <c r="M561" s="542">
        <f t="shared" si="29"/>
        <v>0.11139085539873195</v>
      </c>
    </row>
    <row r="562" spans="2:13" x14ac:dyDescent="0.25">
      <c r="B562" t="str">
        <f t="shared" si="30"/>
        <v>2009</v>
      </c>
      <c r="C562" s="53">
        <f t="shared" si="31"/>
        <v>1702.8242035648373</v>
      </c>
      <c r="D562" s="53">
        <f t="shared" si="31"/>
        <v>1702.8242035651906</v>
      </c>
      <c r="E562" s="53">
        <f t="shared" si="31"/>
        <v>1702.8242035651906</v>
      </c>
      <c r="F562" s="53">
        <f t="shared" si="31"/>
        <v>1702.8242035651906</v>
      </c>
      <c r="G562" s="53">
        <f t="shared" si="31"/>
        <v>1702.8242035660469</v>
      </c>
      <c r="I562" s="542">
        <f t="shared" si="32"/>
        <v>0.10995154311530081</v>
      </c>
      <c r="J562" s="542">
        <f t="shared" si="29"/>
        <v>0.10994079207717344</v>
      </c>
      <c r="K562" s="542">
        <f t="shared" si="29"/>
        <v>0.10993464695804141</v>
      </c>
      <c r="L562" s="542">
        <f t="shared" si="29"/>
        <v>0.10994938735021778</v>
      </c>
      <c r="M562" s="542">
        <f t="shared" si="29"/>
        <v>0.10993912657491618</v>
      </c>
    </row>
    <row r="563" spans="2:13" x14ac:dyDescent="0.25">
      <c r="B563" t="str">
        <f t="shared" si="30"/>
        <v>2010</v>
      </c>
      <c r="C563" s="53">
        <f t="shared" si="31"/>
        <v>1742.3996934177912</v>
      </c>
      <c r="D563" s="53">
        <f t="shared" si="31"/>
        <v>1742.3996934178108</v>
      </c>
      <c r="E563" s="53">
        <f t="shared" si="31"/>
        <v>1742.3996934178108</v>
      </c>
      <c r="F563" s="53">
        <f t="shared" si="31"/>
        <v>1742.3996934178108</v>
      </c>
      <c r="G563" s="53">
        <f t="shared" si="31"/>
        <v>1742.3996934179522</v>
      </c>
      <c r="I563" s="542">
        <f t="shared" si="32"/>
        <v>0.10926525282792897</v>
      </c>
      <c r="J563" s="542">
        <f t="shared" si="29"/>
        <v>0.1092433672925483</v>
      </c>
      <c r="K563" s="542">
        <f t="shared" si="29"/>
        <v>0.10923099478585896</v>
      </c>
      <c r="L563" s="542">
        <f t="shared" si="29"/>
        <v>0.10926084079761496</v>
      </c>
      <c r="M563" s="542">
        <f t="shared" si="29"/>
        <v>0.10924000410448419</v>
      </c>
    </row>
    <row r="564" spans="2:13" x14ac:dyDescent="0.25">
      <c r="B564" t="str">
        <f t="shared" si="30"/>
        <v>2011</v>
      </c>
      <c r="C564" s="53">
        <f t="shared" si="31"/>
        <v>1782.0566901855343</v>
      </c>
      <c r="D564" s="53">
        <f t="shared" si="31"/>
        <v>1782.0566901856878</v>
      </c>
      <c r="E564" s="53">
        <f t="shared" si="31"/>
        <v>1782.0566901856878</v>
      </c>
      <c r="F564" s="53">
        <f t="shared" si="31"/>
        <v>1782.0566901856878</v>
      </c>
      <c r="G564" s="53">
        <f t="shared" si="31"/>
        <v>1782.0566901861825</v>
      </c>
      <c r="I564" s="542">
        <f t="shared" si="32"/>
        <v>0.10870123357661569</v>
      </c>
      <c r="J564" s="542">
        <f t="shared" si="29"/>
        <v>0.10866925330085578</v>
      </c>
      <c r="K564" s="542">
        <f t="shared" si="29"/>
        <v>0.10865124172929838</v>
      </c>
      <c r="L564" s="542">
        <f t="shared" si="29"/>
        <v>0.1086947740134572</v>
      </c>
      <c r="M564" s="542">
        <f t="shared" si="29"/>
        <v>0.10866435246806641</v>
      </c>
    </row>
    <row r="565" spans="2:13" x14ac:dyDescent="0.25">
      <c r="B565" t="str">
        <f t="shared" si="30"/>
        <v>2012</v>
      </c>
      <c r="C565" s="53">
        <f t="shared" si="31"/>
        <v>1821.9121200339093</v>
      </c>
      <c r="D565" s="53">
        <f t="shared" si="31"/>
        <v>1821.9121200331508</v>
      </c>
      <c r="E565" s="53">
        <f t="shared" si="31"/>
        <v>1821.9121200331508</v>
      </c>
      <c r="F565" s="53">
        <f t="shared" si="31"/>
        <v>1821.9121200331508</v>
      </c>
      <c r="G565" s="53">
        <f t="shared" si="31"/>
        <v>1821.9121200343106</v>
      </c>
      <c r="I565" s="542">
        <f t="shared" si="32"/>
        <v>0.10853249428313158</v>
      </c>
      <c r="J565" s="542">
        <f t="shared" si="29"/>
        <v>0.10848960791430286</v>
      </c>
      <c r="K565" s="542">
        <f t="shared" si="29"/>
        <v>0.10847726993999153</v>
      </c>
      <c r="L565" s="542">
        <f t="shared" si="29"/>
        <v>0.10853562112929631</v>
      </c>
      <c r="M565" s="542">
        <f t="shared" si="29"/>
        <v>0.10848304344654336</v>
      </c>
    </row>
    <row r="566" spans="2:13" x14ac:dyDescent="0.25">
      <c r="B566" t="str">
        <f t="shared" si="30"/>
        <v>2013</v>
      </c>
      <c r="C566" s="53">
        <f t="shared" si="31"/>
        <v>1861.9897185201467</v>
      </c>
      <c r="D566" s="53">
        <f t="shared" si="31"/>
        <v>1861.9897185162386</v>
      </c>
      <c r="E566" s="53">
        <f t="shared" si="31"/>
        <v>1861.9897185162386</v>
      </c>
      <c r="F566" s="53">
        <f t="shared" si="31"/>
        <v>1861.9897185162386</v>
      </c>
      <c r="G566" s="53">
        <f t="shared" si="31"/>
        <v>1861.9897185193568</v>
      </c>
      <c r="I566" s="542">
        <f t="shared" si="32"/>
        <v>0.1088039113311788</v>
      </c>
      <c r="J566" s="542">
        <f t="shared" si="29"/>
        <v>0.10875170924155951</v>
      </c>
      <c r="K566" s="542">
        <f t="shared" si="29"/>
        <v>0.10872334147008907</v>
      </c>
      <c r="L566" s="542">
        <f t="shared" si="29"/>
        <v>0.10879431888028168</v>
      </c>
      <c r="M566" s="542">
        <f t="shared" si="29"/>
        <v>0.10874372217445219</v>
      </c>
    </row>
    <row r="567" spans="2:13" x14ac:dyDescent="0.25">
      <c r="B567" t="str">
        <f t="shared" si="30"/>
        <v>2014</v>
      </c>
      <c r="C567" s="53">
        <f t="shared" si="31"/>
        <v>1902.2768839072721</v>
      </c>
      <c r="D567" s="53">
        <f t="shared" si="31"/>
        <v>1946.189793427031</v>
      </c>
      <c r="E567" s="53">
        <f t="shared" si="31"/>
        <v>1964.4150537463979</v>
      </c>
      <c r="F567" s="53">
        <f t="shared" si="31"/>
        <v>1920.8300840898407</v>
      </c>
      <c r="G567" s="53">
        <f t="shared" si="31"/>
        <v>1960.3945413773258</v>
      </c>
      <c r="I567" s="542">
        <f t="shared" si="32"/>
        <v>0.1091764826976095</v>
      </c>
      <c r="J567" s="542">
        <f t="shared" si="29"/>
        <v>0.10886354883658708</v>
      </c>
      <c r="K567" s="542">
        <f t="shared" si="29"/>
        <v>0.10902369470946985</v>
      </c>
      <c r="L567" s="542">
        <f t="shared" si="29"/>
        <v>0.10896774239800652</v>
      </c>
      <c r="M567" s="542">
        <f t="shared" si="29"/>
        <v>0.10901404754869035</v>
      </c>
    </row>
    <row r="568" spans="2:13" x14ac:dyDescent="0.25">
      <c r="B568" t="str">
        <f t="shared" si="30"/>
        <v>2015</v>
      </c>
      <c r="C568" s="53">
        <f t="shared" si="31"/>
        <v>1944.7991785504787</v>
      </c>
      <c r="D568" s="53">
        <f t="shared" si="31"/>
        <v>2049.6196571593059</v>
      </c>
      <c r="E568" s="53">
        <f t="shared" si="31"/>
        <v>2086.3362517390774</v>
      </c>
      <c r="F568" s="53">
        <f t="shared" si="31"/>
        <v>1988.368184115938</v>
      </c>
      <c r="G568" s="53">
        <f t="shared" si="31"/>
        <v>2077.2842596877695</v>
      </c>
      <c r="I568" s="542">
        <f t="shared" si="32"/>
        <v>0.10927558403550376</v>
      </c>
      <c r="J568" s="542">
        <f t="shared" si="29"/>
        <v>0.1097409372112096</v>
      </c>
      <c r="K568" s="542">
        <f t="shared" si="29"/>
        <v>0.11023301787499186</v>
      </c>
      <c r="L568" s="542">
        <f t="shared" si="29"/>
        <v>0.1093120325792092</v>
      </c>
      <c r="M568" s="542">
        <f t="shared" si="29"/>
        <v>0.11012749788803659</v>
      </c>
    </row>
    <row r="569" spans="2:13" x14ac:dyDescent="0.25">
      <c r="B569" t="str">
        <f t="shared" si="30"/>
        <v>2016</v>
      </c>
      <c r="C569" s="53">
        <f t="shared" si="31"/>
        <v>1991.0303051990434</v>
      </c>
      <c r="D569" s="53">
        <f t="shared" si="31"/>
        <v>2160.5384324734691</v>
      </c>
      <c r="E569" s="53">
        <f t="shared" si="31"/>
        <v>2217.7106910972666</v>
      </c>
      <c r="F569" s="53">
        <f t="shared" si="31"/>
        <v>2061.4309899217992</v>
      </c>
      <c r="G569" s="53">
        <f t="shared" si="31"/>
        <v>2202.6690413836764</v>
      </c>
      <c r="I569" s="542">
        <f t="shared" si="32"/>
        <v>0.1095002015090305</v>
      </c>
      <c r="J569" s="542">
        <f t="shared" si="29"/>
        <v>0.11087973304880661</v>
      </c>
      <c r="K569" s="542">
        <f t="shared" si="29"/>
        <v>0.11184342628071998</v>
      </c>
      <c r="L569" s="542">
        <f t="shared" si="29"/>
        <v>0.10982769519084301</v>
      </c>
      <c r="M569" s="542">
        <f t="shared" si="29"/>
        <v>0.11162198485251573</v>
      </c>
    </row>
    <row r="570" spans="2:13" x14ac:dyDescent="0.25">
      <c r="B570" t="str">
        <f t="shared" si="30"/>
        <v>2017</v>
      </c>
      <c r="C570" s="53">
        <f t="shared" si="31"/>
        <v>2037.6980800612127</v>
      </c>
      <c r="D570" s="53">
        <f t="shared" si="31"/>
        <v>2278.8193867188625</v>
      </c>
      <c r="E570" s="53">
        <f t="shared" si="31"/>
        <v>2359.7555199021749</v>
      </c>
      <c r="F570" s="53">
        <f t="shared" si="31"/>
        <v>2137.4652219838522</v>
      </c>
      <c r="G570" s="53">
        <f t="shared" si="31"/>
        <v>2337.7044840876924</v>
      </c>
      <c r="I570" s="542">
        <f t="shared" si="32"/>
        <v>0.10963275333397635</v>
      </c>
      <c r="J570" s="542">
        <f t="shared" si="29"/>
        <v>0.11231542455172626</v>
      </c>
      <c r="K570" s="542">
        <f t="shared" si="29"/>
        <v>0.11392927598557283</v>
      </c>
      <c r="L570" s="542">
        <f t="shared" si="29"/>
        <v>0.11040950888541919</v>
      </c>
      <c r="M570" s="542">
        <f t="shared" si="29"/>
        <v>0.11353105194099744</v>
      </c>
    </row>
    <row r="571" spans="2:13" x14ac:dyDescent="0.25">
      <c r="B571" t="str">
        <f t="shared" si="30"/>
        <v>2018</v>
      </c>
      <c r="C571" s="53">
        <f t="shared" si="31"/>
        <v>2086.0361911395921</v>
      </c>
      <c r="D571" s="53">
        <f t="shared" si="31"/>
        <v>2404.4155310150581</v>
      </c>
      <c r="E571" s="53">
        <f t="shared" si="31"/>
        <v>2514.3725763302782</v>
      </c>
      <c r="F571" s="53">
        <f t="shared" si="31"/>
        <v>2217.6988497901266</v>
      </c>
      <c r="G571" s="53">
        <f t="shared" si="31"/>
        <v>2484.1975090425626</v>
      </c>
      <c r="I571" s="542">
        <f t="shared" si="32"/>
        <v>0.10998762662806168</v>
      </c>
      <c r="J571" s="542">
        <f t="shared" si="29"/>
        <v>0.11416217744723288</v>
      </c>
      <c r="K571" s="542">
        <f t="shared" si="29"/>
        <v>0.11671629457514028</v>
      </c>
      <c r="L571" s="542">
        <f t="shared" si="29"/>
        <v>0.11126292344835617</v>
      </c>
      <c r="M571" s="542">
        <f t="shared" si="29"/>
        <v>0.11607120155063032</v>
      </c>
    </row>
    <row r="572" spans="2:13" x14ac:dyDescent="0.25">
      <c r="B572" t="str">
        <f t="shared" si="30"/>
        <v>2019</v>
      </c>
      <c r="C572" s="53">
        <f t="shared" si="31"/>
        <v>2135.1275370739277</v>
      </c>
      <c r="D572" s="53">
        <f t="shared" si="31"/>
        <v>2537.4164630579003</v>
      </c>
      <c r="E572" s="53">
        <f t="shared" si="31"/>
        <v>2682.3828668579317</v>
      </c>
      <c r="F572" s="53">
        <f t="shared" si="31"/>
        <v>2301.7525489445652</v>
      </c>
      <c r="G572" s="53">
        <f t="shared" si="31"/>
        <v>2643.9897734597052</v>
      </c>
      <c r="I572" s="542">
        <f t="shared" si="32"/>
        <v>0.11035947193322726</v>
      </c>
      <c r="J572" s="542">
        <f t="shared" si="29"/>
        <v>0.11633484521224109</v>
      </c>
      <c r="K572" s="542">
        <f t="shared" si="29"/>
        <v>0.12002170863050113</v>
      </c>
      <c r="L572" s="542">
        <f t="shared" si="29"/>
        <v>0.11228747399268045</v>
      </c>
      <c r="M572" s="542">
        <f t="shared" si="29"/>
        <v>0.11914886449546759</v>
      </c>
    </row>
    <row r="573" spans="2:13" x14ac:dyDescent="0.25">
      <c r="B573" t="str">
        <f t="shared" si="30"/>
        <v>2020</v>
      </c>
      <c r="C573" s="53">
        <f t="shared" si="31"/>
        <v>2185.4901810253637</v>
      </c>
      <c r="D573" s="53">
        <f t="shared" si="31"/>
        <v>2670.4799400582874</v>
      </c>
      <c r="E573" s="53">
        <f t="shared" si="31"/>
        <v>2833.8906041400887</v>
      </c>
      <c r="F573" s="53">
        <f t="shared" si="31"/>
        <v>2380.3279849689634</v>
      </c>
      <c r="G573" s="53">
        <f t="shared" si="31"/>
        <v>2793.7024051873072</v>
      </c>
      <c r="I573" s="542">
        <f t="shared" si="32"/>
        <v>0.11079488707077736</v>
      </c>
      <c r="J573" s="542">
        <f t="shared" si="29"/>
        <v>0.11866963084055024</v>
      </c>
      <c r="K573" s="542">
        <f t="shared" si="29"/>
        <v>0.12307772159326859</v>
      </c>
      <c r="L573" s="542">
        <f t="shared" si="29"/>
        <v>0.11337272302625385</v>
      </c>
      <c r="M573" s="542">
        <f t="shared" si="29"/>
        <v>0.12210638502384039</v>
      </c>
    </row>
    <row r="574" spans="2:13" x14ac:dyDescent="0.25">
      <c r="B574" t="str">
        <f t="shared" si="30"/>
        <v>2021</v>
      </c>
      <c r="C574" s="53">
        <f t="shared" si="31"/>
        <v>2237.1216591084558</v>
      </c>
      <c r="D574" s="53">
        <f t="shared" si="31"/>
        <v>2811.6540919974855</v>
      </c>
      <c r="E574" s="53">
        <f t="shared" si="31"/>
        <v>3004.9993895468615</v>
      </c>
      <c r="F574" s="53">
        <f t="shared" si="31"/>
        <v>2460.3141817066239</v>
      </c>
      <c r="G574" s="53">
        <f t="shared" si="31"/>
        <v>2953.5773418973636</v>
      </c>
      <c r="I574" s="542">
        <f t="shared" si="32"/>
        <v>0.11136200318740475</v>
      </c>
      <c r="J574" s="542">
        <f t="shared" si="29"/>
        <v>0.12137056474068872</v>
      </c>
      <c r="K574" s="542">
        <f t="shared" si="29"/>
        <v>0.12690208449306942</v>
      </c>
      <c r="L574" s="542">
        <f t="shared" si="29"/>
        <v>0.11456753577724063</v>
      </c>
      <c r="M574" s="542">
        <f t="shared" si="29"/>
        <v>0.12550682025364748</v>
      </c>
    </row>
    <row r="575" spans="2:13" x14ac:dyDescent="0.25">
      <c r="B575" t="str">
        <f t="shared" si="30"/>
        <v>2022</v>
      </c>
      <c r="C575" s="53">
        <f t="shared" si="31"/>
        <v>2290.0320570554627</v>
      </c>
      <c r="D575" s="53">
        <f t="shared" si="31"/>
        <v>2961.5768201292785</v>
      </c>
      <c r="E575" s="53">
        <f t="shared" si="31"/>
        <v>3190.2340056975399</v>
      </c>
      <c r="F575" s="53">
        <f t="shared" si="31"/>
        <v>2543.3804353329811</v>
      </c>
      <c r="G575" s="53">
        <f t="shared" si="31"/>
        <v>3124.9836159322854</v>
      </c>
      <c r="I575" s="542">
        <f t="shared" si="32"/>
        <v>0.11203397503970934</v>
      </c>
      <c r="J575" s="542">
        <f t="shared" si="29"/>
        <v>0.12436215984926703</v>
      </c>
      <c r="K575" s="542">
        <f t="shared" si="29"/>
        <v>0.131145922009855</v>
      </c>
      <c r="L575" s="542">
        <f t="shared" si="29"/>
        <v>0.11586857176247672</v>
      </c>
      <c r="M575" s="542">
        <f t="shared" si="29"/>
        <v>0.12932508871821874</v>
      </c>
    </row>
    <row r="576" spans="2:13" x14ac:dyDescent="0.25">
      <c r="B576" t="str">
        <f t="shared" si="30"/>
        <v>2023</v>
      </c>
      <c r="C576" s="53">
        <f t="shared" si="31"/>
        <v>2344.2503350151451</v>
      </c>
      <c r="D576" s="53">
        <f t="shared" si="31"/>
        <v>3120.8446897636718</v>
      </c>
      <c r="E576" s="53">
        <f t="shared" si="31"/>
        <v>3390.2433328833317</v>
      </c>
      <c r="F576" s="53">
        <f t="shared" si="31"/>
        <v>2629.7076864636683</v>
      </c>
      <c r="G576" s="53">
        <f t="shared" si="31"/>
        <v>3309.2106116016043</v>
      </c>
      <c r="I576" s="542">
        <f t="shared" si="32"/>
        <v>0.11275079597352033</v>
      </c>
      <c r="J576" s="542">
        <f t="shared" si="32"/>
        <v>0.12771222032133522</v>
      </c>
      <c r="K576" s="542">
        <f t="shared" si="32"/>
        <v>0.13587784778225689</v>
      </c>
      <c r="L576" s="542">
        <f t="shared" si="32"/>
        <v>0.1172807700851974</v>
      </c>
      <c r="M576" s="542">
        <f t="shared" si="32"/>
        <v>0.13352398407438865</v>
      </c>
    </row>
    <row r="577" spans="2:13" x14ac:dyDescent="0.25">
      <c r="B577" t="str">
        <f t="shared" si="30"/>
        <v>2024</v>
      </c>
      <c r="C577" s="53">
        <f t="shared" ref="C577:G592" si="33">SUMIF($C$551:$CD$551,C$559,$C512:$CD512)</f>
        <v>2399.813588748219</v>
      </c>
      <c r="D577" s="53">
        <f t="shared" si="33"/>
        <v>3280.017712379261</v>
      </c>
      <c r="E577" s="53">
        <f t="shared" si="33"/>
        <v>3597.7396103422107</v>
      </c>
      <c r="F577" s="53">
        <f t="shared" si="33"/>
        <v>2716.840586213299</v>
      </c>
      <c r="G577" s="53">
        <f t="shared" si="33"/>
        <v>3490.3050803387532</v>
      </c>
      <c r="I577" s="542">
        <f t="shared" ref="I577:M592" si="34">(C577-($C$556*SUMIF($C$549:$Q$549,I$559&amp;$C$553,$C475:$Q475)+$D$556*SUMIF($C$549:$Q$549,I$559&amp;$D$553,$C475:$Q475)))/SUMIF($C$549:$Q$549,I$559&amp;$E$553,$C475:$Q475)</f>
        <v>0.11346934011778438</v>
      </c>
      <c r="J577" s="542">
        <f t="shared" si="34"/>
        <v>0.13129747143306314</v>
      </c>
      <c r="K577" s="542">
        <f t="shared" si="34"/>
        <v>0.1408106200395664</v>
      </c>
      <c r="L577" s="542">
        <f t="shared" si="34"/>
        <v>0.11873316673923855</v>
      </c>
      <c r="M577" s="542">
        <f t="shared" si="34"/>
        <v>0.13776740810157018</v>
      </c>
    </row>
    <row r="578" spans="2:13" x14ac:dyDescent="0.25">
      <c r="B578" t="str">
        <f t="shared" si="30"/>
        <v>2025</v>
      </c>
      <c r="C578" s="53">
        <f t="shared" si="33"/>
        <v>2456.7616457209415</v>
      </c>
      <c r="D578" s="53">
        <f t="shared" si="33"/>
        <v>3445.5874591918373</v>
      </c>
      <c r="E578" s="53">
        <f t="shared" si="33"/>
        <v>3818.7874436264319</v>
      </c>
      <c r="F578" s="53">
        <f t="shared" si="33"/>
        <v>2806.6442009272669</v>
      </c>
      <c r="G578" s="53">
        <f t="shared" si="33"/>
        <v>3678.0945231527339</v>
      </c>
      <c r="I578" s="542">
        <f t="shared" si="34"/>
        <v>0.1141983859765303</v>
      </c>
      <c r="J578" s="542">
        <f t="shared" si="34"/>
        <v>0.13514180414848329</v>
      </c>
      <c r="K578" s="542">
        <f t="shared" si="34"/>
        <v>0.14612794869841106</v>
      </c>
      <c r="L578" s="542">
        <f t="shared" si="34"/>
        <v>0.12024082400519787</v>
      </c>
      <c r="M578" s="542">
        <f t="shared" si="34"/>
        <v>0.14211690087302256</v>
      </c>
    </row>
    <row r="579" spans="2:13" x14ac:dyDescent="0.25">
      <c r="B579" t="str">
        <f t="shared" si="30"/>
        <v>2026</v>
      </c>
      <c r="C579" s="53">
        <f t="shared" si="33"/>
        <v>2515.1350259910519</v>
      </c>
      <c r="D579" s="53">
        <f t="shared" si="33"/>
        <v>3620.2012311271214</v>
      </c>
      <c r="E579" s="53">
        <f t="shared" si="33"/>
        <v>4056.289115280224</v>
      </c>
      <c r="F579" s="53">
        <f t="shared" si="33"/>
        <v>2899.675506932705</v>
      </c>
      <c r="G579" s="53">
        <f t="shared" si="33"/>
        <v>3878.0664022731753</v>
      </c>
      <c r="I579" s="542">
        <f t="shared" si="34"/>
        <v>0.11487051760282944</v>
      </c>
      <c r="J579" s="542">
        <f t="shared" si="34"/>
        <v>0.13911259377492186</v>
      </c>
      <c r="K579" s="542">
        <f t="shared" si="34"/>
        <v>0.15176039619389781</v>
      </c>
      <c r="L579" s="542">
        <f t="shared" si="34"/>
        <v>0.12187678825263147</v>
      </c>
      <c r="M579" s="542">
        <f t="shared" si="34"/>
        <v>0.14673022863152843</v>
      </c>
    </row>
    <row r="580" spans="2:13" x14ac:dyDescent="0.25">
      <c r="B580" t="str">
        <f t="shared" si="30"/>
        <v>2027</v>
      </c>
      <c r="C580" s="53">
        <f t="shared" si="33"/>
        <v>2574.9743379671377</v>
      </c>
      <c r="D580" s="53">
        <f t="shared" si="33"/>
        <v>3804.2786567419212</v>
      </c>
      <c r="E580" s="53">
        <f t="shared" si="33"/>
        <v>4311.5649114944199</v>
      </c>
      <c r="F580" s="53">
        <f t="shared" si="33"/>
        <v>2996.1385964717965</v>
      </c>
      <c r="G580" s="53">
        <f t="shared" si="33"/>
        <v>4090.4988359973759</v>
      </c>
      <c r="I580" s="542">
        <f t="shared" si="34"/>
        <v>0.11565315927654793</v>
      </c>
      <c r="J580" s="542">
        <f t="shared" si="34"/>
        <v>0.1432215231337621</v>
      </c>
      <c r="K580" s="542">
        <f t="shared" si="34"/>
        <v>0.15772987274303329</v>
      </c>
      <c r="L580" s="542">
        <f t="shared" si="34"/>
        <v>0.12361076596242515</v>
      </c>
      <c r="M580" s="542">
        <f t="shared" si="34"/>
        <v>0.15155581093142015</v>
      </c>
    </row>
    <row r="581" spans="2:13" x14ac:dyDescent="0.25">
      <c r="B581" t="str">
        <f t="shared" si="30"/>
        <v>2028</v>
      </c>
      <c r="C581" s="53">
        <f t="shared" si="33"/>
        <v>2636.3202086962833</v>
      </c>
      <c r="D581" s="53">
        <f t="shared" si="33"/>
        <v>3998.3392190125555</v>
      </c>
      <c r="E581" s="53">
        <f t="shared" si="33"/>
        <v>4586.135582865847</v>
      </c>
      <c r="F581" s="53">
        <f t="shared" si="33"/>
        <v>3096.1903409564361</v>
      </c>
      <c r="G581" s="53">
        <f t="shared" si="33"/>
        <v>4316.3383848021967</v>
      </c>
      <c r="I581" s="542">
        <f t="shared" si="34"/>
        <v>0.11654740635254729</v>
      </c>
      <c r="J581" s="542">
        <f t="shared" si="34"/>
        <v>0.14735189944871099</v>
      </c>
      <c r="K581" s="542">
        <f t="shared" si="34"/>
        <v>0.16398018497514413</v>
      </c>
      <c r="L581" s="542">
        <f t="shared" si="34"/>
        <v>0.12545017664877811</v>
      </c>
      <c r="M581" s="542">
        <f t="shared" si="34"/>
        <v>0.1565391475192365</v>
      </c>
    </row>
    <row r="582" spans="2:13" x14ac:dyDescent="0.25">
      <c r="B582" t="str">
        <f t="shared" si="30"/>
        <v>2029</v>
      </c>
      <c r="C582" s="53">
        <f t="shared" si="33"/>
        <v>2699.2133844005039</v>
      </c>
      <c r="D582" s="53">
        <f t="shared" si="33"/>
        <v>4187.9413934530676</v>
      </c>
      <c r="E582" s="53">
        <f t="shared" si="33"/>
        <v>4837.2851841741831</v>
      </c>
      <c r="F582" s="53">
        <f t="shared" si="33"/>
        <v>3180.4906051847183</v>
      </c>
      <c r="G582" s="53">
        <f t="shared" si="33"/>
        <v>4498.7719091839863</v>
      </c>
      <c r="I582" s="542">
        <f t="shared" si="34"/>
        <v>0.11751340501784308</v>
      </c>
      <c r="J582" s="542">
        <f t="shared" si="34"/>
        <v>0.15131384249680371</v>
      </c>
      <c r="K582" s="542">
        <f t="shared" si="34"/>
        <v>0.16958691804134141</v>
      </c>
      <c r="L582" s="542">
        <f t="shared" si="34"/>
        <v>0.12679980651698275</v>
      </c>
      <c r="M582" s="542">
        <f t="shared" si="34"/>
        <v>0.16041193544617177</v>
      </c>
    </row>
    <row r="583" spans="2:13" x14ac:dyDescent="0.25">
      <c r="B583" t="str">
        <f t="shared" si="30"/>
        <v>2030</v>
      </c>
      <c r="C583" s="53">
        <f t="shared" si="33"/>
        <v>2763.6948657818293</v>
      </c>
      <c r="D583" s="53">
        <f t="shared" si="33"/>
        <v>4383.2031384852125</v>
      </c>
      <c r="E583" s="53">
        <f t="shared" si="33"/>
        <v>5089.5924636185973</v>
      </c>
      <c r="F583" s="53">
        <f t="shared" si="33"/>
        <v>3262.7937816103222</v>
      </c>
      <c r="G583" s="53">
        <f t="shared" si="33"/>
        <v>4670.9157069713447</v>
      </c>
      <c r="I583" s="542">
        <f t="shared" si="34"/>
        <v>0.11851183715135416</v>
      </c>
      <c r="J583" s="542">
        <f t="shared" si="34"/>
        <v>0.15532994693992033</v>
      </c>
      <c r="K583" s="542">
        <f t="shared" si="34"/>
        <v>0.17502853690985548</v>
      </c>
      <c r="L583" s="542">
        <f t="shared" si="34"/>
        <v>0.12804908602084722</v>
      </c>
      <c r="M583" s="542">
        <f t="shared" si="34"/>
        <v>0.16382734531267645</v>
      </c>
    </row>
    <row r="584" spans="2:13" x14ac:dyDescent="0.25">
      <c r="B584" t="str">
        <f t="shared" si="30"/>
        <v>2031</v>
      </c>
      <c r="C584" s="53">
        <f t="shared" si="33"/>
        <v>2829.8060338135465</v>
      </c>
      <c r="D584" s="53">
        <f t="shared" si="33"/>
        <v>4587.0750958866047</v>
      </c>
      <c r="E584" s="53">
        <f t="shared" si="33"/>
        <v>5355.521662510987</v>
      </c>
      <c r="F584" s="53">
        <f t="shared" si="33"/>
        <v>3345.876981354495</v>
      </c>
      <c r="G584" s="53">
        <f t="shared" si="33"/>
        <v>4846.1085295005259</v>
      </c>
      <c r="I584" s="542">
        <f t="shared" si="34"/>
        <v>0.11941349273726169</v>
      </c>
      <c r="J584" s="542">
        <f t="shared" si="34"/>
        <v>0.15946689365686204</v>
      </c>
      <c r="K584" s="542">
        <f t="shared" si="34"/>
        <v>0.18076326177069504</v>
      </c>
      <c r="L584" s="542">
        <f t="shared" si="34"/>
        <v>0.12924125587058663</v>
      </c>
      <c r="M584" s="542">
        <f t="shared" si="34"/>
        <v>0.16727242112257604</v>
      </c>
    </row>
    <row r="585" spans="2:13" x14ac:dyDescent="0.25">
      <c r="B585" t="str">
        <f t="shared" si="30"/>
        <v>2032</v>
      </c>
      <c r="C585" s="53">
        <f t="shared" si="33"/>
        <v>2897.5887558129471</v>
      </c>
      <c r="D585" s="53">
        <f t="shared" si="33"/>
        <v>4800.0622955330127</v>
      </c>
      <c r="E585" s="53">
        <f t="shared" si="33"/>
        <v>5635.1883410130922</v>
      </c>
      <c r="F585" s="53">
        <f t="shared" si="33"/>
        <v>3430.2497643975375</v>
      </c>
      <c r="G585" s="53">
        <f t="shared" si="33"/>
        <v>5024.5238643133534</v>
      </c>
      <c r="I585" s="542">
        <f t="shared" si="34"/>
        <v>0.1202066786562189</v>
      </c>
      <c r="J585" s="542">
        <f t="shared" si="34"/>
        <v>0.1637644313949512</v>
      </c>
      <c r="K585" s="542">
        <f t="shared" si="34"/>
        <v>0.18683431680911933</v>
      </c>
      <c r="L585" s="542">
        <f t="shared" si="34"/>
        <v>0.13044837232113629</v>
      </c>
      <c r="M585" s="542">
        <f t="shared" si="34"/>
        <v>0.17073499391972272</v>
      </c>
    </row>
    <row r="586" spans="2:13" x14ac:dyDescent="0.25">
      <c r="B586" t="str">
        <f t="shared" si="30"/>
        <v>2033</v>
      </c>
      <c r="C586" s="53">
        <f t="shared" si="33"/>
        <v>2967.0854729594207</v>
      </c>
      <c r="D586" s="53">
        <f t="shared" si="33"/>
        <v>5022.5947712131392</v>
      </c>
      <c r="E586" s="53">
        <f t="shared" si="33"/>
        <v>5929.5958806647559</v>
      </c>
      <c r="F586" s="53">
        <f t="shared" si="33"/>
        <v>3516.0874191115799</v>
      </c>
      <c r="G586" s="53">
        <f t="shared" si="33"/>
        <v>5206.3533137280274</v>
      </c>
      <c r="I586" s="542">
        <f t="shared" si="34"/>
        <v>0.12097483115186365</v>
      </c>
      <c r="J586" s="542">
        <f t="shared" si="34"/>
        <v>0.16824270087983101</v>
      </c>
      <c r="K586" s="542">
        <f t="shared" si="34"/>
        <v>0.19316808446131462</v>
      </c>
      <c r="L586" s="542">
        <f t="shared" si="34"/>
        <v>0.13170140352804441</v>
      </c>
      <c r="M586" s="542">
        <f t="shared" si="34"/>
        <v>0.17419914174842036</v>
      </c>
    </row>
    <row r="587" spans="2:13" x14ac:dyDescent="0.25">
      <c r="B587" t="str">
        <f t="shared" si="30"/>
        <v>2034</v>
      </c>
      <c r="C587" s="53">
        <f t="shared" si="33"/>
        <v>3038.3392732016318</v>
      </c>
      <c r="D587" s="53">
        <f t="shared" si="33"/>
        <v>5232.2247528983862</v>
      </c>
      <c r="E587" s="53">
        <f t="shared" si="33"/>
        <v>6176.8164811614488</v>
      </c>
      <c r="F587" s="53">
        <f t="shared" si="33"/>
        <v>3595.4775947476514</v>
      </c>
      <c r="G587" s="53">
        <f t="shared" si="33"/>
        <v>5374.4819024648914</v>
      </c>
      <c r="I587" s="542">
        <f t="shared" si="34"/>
        <v>0.12173243982687709</v>
      </c>
      <c r="J587" s="542">
        <f t="shared" si="34"/>
        <v>0.17239842264870309</v>
      </c>
      <c r="K587" s="542">
        <f t="shared" si="34"/>
        <v>0.19820805225720095</v>
      </c>
      <c r="L587" s="542">
        <f t="shared" si="34"/>
        <v>0.13278409579048017</v>
      </c>
      <c r="M587" s="542">
        <f t="shared" si="34"/>
        <v>0.17723455286180925</v>
      </c>
    </row>
    <row r="588" spans="2:13" x14ac:dyDescent="0.25">
      <c r="B588" t="str">
        <f t="shared" si="30"/>
        <v>2035</v>
      </c>
      <c r="C588" s="53">
        <f t="shared" si="33"/>
        <v>3111.3939537786609</v>
      </c>
      <c r="D588" s="53">
        <f t="shared" si="33"/>
        <v>5445.3790897302633</v>
      </c>
      <c r="E588" s="53">
        <f t="shared" si="33"/>
        <v>6419.6662740652646</v>
      </c>
      <c r="F588" s="53">
        <f t="shared" si="33"/>
        <v>3674.9008456541706</v>
      </c>
      <c r="G588" s="53">
        <f t="shared" si="33"/>
        <v>5540.6981492419554</v>
      </c>
      <c r="I588" s="542">
        <f t="shared" si="34"/>
        <v>0.12253812194646392</v>
      </c>
      <c r="J588" s="542">
        <f t="shared" si="34"/>
        <v>0.1765423052753009</v>
      </c>
      <c r="K588" s="542">
        <f t="shared" si="34"/>
        <v>0.2028978045852719</v>
      </c>
      <c r="L588" s="542">
        <f t="shared" si="34"/>
        <v>0.13387452775997499</v>
      </c>
      <c r="M588" s="542">
        <f t="shared" si="34"/>
        <v>0.18014616305794481</v>
      </c>
    </row>
    <row r="589" spans="2:13" x14ac:dyDescent="0.25">
      <c r="B589" t="str">
        <f t="shared" si="30"/>
        <v>2036</v>
      </c>
      <c r="C589" s="53">
        <f t="shared" si="33"/>
        <v>3186.2940763528104</v>
      </c>
      <c r="D589" s="53">
        <f t="shared" si="33"/>
        <v>5665.1106065129397</v>
      </c>
      <c r="E589" s="53">
        <f t="shared" si="33"/>
        <v>6668.0919098283912</v>
      </c>
      <c r="F589" s="53">
        <f t="shared" si="33"/>
        <v>3755.0486415118721</v>
      </c>
      <c r="G589" s="53">
        <f t="shared" si="33"/>
        <v>5707.4855414589438</v>
      </c>
      <c r="I589" s="542">
        <f t="shared" si="34"/>
        <v>0.12340344342013118</v>
      </c>
      <c r="J589" s="542">
        <f t="shared" si="34"/>
        <v>0.18072735670592779</v>
      </c>
      <c r="K589" s="542">
        <f t="shared" si="34"/>
        <v>0.20761846536543382</v>
      </c>
      <c r="L589" s="542">
        <f t="shared" si="34"/>
        <v>0.13489929730072808</v>
      </c>
      <c r="M589" s="542">
        <f t="shared" si="34"/>
        <v>0.18300549551090717</v>
      </c>
    </row>
    <row r="590" spans="2:13" x14ac:dyDescent="0.25">
      <c r="B590" t="str">
        <f t="shared" si="30"/>
        <v>2037</v>
      </c>
      <c r="C590" s="53">
        <f t="shared" si="33"/>
        <v>3263.0850171726902</v>
      </c>
      <c r="D590" s="53">
        <f t="shared" si="33"/>
        <v>5891.8039776413989</v>
      </c>
      <c r="E590" s="53">
        <f t="shared" si="33"/>
        <v>6921.6594547591667</v>
      </c>
      <c r="F590" s="53">
        <f t="shared" si="33"/>
        <v>3836.0336239821922</v>
      </c>
      <c r="G590" s="53">
        <f t="shared" si="33"/>
        <v>5874.7812202981168</v>
      </c>
      <c r="I590" s="542">
        <f t="shared" si="34"/>
        <v>0.12435429065443965</v>
      </c>
      <c r="J590" s="542">
        <f t="shared" si="34"/>
        <v>0.18502448883483261</v>
      </c>
      <c r="K590" s="542">
        <f t="shared" si="34"/>
        <v>0.2124057606143992</v>
      </c>
      <c r="L590" s="542">
        <f t="shared" si="34"/>
        <v>0.13596352937197353</v>
      </c>
      <c r="M590" s="542">
        <f t="shared" si="34"/>
        <v>0.18583750259517223</v>
      </c>
    </row>
    <row r="591" spans="2:13" x14ac:dyDescent="0.25">
      <c r="B591" t="str">
        <f t="shared" si="30"/>
        <v>2038</v>
      </c>
      <c r="C591" s="53">
        <f t="shared" si="33"/>
        <v>3341.8130139597288</v>
      </c>
      <c r="D591" s="53">
        <f t="shared" si="33"/>
        <v>6125.6967624604367</v>
      </c>
      <c r="E591" s="53">
        <f t="shared" si="33"/>
        <v>7180.5478570043515</v>
      </c>
      <c r="F591" s="53">
        <f t="shared" si="33"/>
        <v>3917.8934710316025</v>
      </c>
      <c r="G591" s="53">
        <f t="shared" si="33"/>
        <v>6042.44316577266</v>
      </c>
      <c r="I591" s="542">
        <f t="shared" si="34"/>
        <v>0.12530473334761888</v>
      </c>
      <c r="J591" s="542">
        <f t="shared" si="34"/>
        <v>0.18937489810595309</v>
      </c>
      <c r="K591" s="542">
        <f t="shared" si="34"/>
        <v>0.21720551170146887</v>
      </c>
      <c r="L591" s="542">
        <f t="shared" si="34"/>
        <v>0.13700222965664291</v>
      </c>
      <c r="M591" s="542">
        <f t="shared" si="34"/>
        <v>0.18861075085587592</v>
      </c>
    </row>
    <row r="592" spans="2:13" x14ac:dyDescent="0.25">
      <c r="B592" t="str">
        <f t="shared" si="30"/>
        <v>2039</v>
      </c>
      <c r="C592" s="53">
        <f t="shared" si="33"/>
        <v>3422.52521058105</v>
      </c>
      <c r="D592" s="53">
        <f t="shared" si="33"/>
        <v>6367.0116496912606</v>
      </c>
      <c r="E592" s="53">
        <f t="shared" si="33"/>
        <v>7444.9377569562284</v>
      </c>
      <c r="F592" s="53">
        <f t="shared" si="33"/>
        <v>4000.6486378845939</v>
      </c>
      <c r="G592" s="53">
        <f t="shared" si="33"/>
        <v>6210.311150974353</v>
      </c>
      <c r="I592" s="542">
        <f t="shared" si="34"/>
        <v>0.12625496058991256</v>
      </c>
      <c r="J592" s="542">
        <f t="shared" si="34"/>
        <v>0.19381739662234035</v>
      </c>
      <c r="K592" s="542">
        <f t="shared" si="34"/>
        <v>0.22202870848724457</v>
      </c>
      <c r="L592" s="542">
        <f t="shared" si="34"/>
        <v>0.13801930573878363</v>
      </c>
      <c r="M592" s="542">
        <f t="shared" si="34"/>
        <v>0.19131247438243448</v>
      </c>
    </row>
    <row r="593" spans="2:13" x14ac:dyDescent="0.25">
      <c r="B593" t="str">
        <f t="shared" si="30"/>
        <v>2040</v>
      </c>
      <c r="C593" s="53">
        <f t="shared" ref="C593:G593" si="35">SUMIF($C$551:$CD$551,C$559,$C528:$CD528)</f>
        <v>3505.269700237212</v>
      </c>
      <c r="D593" s="53">
        <f t="shared" si="35"/>
        <v>6615.9739428572002</v>
      </c>
      <c r="E593" s="53">
        <f t="shared" si="35"/>
        <v>7714.9938860747188</v>
      </c>
      <c r="F593" s="53">
        <f t="shared" si="35"/>
        <v>4084.3153564309596</v>
      </c>
      <c r="G593" s="53">
        <f t="shared" si="35"/>
        <v>6378.2179683612321</v>
      </c>
      <c r="I593" s="542">
        <f t="shared" ref="I593:M593" si="36">(C593-($C$556*SUMIF($C$549:$Q$549,I$559&amp;$C$553,$C491:$Q491)+$D$556*SUMIF($C$549:$Q$549,I$559&amp;$D$553,$C491:$Q491)))/SUMIF($C$549:$Q$549,I$559&amp;$E$553,$C491:$Q491)</f>
        <v>0.12730516677749443</v>
      </c>
      <c r="J593" s="542">
        <f t="shared" si="36"/>
        <v>0.19836774769713977</v>
      </c>
      <c r="K593" s="542">
        <f t="shared" si="36"/>
        <v>0.22690071229319703</v>
      </c>
      <c r="L593" s="542">
        <f t="shared" si="36"/>
        <v>0.13906747977239522</v>
      </c>
      <c r="M593" s="542">
        <f t="shared" si="36"/>
        <v>0.19397499349971623</v>
      </c>
    </row>
    <row r="594" spans="2:13" x14ac:dyDescent="0.25">
      <c r="C594" s="53"/>
      <c r="D594" s="53"/>
      <c r="E594" s="53"/>
      <c r="F594" s="53"/>
      <c r="G594" s="53"/>
    </row>
    <row r="595" spans="2:13" x14ac:dyDescent="0.25">
      <c r="C595" s="53"/>
      <c r="D595" s="53"/>
      <c r="E595" s="53"/>
      <c r="F595" s="53"/>
      <c r="G595" s="53"/>
    </row>
    <row r="596" spans="2:13" x14ac:dyDescent="0.25">
      <c r="C596" s="53"/>
      <c r="D596" s="53"/>
      <c r="E596" s="53"/>
      <c r="F596" s="53"/>
      <c r="G596" s="53"/>
    </row>
    <row r="597" spans="2:13" x14ac:dyDescent="0.25">
      <c r="C597" s="53"/>
      <c r="D597" s="53"/>
      <c r="E597" s="53"/>
      <c r="F597" s="53"/>
      <c r="G597" s="53"/>
    </row>
    <row r="598" spans="2:13" x14ac:dyDescent="0.25">
      <c r="C598" s="53"/>
      <c r="D598" s="53"/>
      <c r="E598" s="53"/>
      <c r="F598" s="53"/>
      <c r="G598" s="53"/>
    </row>
    <row r="599" spans="2:13" x14ac:dyDescent="0.25">
      <c r="C599" s="53"/>
      <c r="D599" s="53"/>
      <c r="E599" s="53"/>
      <c r="F599" s="53"/>
      <c r="G599" s="53"/>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W180"/>
  <sheetViews>
    <sheetView zoomScale="85" zoomScaleNormal="85" workbookViewId="0">
      <selection activeCell="I26" sqref="I26"/>
    </sheetView>
  </sheetViews>
  <sheetFormatPr defaultRowHeight="15" x14ac:dyDescent="0.25"/>
  <cols>
    <col min="1" max="1" width="11.140625" style="414" customWidth="1"/>
    <col min="2" max="2" width="29.28515625" style="4" customWidth="1"/>
    <col min="3" max="3" width="13.5703125" style="413" customWidth="1"/>
    <col min="4" max="6" width="9.140625" style="413"/>
    <col min="7" max="7" width="23.28515625" style="413" customWidth="1"/>
    <col min="8" max="8" width="9.140625" style="413"/>
    <col min="9" max="9" width="10" style="413" customWidth="1"/>
    <col min="10" max="12" width="9.140625" style="413"/>
    <col min="13" max="13" width="13.42578125" style="413" customWidth="1"/>
    <col min="14" max="14" width="14.7109375" style="413" customWidth="1"/>
    <col min="15" max="21" width="9.140625" style="413"/>
    <col min="22" max="22" width="9.140625" style="413" customWidth="1"/>
    <col min="23" max="24" width="9.140625" style="413"/>
    <col min="25" max="25" width="11.85546875" style="413" bestFit="1" customWidth="1"/>
    <col min="26" max="16384" width="9.140625" style="413"/>
  </cols>
  <sheetData>
    <row r="1" spans="2:23" s="481" customFormat="1" x14ac:dyDescent="0.25">
      <c r="B1" s="492" t="s">
        <v>893</v>
      </c>
      <c r="C1" s="485" t="s">
        <v>1373</v>
      </c>
      <c r="N1" s="481" t="s">
        <v>568</v>
      </c>
    </row>
    <row r="2" spans="2:23" s="481" customFormat="1" x14ac:dyDescent="0.25">
      <c r="B2" s="493" t="s">
        <v>496</v>
      </c>
      <c r="C2" s="483">
        <v>2006</v>
      </c>
      <c r="D2" s="483">
        <v>2010</v>
      </c>
      <c r="E2" s="483">
        <v>2015</v>
      </c>
      <c r="F2" s="483">
        <v>2020</v>
      </c>
      <c r="G2" s="483">
        <v>2025</v>
      </c>
      <c r="H2" s="483">
        <v>2030</v>
      </c>
      <c r="I2" s="483"/>
      <c r="J2" s="483"/>
      <c r="K2" s="483"/>
      <c r="L2" s="483"/>
      <c r="N2" s="483">
        <v>2006</v>
      </c>
      <c r="O2" s="483">
        <v>2010</v>
      </c>
      <c r="P2" s="483">
        <v>2015</v>
      </c>
      <c r="Q2" s="483">
        <v>2020</v>
      </c>
      <c r="R2" s="483">
        <v>2025</v>
      </c>
      <c r="S2" s="483">
        <v>2030</v>
      </c>
      <c r="T2" s="483">
        <v>2035</v>
      </c>
      <c r="U2" s="483">
        <v>2040</v>
      </c>
      <c r="V2" s="483">
        <v>2045</v>
      </c>
      <c r="W2" s="483">
        <v>2050</v>
      </c>
    </row>
    <row r="3" spans="2:23" s="483" customFormat="1" x14ac:dyDescent="0.25">
      <c r="B3" s="482" t="s">
        <v>495</v>
      </c>
      <c r="D3" s="481">
        <f>SUM(D4:D6)</f>
        <v>16.3</v>
      </c>
      <c r="E3" s="483">
        <f>SUM(E4:E6)</f>
        <v>31.200000000000003</v>
      </c>
      <c r="F3" s="483">
        <f t="shared" ref="F3:G3" si="0">SUM(F4:F6)</f>
        <v>40.299999999999997</v>
      </c>
      <c r="G3" s="483">
        <f t="shared" si="0"/>
        <v>40.6</v>
      </c>
      <c r="H3" s="483">
        <f>SUM(H4:H6)</f>
        <v>43.6</v>
      </c>
      <c r="N3" s="574">
        <f>N$2*$V$27+$V$28</f>
        <v>12.300000000000182</v>
      </c>
      <c r="O3" s="575">
        <f>H136</f>
        <v>13</v>
      </c>
      <c r="P3" s="575">
        <f>E3-P4</f>
        <v>25.405800000000003</v>
      </c>
      <c r="Q3" s="483">
        <f t="shared" ref="Q3:R3" si="1">F3</f>
        <v>40.299999999999997</v>
      </c>
      <c r="R3" s="483">
        <f t="shared" si="1"/>
        <v>40.6</v>
      </c>
      <c r="S3" s="483">
        <f>H3</f>
        <v>43.6</v>
      </c>
      <c r="T3" s="574">
        <f>T$2*$N$27+$N$28</f>
        <v>44.800000000000068</v>
      </c>
      <c r="U3" s="575">
        <f>AL136</f>
        <v>46.4</v>
      </c>
      <c r="V3" s="575">
        <f t="shared" ref="V3:W3" si="2">AM136</f>
        <v>46.8</v>
      </c>
      <c r="W3" s="575">
        <f t="shared" si="2"/>
        <v>47</v>
      </c>
    </row>
    <row r="4" spans="2:23" s="481" customFormat="1" x14ac:dyDescent="0.25">
      <c r="B4" s="485" t="s">
        <v>497</v>
      </c>
      <c r="C4" s="486"/>
      <c r="D4" s="481">
        <f>D34</f>
        <v>10.4</v>
      </c>
      <c r="E4" s="481">
        <f>I34</f>
        <v>10.4</v>
      </c>
      <c r="F4" s="481">
        <f>J34</f>
        <v>10.4</v>
      </c>
      <c r="G4" s="481">
        <f>K34</f>
        <v>10.4</v>
      </c>
      <c r="H4" s="481">
        <f>L34</f>
        <v>10.4</v>
      </c>
      <c r="M4" s="570" t="s">
        <v>1585</v>
      </c>
      <c r="N4" s="571"/>
      <c r="O4" s="571">
        <v>1.7</v>
      </c>
      <c r="P4" s="571">
        <v>5.7942</v>
      </c>
    </row>
    <row r="5" spans="2:23" s="481" customFormat="1" x14ac:dyDescent="0.25">
      <c r="B5" s="485" t="s">
        <v>887</v>
      </c>
      <c r="D5" s="481">
        <f>D30+D33</f>
        <v>5.9</v>
      </c>
      <c r="E5" s="481">
        <f>I29+I33</f>
        <v>20.8</v>
      </c>
      <c r="F5" s="481">
        <f>J29+J33</f>
        <v>29.9</v>
      </c>
      <c r="G5" s="481">
        <f>K29+K33</f>
        <v>30.2</v>
      </c>
      <c r="H5" s="481">
        <f>L29+L33</f>
        <v>33.200000000000003</v>
      </c>
      <c r="O5" s="573"/>
      <c r="P5" s="573"/>
    </row>
    <row r="6" spans="2:23" s="481" customFormat="1" x14ac:dyDescent="0.25">
      <c r="B6" s="485" t="s">
        <v>848</v>
      </c>
    </row>
    <row r="7" spans="2:23" s="481" customFormat="1" x14ac:dyDescent="0.25">
      <c r="B7" s="485"/>
      <c r="N7" s="576">
        <f>0.9*O7</f>
        <v>275.38289999999978</v>
      </c>
      <c r="O7" s="576">
        <f t="shared" ref="O7:P7" si="3">$M$9*O2+$M$10</f>
        <v>305.98099999999977</v>
      </c>
      <c r="P7" s="576">
        <f t="shared" si="3"/>
        <v>329.37149999999929</v>
      </c>
      <c r="Q7" s="576"/>
      <c r="R7" s="576"/>
      <c r="S7" s="576"/>
      <c r="T7" s="576"/>
      <c r="U7" s="576"/>
      <c r="V7" s="576"/>
      <c r="W7" s="576"/>
    </row>
    <row r="8" spans="2:23" s="483" customFormat="1" x14ac:dyDescent="0.25">
      <c r="B8" s="482" t="s">
        <v>474</v>
      </c>
      <c r="D8" s="483">
        <f>SUM(D9:D11)</f>
        <v>355</v>
      </c>
      <c r="E8" s="484">
        <f t="shared" ref="E8:G8" si="4">SUM(E9:E11)</f>
        <v>355</v>
      </c>
      <c r="F8" s="484">
        <f t="shared" si="4"/>
        <v>355</v>
      </c>
      <c r="G8" s="484">
        <f t="shared" si="4"/>
        <v>355</v>
      </c>
      <c r="H8" s="484">
        <f>SUM(H9:H11)</f>
        <v>435</v>
      </c>
      <c r="N8" s="574">
        <f>0.9*O8</f>
        <v>229.5</v>
      </c>
      <c r="O8" s="575">
        <f>SUM(O9:O11) -O12</f>
        <v>255</v>
      </c>
      <c r="P8" s="590">
        <f>AVERAGE(O8,Q8)</f>
        <v>307.71042699816184</v>
      </c>
      <c r="Q8" s="574">
        <f t="shared" ref="Q8:W8" si="5">SUM(Q9:Q11)</f>
        <v>360.42085399632367</v>
      </c>
      <c r="R8" s="574">
        <f>SUM(R9:R11)</f>
        <v>363.23437018433657</v>
      </c>
      <c r="S8" s="574">
        <f t="shared" si="5"/>
        <v>446.11893118179313</v>
      </c>
      <c r="T8" s="574">
        <f t="shared" si="5"/>
        <v>449.07633095915992</v>
      </c>
      <c r="U8" s="574">
        <f t="shared" si="5"/>
        <v>452.10840878690612</v>
      </c>
      <c r="V8" s="574">
        <f t="shared" si="5"/>
        <v>455.21705037938489</v>
      </c>
      <c r="W8" s="574">
        <f t="shared" si="5"/>
        <v>458.40418906759987</v>
      </c>
    </row>
    <row r="9" spans="2:23" s="481" customFormat="1" x14ac:dyDescent="0.25">
      <c r="B9" s="485" t="s">
        <v>497</v>
      </c>
      <c r="D9" s="481">
        <f>D51</f>
        <v>249</v>
      </c>
      <c r="E9" s="487">
        <f>D9</f>
        <v>249</v>
      </c>
      <c r="F9" s="487">
        <f t="shared" ref="F9:H9" si="6">E9</f>
        <v>249</v>
      </c>
      <c r="G9" s="487">
        <f t="shared" si="6"/>
        <v>249</v>
      </c>
      <c r="H9" s="487">
        <f t="shared" si="6"/>
        <v>249</v>
      </c>
      <c r="M9" s="481">
        <v>4.6780999999999997</v>
      </c>
      <c r="N9" s="525">
        <v>0</v>
      </c>
      <c r="O9" s="569">
        <f>D9</f>
        <v>249</v>
      </c>
      <c r="P9" s="569">
        <f>$O9*(1+$N9)^(P$2-$O$2)</f>
        <v>249</v>
      </c>
      <c r="Q9" s="569">
        <f t="shared" ref="Q9:W10" si="7">$O9*(1+$N9)^(Q$2-$O$2)</f>
        <v>249</v>
      </c>
      <c r="R9" s="569">
        <f t="shared" si="7"/>
        <v>249</v>
      </c>
      <c r="S9" s="569">
        <f t="shared" si="7"/>
        <v>249</v>
      </c>
      <c r="T9" s="569">
        <f t="shared" si="7"/>
        <v>249</v>
      </c>
      <c r="U9" s="569">
        <f t="shared" si="7"/>
        <v>249</v>
      </c>
      <c r="V9" s="569">
        <f t="shared" si="7"/>
        <v>249</v>
      </c>
      <c r="W9" s="569">
        <f t="shared" si="7"/>
        <v>249</v>
      </c>
    </row>
    <row r="10" spans="2:23" s="481" customFormat="1" x14ac:dyDescent="0.25">
      <c r="B10" s="485" t="s">
        <v>887</v>
      </c>
      <c r="D10" s="481">
        <f>D53</f>
        <v>106</v>
      </c>
      <c r="E10" s="487">
        <f>D10</f>
        <v>106</v>
      </c>
      <c r="F10" s="487">
        <f t="shared" ref="F10:H10" si="8">E10</f>
        <v>106</v>
      </c>
      <c r="G10" s="487">
        <f t="shared" si="8"/>
        <v>106</v>
      </c>
      <c r="H10" s="487">
        <f t="shared" si="8"/>
        <v>106</v>
      </c>
      <c r="M10" s="481">
        <v>-9097</v>
      </c>
      <c r="N10" s="525">
        <v>5.0000000000000001E-3</v>
      </c>
      <c r="O10" s="569">
        <f>D10</f>
        <v>106</v>
      </c>
      <c r="P10" s="569">
        <f>$O10*(1+$N10)^(P$2-$O$2)</f>
        <v>108.67663283158116</v>
      </c>
      <c r="Q10" s="569">
        <f t="shared" si="7"/>
        <v>111.42085399632364</v>
      </c>
      <c r="R10" s="569">
        <f t="shared" si="7"/>
        <v>114.23437018433657</v>
      </c>
      <c r="S10" s="569">
        <f t="shared" si="7"/>
        <v>117.11893118179312</v>
      </c>
      <c r="T10" s="569">
        <f t="shared" si="7"/>
        <v>120.07633095915993</v>
      </c>
      <c r="U10" s="569">
        <f t="shared" si="7"/>
        <v>123.1084087869061</v>
      </c>
      <c r="V10" s="569">
        <f t="shared" si="7"/>
        <v>126.21705037938486</v>
      </c>
      <c r="W10" s="569">
        <f t="shared" si="7"/>
        <v>129.4041890675999</v>
      </c>
    </row>
    <row r="11" spans="2:23" s="481" customFormat="1" x14ac:dyDescent="0.25">
      <c r="B11" s="485" t="s">
        <v>848</v>
      </c>
      <c r="D11" s="481">
        <v>0</v>
      </c>
      <c r="E11" s="481">
        <f>D11</f>
        <v>0</v>
      </c>
      <c r="F11" s="481">
        <f t="shared" ref="F11:G11" si="9">E11</f>
        <v>0</v>
      </c>
      <c r="G11" s="481">
        <f t="shared" si="9"/>
        <v>0</v>
      </c>
      <c r="H11" s="481">
        <f>L57</f>
        <v>80</v>
      </c>
      <c r="O11" s="487">
        <f>D11</f>
        <v>0</v>
      </c>
      <c r="P11" s="487">
        <f t="shared" ref="P11:S11" si="10">E11</f>
        <v>0</v>
      </c>
      <c r="Q11" s="487">
        <f t="shared" si="10"/>
        <v>0</v>
      </c>
      <c r="R11" s="487">
        <f t="shared" si="10"/>
        <v>0</v>
      </c>
      <c r="S11" s="481">
        <f t="shared" si="10"/>
        <v>80</v>
      </c>
      <c r="T11" s="487">
        <f>S11</f>
        <v>80</v>
      </c>
      <c r="U11" s="487">
        <f t="shared" ref="U11:W11" si="11">T11</f>
        <v>80</v>
      </c>
      <c r="V11" s="487">
        <f t="shared" si="11"/>
        <v>80</v>
      </c>
      <c r="W11" s="487">
        <f t="shared" si="11"/>
        <v>80</v>
      </c>
    </row>
    <row r="12" spans="2:23" s="481" customFormat="1" x14ac:dyDescent="0.25">
      <c r="B12" s="485"/>
      <c r="M12" s="570" t="s">
        <v>1585</v>
      </c>
      <c r="O12" s="571">
        <v>100</v>
      </c>
    </row>
    <row r="13" spans="2:23" s="483" customFormat="1" x14ac:dyDescent="0.25">
      <c r="B13" s="482" t="s">
        <v>885</v>
      </c>
      <c r="D13" s="483">
        <f>SUM(D14:D16)</f>
        <v>3192</v>
      </c>
      <c r="E13" s="483">
        <f t="shared" ref="E13:G13" si="12">SUM(E14:E16)</f>
        <v>3184</v>
      </c>
      <c r="F13" s="483">
        <f t="shared" si="12"/>
        <v>3257</v>
      </c>
      <c r="G13" s="483">
        <f t="shared" si="12"/>
        <v>3355</v>
      </c>
      <c r="H13" s="483">
        <f>SUM(H14:H16)</f>
        <v>3466</v>
      </c>
      <c r="K13" s="488"/>
      <c r="N13" s="574">
        <f t="shared" ref="N13:W13" si="13">N$2*$Q$40+$Q$41</f>
        <v>2665.0799999999981</v>
      </c>
      <c r="O13" s="574">
        <f t="shared" si="13"/>
        <v>2717.7999999999993</v>
      </c>
      <c r="P13" s="574">
        <f t="shared" si="13"/>
        <v>2783.7000000000007</v>
      </c>
      <c r="Q13" s="574">
        <f t="shared" si="13"/>
        <v>2849.5999999999985</v>
      </c>
      <c r="R13" s="574">
        <f t="shared" si="13"/>
        <v>2915.5</v>
      </c>
      <c r="S13" s="574">
        <f t="shared" si="13"/>
        <v>2981.3999999999978</v>
      </c>
      <c r="T13" s="574">
        <f t="shared" si="13"/>
        <v>3047.2999999999993</v>
      </c>
      <c r="U13" s="574">
        <f t="shared" si="13"/>
        <v>3113.2000000000007</v>
      </c>
      <c r="V13" s="574">
        <f t="shared" si="13"/>
        <v>3179.0999999999985</v>
      </c>
      <c r="W13" s="574">
        <f t="shared" si="13"/>
        <v>3245</v>
      </c>
    </row>
    <row r="14" spans="2:23" s="483" customFormat="1" x14ac:dyDescent="0.25">
      <c r="B14" s="489" t="s">
        <v>497</v>
      </c>
      <c r="D14" s="490">
        <f>D45+D44</f>
        <v>1141</v>
      </c>
      <c r="E14" s="490">
        <f>I45+I44</f>
        <v>1042</v>
      </c>
      <c r="F14" s="490">
        <f t="shared" ref="F14:G14" si="14">J45+J44</f>
        <v>1042</v>
      </c>
      <c r="G14" s="490">
        <f t="shared" si="14"/>
        <v>1042</v>
      </c>
      <c r="H14" s="490">
        <f>L45+L44</f>
        <v>1042</v>
      </c>
      <c r="I14" s="490"/>
      <c r="J14" s="490"/>
      <c r="K14" s="490"/>
      <c r="L14" s="490"/>
      <c r="N14" s="572"/>
      <c r="O14" s="572"/>
      <c r="P14" s="572"/>
      <c r="Q14" s="572"/>
      <c r="R14" s="572"/>
      <c r="S14" s="572"/>
      <c r="T14" s="572"/>
      <c r="U14" s="572"/>
      <c r="V14" s="572"/>
      <c r="W14" s="572"/>
    </row>
    <row r="15" spans="2:23" s="483" customFormat="1" x14ac:dyDescent="0.25">
      <c r="B15" s="489" t="s">
        <v>887</v>
      </c>
      <c r="D15" s="490">
        <f>D36+D37+D39+D40+D41+D42+D43</f>
        <v>1725</v>
      </c>
      <c r="E15" s="490">
        <f>I36+I37+I39+I40+I41+I42+I43</f>
        <v>1815</v>
      </c>
      <c r="F15" s="490">
        <f t="shared" ref="F15:H15" si="15">J36+J37+J39+J40+J41+J42+J43</f>
        <v>1886</v>
      </c>
      <c r="G15" s="490">
        <f t="shared" si="15"/>
        <v>1983</v>
      </c>
      <c r="H15" s="490">
        <f t="shared" si="15"/>
        <v>2093</v>
      </c>
      <c r="I15" s="490"/>
      <c r="J15" s="490"/>
      <c r="K15" s="490"/>
      <c r="L15" s="490"/>
      <c r="N15" s="572"/>
      <c r="O15" s="572"/>
      <c r="P15" s="572"/>
      <c r="Q15" s="572"/>
      <c r="R15" s="572"/>
      <c r="S15" s="572"/>
      <c r="T15" s="572"/>
      <c r="U15" s="572"/>
      <c r="V15" s="572"/>
      <c r="W15" s="572"/>
    </row>
    <row r="16" spans="2:23" s="483" customFormat="1" x14ac:dyDescent="0.25">
      <c r="B16" s="489" t="s">
        <v>848</v>
      </c>
      <c r="D16" s="490">
        <f>D46</f>
        <v>326</v>
      </c>
      <c r="E16" s="490">
        <f>I46</f>
        <v>327</v>
      </c>
      <c r="F16" s="490">
        <f t="shared" ref="F16:H16" si="16">J46</f>
        <v>329</v>
      </c>
      <c r="G16" s="490">
        <f t="shared" si="16"/>
        <v>330</v>
      </c>
      <c r="H16" s="490">
        <f t="shared" si="16"/>
        <v>331</v>
      </c>
      <c r="I16" s="490"/>
      <c r="J16" s="490"/>
      <c r="K16" s="490"/>
      <c r="L16" s="490"/>
      <c r="N16" s="572"/>
      <c r="O16" s="572"/>
      <c r="P16" s="572"/>
      <c r="Q16" s="572"/>
      <c r="R16" s="572"/>
      <c r="S16" s="572"/>
      <c r="T16" s="572"/>
      <c r="U16" s="572"/>
      <c r="V16" s="572"/>
      <c r="W16" s="572"/>
    </row>
    <row r="17" spans="1:23" s="481" customFormat="1" x14ac:dyDescent="0.25">
      <c r="B17" s="485"/>
      <c r="N17" s="572"/>
      <c r="O17" s="572"/>
      <c r="P17" s="572"/>
      <c r="Q17" s="572"/>
      <c r="R17" s="572"/>
      <c r="S17" s="572"/>
      <c r="T17" s="572"/>
      <c r="U17" s="572"/>
      <c r="V17" s="572"/>
      <c r="W17" s="572"/>
    </row>
    <row r="18" spans="1:23" s="483" customFormat="1" x14ac:dyDescent="0.25">
      <c r="B18" s="482" t="s">
        <v>886</v>
      </c>
      <c r="D18" s="483">
        <f>SUM(D19:D21)</f>
        <v>0</v>
      </c>
      <c r="E18" s="483">
        <f t="shared" ref="E18:H18" si="17">SUM(E19:E21)</f>
        <v>4414.5</v>
      </c>
      <c r="F18" s="483">
        <f t="shared" si="17"/>
        <v>4532.5</v>
      </c>
      <c r="G18" s="483">
        <f t="shared" si="17"/>
        <v>4639.5</v>
      </c>
      <c r="H18" s="483">
        <f t="shared" si="17"/>
        <v>0</v>
      </c>
      <c r="N18" s="574">
        <f t="shared" ref="N18:W18" si="18">N$2*$Q$64+$Q$65</f>
        <v>3492.4259999999995</v>
      </c>
      <c r="O18" s="574">
        <f t="shared" si="18"/>
        <v>3608.7100000000064</v>
      </c>
      <c r="P18" s="574">
        <f t="shared" si="18"/>
        <v>3754.0650000000023</v>
      </c>
      <c r="Q18" s="574">
        <f t="shared" si="18"/>
        <v>3899.4200000000055</v>
      </c>
      <c r="R18" s="574">
        <f t="shared" si="18"/>
        <v>4044.7750000000015</v>
      </c>
      <c r="S18" s="574">
        <f t="shared" si="18"/>
        <v>4190.1300000000047</v>
      </c>
      <c r="T18" s="574">
        <f t="shared" si="18"/>
        <v>4335.4850000000006</v>
      </c>
      <c r="U18" s="574">
        <f t="shared" si="18"/>
        <v>4480.8400000000038</v>
      </c>
      <c r="V18" s="574">
        <f t="shared" si="18"/>
        <v>4626.1949999999997</v>
      </c>
      <c r="W18" s="574">
        <f t="shared" si="18"/>
        <v>4771.5500000000029</v>
      </c>
    </row>
    <row r="19" spans="1:23" s="481" customFormat="1" x14ac:dyDescent="0.25">
      <c r="B19" s="485" t="s">
        <v>497</v>
      </c>
      <c r="D19" s="490"/>
      <c r="E19" s="491">
        <f>I63</f>
        <v>2284</v>
      </c>
      <c r="F19" s="491">
        <f t="shared" ref="F19:G19" si="19">J63</f>
        <v>2382</v>
      </c>
      <c r="G19" s="491">
        <f t="shared" si="19"/>
        <v>2466</v>
      </c>
      <c r="H19" s="490"/>
      <c r="I19" s="490"/>
      <c r="J19" s="490"/>
      <c r="K19" s="490"/>
      <c r="L19" s="490"/>
    </row>
    <row r="20" spans="1:23" s="481" customFormat="1" x14ac:dyDescent="0.25">
      <c r="B20" s="485" t="s">
        <v>887</v>
      </c>
      <c r="D20" s="490"/>
      <c r="E20" s="490">
        <f>I64+I65+I66+I67</f>
        <v>1843</v>
      </c>
      <c r="F20" s="490">
        <f t="shared" ref="F20:G20" si="20">J64+J65+J66+J67</f>
        <v>1863</v>
      </c>
      <c r="G20" s="490">
        <f t="shared" si="20"/>
        <v>1886</v>
      </c>
      <c r="H20" s="490"/>
      <c r="I20" s="490"/>
      <c r="J20" s="490"/>
      <c r="K20" s="490"/>
      <c r="L20" s="490"/>
    </row>
    <row r="21" spans="1:23" s="481" customFormat="1" x14ac:dyDescent="0.25">
      <c r="B21" s="485" t="s">
        <v>848</v>
      </c>
      <c r="D21" s="490"/>
      <c r="E21" s="490">
        <f>I68</f>
        <v>287.5</v>
      </c>
      <c r="F21" s="490">
        <f t="shared" ref="F21:G21" si="21">J68</f>
        <v>287.5</v>
      </c>
      <c r="G21" s="490">
        <f t="shared" si="21"/>
        <v>287.5</v>
      </c>
      <c r="H21" s="490"/>
      <c r="I21" s="490"/>
      <c r="J21" s="490"/>
      <c r="K21" s="490"/>
      <c r="L21" s="490"/>
    </row>
    <row r="22" spans="1:23" s="414" customFormat="1" x14ac:dyDescent="0.25">
      <c r="B22" s="4"/>
    </row>
    <row r="23" spans="1:23" s="414" customFormat="1" ht="15.75" thickBot="1" x14ac:dyDescent="0.3"/>
    <row r="24" spans="1:23" s="414" customFormat="1" ht="15.75" customHeight="1" thickBot="1" x14ac:dyDescent="0.3">
      <c r="A24" s="443"/>
      <c r="B24" s="799" t="s">
        <v>849</v>
      </c>
      <c r="C24" s="796" t="s">
        <v>850</v>
      </c>
      <c r="D24" s="797"/>
      <c r="E24" s="797"/>
      <c r="F24" s="797"/>
      <c r="G24" s="797"/>
      <c r="H24" s="797"/>
      <c r="I24" s="797"/>
      <c r="J24" s="797"/>
      <c r="K24" s="797"/>
      <c r="L24" s="798"/>
    </row>
    <row r="25" spans="1:23" s="414" customFormat="1" ht="15" customHeight="1" x14ac:dyDescent="0.25">
      <c r="A25" s="455"/>
      <c r="B25" s="800"/>
      <c r="C25" s="447">
        <v>2009</v>
      </c>
      <c r="D25" s="447">
        <v>2010</v>
      </c>
      <c r="E25" s="447">
        <v>2011</v>
      </c>
      <c r="F25" s="447">
        <v>2012</v>
      </c>
      <c r="G25" s="447">
        <v>2013</v>
      </c>
      <c r="H25" s="447">
        <v>2014</v>
      </c>
      <c r="I25" s="447">
        <v>2015</v>
      </c>
      <c r="J25" s="447">
        <v>2020</v>
      </c>
      <c r="K25" s="447">
        <v>2025</v>
      </c>
      <c r="L25" s="447">
        <v>2030</v>
      </c>
    </row>
    <row r="26" spans="1:23" s="414" customFormat="1" ht="16.5" customHeight="1" x14ac:dyDescent="0.25">
      <c r="A26" s="795" t="s">
        <v>884</v>
      </c>
      <c r="B26" s="448" t="s">
        <v>878</v>
      </c>
      <c r="C26" s="444">
        <v>4.3</v>
      </c>
      <c r="D26" s="444">
        <v>4.3</v>
      </c>
      <c r="E26" s="444">
        <v>4.9000000000000004</v>
      </c>
      <c r="F26" s="444">
        <v>6.8</v>
      </c>
      <c r="G26" s="444">
        <v>9.3000000000000007</v>
      </c>
      <c r="H26" s="444">
        <v>10.9</v>
      </c>
      <c r="I26" s="444">
        <v>14.3</v>
      </c>
      <c r="J26" s="444">
        <v>50.9</v>
      </c>
      <c r="K26" s="444">
        <v>77.599999999999994</v>
      </c>
      <c r="L26" s="444">
        <v>77.599999999999994</v>
      </c>
    </row>
    <row r="27" spans="1:23" s="414" customFormat="1" ht="17.25" customHeight="1" x14ac:dyDescent="0.25">
      <c r="A27" s="795"/>
      <c r="B27" s="446" t="s">
        <v>879</v>
      </c>
      <c r="C27" s="144">
        <v>0</v>
      </c>
      <c r="D27" s="144">
        <v>0.4</v>
      </c>
      <c r="E27" s="144">
        <v>0.9</v>
      </c>
      <c r="F27" s="144">
        <v>0.9</v>
      </c>
      <c r="G27" s="144">
        <v>1.5</v>
      </c>
      <c r="H27" s="144">
        <v>4.4000000000000004</v>
      </c>
      <c r="I27" s="144">
        <v>13.2</v>
      </c>
      <c r="J27" s="144">
        <v>15.6</v>
      </c>
      <c r="K27" s="144">
        <v>15.6</v>
      </c>
      <c r="L27" s="144">
        <v>15.6</v>
      </c>
      <c r="N27" s="414">
        <v>0.33</v>
      </c>
      <c r="V27" s="414">
        <v>1.05</v>
      </c>
    </row>
    <row r="28" spans="1:23" s="414" customFormat="1" x14ac:dyDescent="0.25">
      <c r="A28" s="795"/>
      <c r="B28" s="457" t="s">
        <v>880</v>
      </c>
      <c r="C28" s="144">
        <v>0</v>
      </c>
      <c r="D28" s="144">
        <v>0</v>
      </c>
      <c r="E28" s="144">
        <v>1.1000000000000001</v>
      </c>
      <c r="F28" s="144">
        <v>2.7</v>
      </c>
      <c r="G28" s="144">
        <v>4.4000000000000004</v>
      </c>
      <c r="H28" s="144">
        <v>5.3</v>
      </c>
      <c r="I28" s="144">
        <v>6.8</v>
      </c>
      <c r="J28" s="144">
        <v>14.1</v>
      </c>
      <c r="K28" s="144">
        <v>20</v>
      </c>
      <c r="L28" s="144">
        <v>20</v>
      </c>
      <c r="N28" s="414">
        <v>-626.75</v>
      </c>
      <c r="V28" s="414">
        <v>-2094</v>
      </c>
    </row>
    <row r="29" spans="1:23" s="414" customFormat="1" x14ac:dyDescent="0.25">
      <c r="A29" s="795"/>
      <c r="B29" s="446" t="s">
        <v>881</v>
      </c>
      <c r="C29" s="144">
        <v>3</v>
      </c>
      <c r="D29" s="144">
        <v>3.2</v>
      </c>
      <c r="E29" s="144">
        <v>3.7</v>
      </c>
      <c r="F29" s="144">
        <v>4.7</v>
      </c>
      <c r="G29" s="144">
        <v>6.6</v>
      </c>
      <c r="H29" s="144">
        <v>9.1999999999999993</v>
      </c>
      <c r="I29" s="144">
        <v>10.8</v>
      </c>
      <c r="J29" s="144">
        <v>16.899999999999999</v>
      </c>
      <c r="K29" s="144">
        <v>16.2</v>
      </c>
      <c r="L29" s="144">
        <v>19.2</v>
      </c>
    </row>
    <row r="30" spans="1:23" s="512" customFormat="1" ht="24" x14ac:dyDescent="0.25">
      <c r="A30" s="795"/>
      <c r="B30" s="514" t="s">
        <v>1447</v>
      </c>
      <c r="C30" s="516">
        <v>0</v>
      </c>
      <c r="D30" s="516">
        <v>0</v>
      </c>
      <c r="E30" s="516">
        <v>0</v>
      </c>
      <c r="F30" s="516"/>
      <c r="G30" s="516"/>
      <c r="H30" s="516"/>
      <c r="I30" s="516"/>
      <c r="J30" s="516"/>
      <c r="K30" s="516"/>
      <c r="L30" s="516"/>
    </row>
    <row r="31" spans="1:23" s="414" customFormat="1" x14ac:dyDescent="0.25">
      <c r="A31" s="795"/>
      <c r="B31" s="448" t="s">
        <v>882</v>
      </c>
      <c r="C31" s="144">
        <v>0</v>
      </c>
      <c r="D31" s="144">
        <v>0</v>
      </c>
      <c r="E31" s="144">
        <v>0.4</v>
      </c>
      <c r="F31" s="144">
        <v>6.1</v>
      </c>
      <c r="G31" s="144">
        <v>6.6</v>
      </c>
      <c r="H31" s="144">
        <v>9.9</v>
      </c>
      <c r="I31" s="144">
        <v>25.2</v>
      </c>
      <c r="J31" s="144">
        <v>43.5</v>
      </c>
      <c r="K31" s="144">
        <v>43.5</v>
      </c>
      <c r="L31" s="144">
        <v>44</v>
      </c>
    </row>
    <row r="32" spans="1:23" s="414" customFormat="1" x14ac:dyDescent="0.25">
      <c r="A32" s="795"/>
      <c r="B32" s="446" t="s">
        <v>883</v>
      </c>
      <c r="C32" s="144">
        <v>5.6</v>
      </c>
      <c r="D32" s="144">
        <v>5.9</v>
      </c>
      <c r="E32" s="144">
        <v>7.7</v>
      </c>
      <c r="F32" s="144">
        <v>10.4</v>
      </c>
      <c r="G32" s="144">
        <v>12</v>
      </c>
      <c r="H32" s="144">
        <v>13.6</v>
      </c>
      <c r="I32" s="144">
        <v>14.5</v>
      </c>
      <c r="J32" s="144">
        <v>20.399999999999999</v>
      </c>
      <c r="K32" s="144">
        <v>21.2</v>
      </c>
      <c r="L32" s="144">
        <v>21.6</v>
      </c>
    </row>
    <row r="33" spans="1:27" s="512" customFormat="1" x14ac:dyDescent="0.25">
      <c r="A33" s="795"/>
      <c r="B33" s="514" t="s">
        <v>1446</v>
      </c>
      <c r="C33" s="515">
        <f>C32</f>
        <v>5.6</v>
      </c>
      <c r="D33" s="515">
        <f t="shared" ref="D33:E33" si="22">D32</f>
        <v>5.9</v>
      </c>
      <c r="E33" s="515">
        <f t="shared" si="22"/>
        <v>7.7</v>
      </c>
      <c r="F33" s="515">
        <v>8</v>
      </c>
      <c r="G33" s="515">
        <v>9</v>
      </c>
      <c r="H33" s="515">
        <v>10</v>
      </c>
      <c r="I33" s="515">
        <v>10</v>
      </c>
      <c r="J33" s="515">
        <v>13</v>
      </c>
      <c r="K33" s="515">
        <v>14</v>
      </c>
      <c r="L33" s="515">
        <v>14</v>
      </c>
    </row>
    <row r="34" spans="1:27" s="414" customFormat="1" x14ac:dyDescent="0.25">
      <c r="A34" s="795"/>
      <c r="B34" s="446" t="s">
        <v>497</v>
      </c>
      <c r="C34" s="452">
        <v>10.4</v>
      </c>
      <c r="D34" s="452">
        <v>10.4</v>
      </c>
      <c r="E34" s="452">
        <v>10.4</v>
      </c>
      <c r="F34" s="452">
        <v>10.4</v>
      </c>
      <c r="G34" s="452">
        <v>10.4</v>
      </c>
      <c r="H34" s="452">
        <v>10.4</v>
      </c>
      <c r="I34" s="452">
        <v>10.4</v>
      </c>
      <c r="J34" s="452">
        <v>10.4</v>
      </c>
      <c r="K34" s="452">
        <v>10.4</v>
      </c>
      <c r="L34" s="452">
        <v>10.4</v>
      </c>
      <c r="R34" s="409">
        <f>T3/S3 -1</f>
        <v>2.7522935779818125E-2</v>
      </c>
      <c r="S34" s="409">
        <f t="shared" ref="S34:T34" si="23">U3/T3 -1</f>
        <v>3.5714285714284033E-2</v>
      </c>
      <c r="T34" s="409">
        <f t="shared" si="23"/>
        <v>8.6206896551723755E-3</v>
      </c>
    </row>
    <row r="35" spans="1:27" s="414" customFormat="1" ht="15.75" thickBot="1" x14ac:dyDescent="0.3">
      <c r="A35" s="795"/>
      <c r="B35" s="450" t="s">
        <v>922</v>
      </c>
      <c r="C35" s="451">
        <f>C30+C33+C34</f>
        <v>16</v>
      </c>
      <c r="D35" s="451">
        <f t="shared" ref="D35:E35" si="24">D30+D33+D34</f>
        <v>16.3</v>
      </c>
      <c r="E35" s="451">
        <f t="shared" si="24"/>
        <v>18.100000000000001</v>
      </c>
      <c r="F35" s="451">
        <f>F29+F33+F34</f>
        <v>23.1</v>
      </c>
      <c r="G35" s="451">
        <f>G29+G33+G34</f>
        <v>26</v>
      </c>
      <c r="H35" s="451">
        <f t="shared" ref="H35:L35" si="25">H29+H33+H34</f>
        <v>29.6</v>
      </c>
      <c r="I35" s="451">
        <f t="shared" si="25"/>
        <v>31.200000000000003</v>
      </c>
      <c r="J35" s="451">
        <f t="shared" si="25"/>
        <v>40.299999999999997</v>
      </c>
      <c r="K35" s="451">
        <f t="shared" si="25"/>
        <v>40.6</v>
      </c>
      <c r="L35" s="451">
        <f t="shared" si="25"/>
        <v>43.6</v>
      </c>
      <c r="W35" s="447">
        <v>2009</v>
      </c>
      <c r="X35" s="447">
        <v>2010</v>
      </c>
      <c r="Y35" s="447">
        <v>2011</v>
      </c>
    </row>
    <row r="36" spans="1:27" x14ac:dyDescent="0.25">
      <c r="A36" s="795" t="s">
        <v>861</v>
      </c>
      <c r="B36" s="448" t="s">
        <v>851</v>
      </c>
      <c r="C36" s="144"/>
      <c r="D36" s="444">
        <v>1338</v>
      </c>
      <c r="E36" s="144"/>
      <c r="F36" s="144"/>
      <c r="G36" s="144"/>
      <c r="H36" s="144"/>
      <c r="I36" s="444">
        <v>1417</v>
      </c>
      <c r="J36" s="444">
        <v>1481</v>
      </c>
      <c r="K36" s="444">
        <v>1568</v>
      </c>
      <c r="L36" s="444">
        <v>1666</v>
      </c>
      <c r="V36" s="172" t="s">
        <v>1585</v>
      </c>
    </row>
    <row r="37" spans="1:27" ht="18.75" customHeight="1" x14ac:dyDescent="0.25">
      <c r="A37" s="795"/>
      <c r="B37" s="446" t="s">
        <v>852</v>
      </c>
      <c r="C37" s="144"/>
      <c r="D37" s="414">
        <v>17</v>
      </c>
      <c r="E37" s="414"/>
      <c r="F37" s="414"/>
      <c r="G37" s="414"/>
      <c r="H37" s="414"/>
      <c r="I37" s="414">
        <v>17</v>
      </c>
      <c r="J37" s="414">
        <v>17</v>
      </c>
      <c r="K37" s="414">
        <v>17</v>
      </c>
      <c r="L37" s="414">
        <v>17</v>
      </c>
    </row>
    <row r="38" spans="1:27" ht="18" customHeight="1" x14ac:dyDescent="0.25">
      <c r="A38" s="795"/>
      <c r="B38" s="448" t="s">
        <v>853</v>
      </c>
      <c r="C38" s="144"/>
      <c r="D38" s="414">
        <v>381</v>
      </c>
      <c r="E38" s="414"/>
      <c r="F38" s="414"/>
      <c r="G38" s="414"/>
      <c r="H38" s="414"/>
      <c r="I38" s="414">
        <v>407</v>
      </c>
      <c r="J38" s="414">
        <v>416</v>
      </c>
      <c r="K38" s="414">
        <v>417</v>
      </c>
      <c r="L38" s="414">
        <v>417</v>
      </c>
    </row>
    <row r="39" spans="1:27" ht="20.25" customHeight="1" x14ac:dyDescent="0.25">
      <c r="A39" s="795"/>
      <c r="B39" s="446" t="s">
        <v>854</v>
      </c>
      <c r="C39" s="144"/>
      <c r="D39" s="414">
        <v>27</v>
      </c>
      <c r="E39" s="414"/>
      <c r="F39" s="414"/>
      <c r="G39" s="414"/>
      <c r="H39" s="414"/>
      <c r="I39" s="414">
        <v>30</v>
      </c>
      <c r="J39" s="414">
        <v>33</v>
      </c>
      <c r="K39" s="414">
        <v>37</v>
      </c>
      <c r="L39" s="414">
        <v>41</v>
      </c>
    </row>
    <row r="40" spans="1:27" ht="15" customHeight="1" x14ac:dyDescent="0.25">
      <c r="A40" s="795"/>
      <c r="B40" s="494" t="s">
        <v>1369</v>
      </c>
      <c r="C40" s="144"/>
      <c r="D40" s="414">
        <v>104</v>
      </c>
      <c r="E40" s="414"/>
      <c r="F40" s="414"/>
      <c r="G40" s="414"/>
      <c r="H40" s="414"/>
      <c r="I40" s="414">
        <v>108</v>
      </c>
      <c r="J40" s="414">
        <v>112</v>
      </c>
      <c r="K40" s="414">
        <v>117</v>
      </c>
      <c r="L40" s="414">
        <v>123</v>
      </c>
      <c r="M40" s="4" t="s">
        <v>1368</v>
      </c>
      <c r="N40" s="413">
        <f>270*365/1000</f>
        <v>98.55</v>
      </c>
      <c r="O40" s="413" t="s">
        <v>160</v>
      </c>
      <c r="Q40" s="413">
        <v>13.18</v>
      </c>
    </row>
    <row r="41" spans="1:27" x14ac:dyDescent="0.25">
      <c r="A41" s="795"/>
      <c r="B41" s="446" t="s">
        <v>855</v>
      </c>
      <c r="C41" s="144"/>
      <c r="D41" s="414">
        <v>35</v>
      </c>
      <c r="E41" s="414"/>
      <c r="F41" s="414"/>
      <c r="G41" s="414"/>
      <c r="H41" s="414"/>
      <c r="I41" s="414">
        <v>35</v>
      </c>
      <c r="J41" s="414">
        <v>35</v>
      </c>
      <c r="K41" s="414">
        <v>35</v>
      </c>
      <c r="L41" s="414">
        <v>35</v>
      </c>
      <c r="Q41" s="413">
        <v>-23774</v>
      </c>
    </row>
    <row r="42" spans="1:27" ht="24" customHeight="1" x14ac:dyDescent="0.25">
      <c r="A42" s="795"/>
      <c r="B42" s="448" t="s">
        <v>856</v>
      </c>
      <c r="C42" s="144"/>
      <c r="D42" s="414">
        <v>41</v>
      </c>
      <c r="E42" s="414"/>
      <c r="F42" s="414"/>
      <c r="G42" s="414"/>
      <c r="H42" s="414"/>
      <c r="I42" s="414">
        <v>41</v>
      </c>
      <c r="J42" s="414">
        <v>41</v>
      </c>
      <c r="K42" s="414">
        <v>42</v>
      </c>
      <c r="L42" s="414">
        <v>43</v>
      </c>
    </row>
    <row r="43" spans="1:27" x14ac:dyDescent="0.25">
      <c r="A43" s="795"/>
      <c r="B43" s="446" t="s">
        <v>857</v>
      </c>
      <c r="C43" s="144"/>
      <c r="D43" s="414">
        <v>163</v>
      </c>
      <c r="E43" s="414"/>
      <c r="F43" s="414"/>
      <c r="G43" s="414"/>
      <c r="H43" s="414"/>
      <c r="I43" s="414">
        <v>167</v>
      </c>
      <c r="J43" s="414">
        <v>167</v>
      </c>
      <c r="K43" s="414">
        <v>167</v>
      </c>
      <c r="L43" s="414">
        <v>168</v>
      </c>
    </row>
    <row r="44" spans="1:27" x14ac:dyDescent="0.25">
      <c r="A44" s="795"/>
      <c r="B44" s="448" t="s">
        <v>858</v>
      </c>
      <c r="C44" s="144"/>
      <c r="D44" s="414">
        <v>542</v>
      </c>
      <c r="E44" s="414"/>
      <c r="F44" s="414"/>
      <c r="G44" s="414"/>
      <c r="H44" s="414"/>
      <c r="I44" s="414">
        <v>542</v>
      </c>
      <c r="J44" s="414">
        <v>542</v>
      </c>
      <c r="K44" s="414">
        <v>542</v>
      </c>
      <c r="L44" s="414">
        <v>542</v>
      </c>
    </row>
    <row r="45" spans="1:27" x14ac:dyDescent="0.25">
      <c r="A45" s="795"/>
      <c r="B45" s="446" t="s">
        <v>859</v>
      </c>
      <c r="C45" s="144"/>
      <c r="D45" s="414">
        <v>599</v>
      </c>
      <c r="E45" s="414"/>
      <c r="F45" s="414"/>
      <c r="G45" s="414"/>
      <c r="H45" s="414"/>
      <c r="I45" s="414">
        <v>500</v>
      </c>
      <c r="J45" s="414">
        <v>500</v>
      </c>
      <c r="K45" s="414">
        <v>500</v>
      </c>
      <c r="L45" s="414">
        <v>500</v>
      </c>
    </row>
    <row r="46" spans="1:27" x14ac:dyDescent="0.25">
      <c r="A46" s="795"/>
      <c r="B46" s="448" t="s">
        <v>860</v>
      </c>
      <c r="C46" s="144"/>
      <c r="D46" s="444">
        <v>326</v>
      </c>
      <c r="E46" s="144"/>
      <c r="F46" s="144"/>
      <c r="G46" s="144"/>
      <c r="H46" s="144"/>
      <c r="I46" s="444">
        <v>327</v>
      </c>
      <c r="J46" s="444">
        <v>329</v>
      </c>
      <c r="K46" s="444">
        <v>330</v>
      </c>
      <c r="L46" s="444">
        <v>331</v>
      </c>
      <c r="Y46" s="413">
        <v>16.34</v>
      </c>
      <c r="Z46" s="413" t="s">
        <v>1831</v>
      </c>
      <c r="AA46" s="413">
        <v>2010</v>
      </c>
    </row>
    <row r="47" spans="1:27" ht="15.75" thickBot="1" x14ac:dyDescent="0.3">
      <c r="A47" s="795"/>
      <c r="B47" s="450" t="s">
        <v>922</v>
      </c>
      <c r="C47" s="451"/>
      <c r="D47" s="451">
        <f>SUM(D36:D46) -D38-D40-D46</f>
        <v>2762</v>
      </c>
      <c r="E47" s="451"/>
      <c r="F47" s="451"/>
      <c r="G47" s="451"/>
      <c r="H47" s="451"/>
      <c r="I47" s="451">
        <f>SUM(I36:I46) -I38-I40-I46</f>
        <v>2749</v>
      </c>
      <c r="J47" s="451">
        <f t="shared" ref="J47:K47" si="26">SUM(J36:J46) -J38-J40-J46</f>
        <v>2816</v>
      </c>
      <c r="K47" s="451">
        <f t="shared" si="26"/>
        <v>2908</v>
      </c>
      <c r="L47" s="451">
        <f>SUM(L36:L46) -L38-L40-L46</f>
        <v>3012</v>
      </c>
      <c r="Y47" s="413">
        <v>-31346</v>
      </c>
      <c r="Z47" s="413" t="s">
        <v>1832</v>
      </c>
      <c r="AA47" s="413">
        <f>AA46*Y46+Y47</f>
        <v>1497.4000000000015</v>
      </c>
    </row>
    <row r="48" spans="1:27" s="743" customFormat="1" x14ac:dyDescent="0.25">
      <c r="A48" s="744"/>
      <c r="B48" s="457" t="s">
        <v>1830</v>
      </c>
      <c r="C48" s="456"/>
      <c r="D48" s="456">
        <f>D36+D43</f>
        <v>1501</v>
      </c>
      <c r="E48" s="456"/>
      <c r="F48" s="456"/>
      <c r="G48" s="456"/>
      <c r="H48" s="456"/>
      <c r="I48" s="456">
        <f t="shared" ref="I48:L48" si="27">I36+I43</f>
        <v>1584</v>
      </c>
      <c r="J48" s="456">
        <f t="shared" si="27"/>
        <v>1648</v>
      </c>
      <c r="K48" s="456">
        <f t="shared" si="27"/>
        <v>1735</v>
      </c>
      <c r="L48" s="456">
        <f t="shared" si="27"/>
        <v>1834</v>
      </c>
    </row>
    <row r="49" spans="1:17" s="743" customFormat="1" x14ac:dyDescent="0.25">
      <c r="A49" s="744"/>
      <c r="B49" s="457"/>
      <c r="C49" s="456"/>
      <c r="D49" s="456"/>
      <c r="E49" s="456"/>
      <c r="F49" s="456"/>
      <c r="G49" s="456"/>
      <c r="H49" s="456"/>
      <c r="I49" s="456"/>
      <c r="J49" s="456"/>
      <c r="K49" s="456"/>
      <c r="L49" s="456"/>
    </row>
    <row r="50" spans="1:17" ht="15" customHeight="1" x14ac:dyDescent="0.25">
      <c r="A50" s="795" t="s">
        <v>921</v>
      </c>
      <c r="B50" s="446" t="s">
        <v>863</v>
      </c>
      <c r="C50" s="414"/>
      <c r="D50" s="414">
        <v>254</v>
      </c>
      <c r="E50" s="461"/>
      <c r="F50" s="461"/>
      <c r="G50" s="461"/>
      <c r="H50" s="461"/>
      <c r="I50" s="461"/>
      <c r="J50" s="461"/>
      <c r="K50" s="461"/>
      <c r="L50" s="461"/>
    </row>
    <row r="51" spans="1:17" s="519" customFormat="1" ht="15" customHeight="1" x14ac:dyDescent="0.25">
      <c r="A51" s="795"/>
      <c r="B51" s="522" t="s">
        <v>863</v>
      </c>
      <c r="C51" s="481"/>
      <c r="D51" s="481">
        <v>249</v>
      </c>
      <c r="E51" s="487">
        <f>D51</f>
        <v>249</v>
      </c>
      <c r="F51" s="487">
        <f t="shared" ref="F51:L51" si="28">E51</f>
        <v>249</v>
      </c>
      <c r="G51" s="487">
        <f t="shared" si="28"/>
        <v>249</v>
      </c>
      <c r="H51" s="487">
        <f t="shared" si="28"/>
        <v>249</v>
      </c>
      <c r="I51" s="487">
        <f t="shared" si="28"/>
        <v>249</v>
      </c>
      <c r="J51" s="487">
        <f t="shared" si="28"/>
        <v>249</v>
      </c>
      <c r="K51" s="487">
        <f t="shared" si="28"/>
        <v>249</v>
      </c>
      <c r="L51" s="487">
        <f t="shared" si="28"/>
        <v>249</v>
      </c>
    </row>
    <row r="52" spans="1:17" ht="15" customHeight="1" x14ac:dyDescent="0.25">
      <c r="A52" s="795"/>
      <c r="B52" s="448" t="s">
        <v>864</v>
      </c>
      <c r="C52" s="414"/>
      <c r="D52" s="414">
        <v>109</v>
      </c>
      <c r="E52" s="461"/>
      <c r="F52" s="461"/>
      <c r="G52" s="461"/>
      <c r="H52" s="461"/>
      <c r="I52" s="461"/>
      <c r="J52" s="461"/>
      <c r="K52" s="461"/>
      <c r="L52" s="461"/>
    </row>
    <row r="53" spans="1:17" s="519" customFormat="1" ht="15" customHeight="1" x14ac:dyDescent="0.25">
      <c r="A53" s="795"/>
      <c r="B53" s="522" t="s">
        <v>864</v>
      </c>
      <c r="C53" s="481"/>
      <c r="D53" s="481">
        <f>97+9</f>
        <v>106</v>
      </c>
      <c r="E53" s="487">
        <f>D53</f>
        <v>106</v>
      </c>
      <c r="F53" s="487">
        <f t="shared" ref="F53:L53" si="29">E53</f>
        <v>106</v>
      </c>
      <c r="G53" s="487">
        <f t="shared" si="29"/>
        <v>106</v>
      </c>
      <c r="H53" s="487">
        <f t="shared" si="29"/>
        <v>106</v>
      </c>
      <c r="I53" s="487">
        <f t="shared" si="29"/>
        <v>106</v>
      </c>
      <c r="J53" s="487">
        <f t="shared" si="29"/>
        <v>106</v>
      </c>
      <c r="K53" s="487">
        <f t="shared" si="29"/>
        <v>106</v>
      </c>
      <c r="L53" s="487">
        <f t="shared" si="29"/>
        <v>106</v>
      </c>
    </row>
    <row r="54" spans="1:17" x14ac:dyDescent="0.25">
      <c r="A54" s="795"/>
      <c r="B54" s="446" t="s">
        <v>865</v>
      </c>
      <c r="C54" s="414"/>
      <c r="D54" s="414">
        <v>21</v>
      </c>
      <c r="E54" s="461"/>
      <c r="F54" s="461"/>
      <c r="G54" s="461"/>
      <c r="H54" s="461"/>
      <c r="I54" s="461"/>
      <c r="J54" s="461"/>
      <c r="K54" s="461"/>
      <c r="L54" s="461"/>
    </row>
    <row r="55" spans="1:17" s="519" customFormat="1" x14ac:dyDescent="0.25">
      <c r="A55" s="795"/>
      <c r="B55" s="522" t="s">
        <v>865</v>
      </c>
      <c r="C55" s="481"/>
      <c r="D55" s="481">
        <v>26</v>
      </c>
      <c r="E55" s="523"/>
      <c r="F55" s="523"/>
      <c r="G55" s="523"/>
      <c r="H55" s="523"/>
      <c r="I55" s="523"/>
      <c r="J55" s="523"/>
      <c r="K55" s="523"/>
      <c r="L55" s="523"/>
    </row>
    <row r="56" spans="1:17" x14ac:dyDescent="0.25">
      <c r="A56" s="795"/>
      <c r="B56" s="448" t="s">
        <v>866</v>
      </c>
      <c r="C56" s="414"/>
      <c r="D56" s="414">
        <v>228</v>
      </c>
      <c r="E56" s="461"/>
      <c r="F56" s="461"/>
      <c r="G56" s="461"/>
      <c r="H56" s="461"/>
      <c r="I56" s="461"/>
      <c r="J56" s="461"/>
      <c r="K56" s="461"/>
      <c r="L56" s="461"/>
      <c r="N56" s="414"/>
    </row>
    <row r="57" spans="1:17" x14ac:dyDescent="0.25">
      <c r="A57" s="795"/>
      <c r="B57" s="446" t="s">
        <v>848</v>
      </c>
      <c r="C57" s="414"/>
      <c r="D57" s="414">
        <v>0</v>
      </c>
      <c r="E57" s="144"/>
      <c r="F57" s="144"/>
      <c r="G57" s="144"/>
      <c r="H57" s="144"/>
      <c r="I57" s="144"/>
      <c r="J57" s="144"/>
      <c r="K57" s="144"/>
      <c r="L57" s="144">
        <f>E81</f>
        <v>80</v>
      </c>
      <c r="N57" s="414"/>
    </row>
    <row r="58" spans="1:17" s="519" customFormat="1" ht="15.75" thickBot="1" x14ac:dyDescent="0.3">
      <c r="A58" s="795"/>
      <c r="B58" s="524" t="s">
        <v>922</v>
      </c>
      <c r="C58" s="524"/>
      <c r="D58" s="524">
        <f>D51+D53+D57</f>
        <v>355</v>
      </c>
      <c r="E58" s="524"/>
      <c r="F58" s="524"/>
      <c r="G58" s="524"/>
      <c r="H58" s="524"/>
      <c r="I58" s="524"/>
      <c r="J58" s="524"/>
      <c r="K58" s="524"/>
      <c r="L58" s="524">
        <f>L51+L53+L57</f>
        <v>435</v>
      </c>
    </row>
    <row r="59" spans="1:17" customFormat="1" ht="15.75" thickBot="1" x14ac:dyDescent="0.3">
      <c r="A59" s="795"/>
      <c r="B59" s="450" t="s">
        <v>922</v>
      </c>
      <c r="C59" s="451"/>
      <c r="D59" s="451">
        <f>D50+D52</f>
        <v>363</v>
      </c>
      <c r="E59" s="451"/>
      <c r="F59" s="451"/>
      <c r="G59" s="451"/>
      <c r="H59" s="451"/>
      <c r="I59" s="451"/>
      <c r="J59" s="451"/>
      <c r="K59" s="451"/>
      <c r="L59" s="451">
        <f>D81</f>
        <v>648</v>
      </c>
    </row>
    <row r="60" spans="1:17" customFormat="1" x14ac:dyDescent="0.25">
      <c r="A60" s="744"/>
      <c r="B60" s="457" t="s">
        <v>1833</v>
      </c>
      <c r="C60" s="456"/>
      <c r="D60" s="456">
        <f>D52</f>
        <v>109</v>
      </c>
      <c r="E60" s="456"/>
      <c r="F60" s="456"/>
      <c r="G60" s="456"/>
      <c r="H60" s="456"/>
      <c r="I60" s="456"/>
      <c r="J60" s="456"/>
      <c r="K60" s="456"/>
      <c r="L60" s="456"/>
    </row>
    <row r="61" spans="1:17" customFormat="1" x14ac:dyDescent="0.25">
      <c r="A61" s="744"/>
      <c r="B61" s="457"/>
      <c r="C61" s="456"/>
      <c r="D61" s="456"/>
      <c r="E61" s="456"/>
      <c r="F61" s="456"/>
      <c r="G61" s="456"/>
      <c r="H61" s="456"/>
      <c r="I61" s="456"/>
      <c r="J61" s="456"/>
      <c r="K61" s="456"/>
      <c r="L61" s="456"/>
    </row>
    <row r="62" spans="1:17" customFormat="1" x14ac:dyDescent="0.25">
      <c r="A62" s="744"/>
      <c r="B62" s="457"/>
      <c r="C62" s="456"/>
      <c r="D62" s="456"/>
      <c r="E62" s="456"/>
      <c r="F62" s="456"/>
      <c r="G62" s="456"/>
      <c r="H62" s="456"/>
      <c r="I62" s="456"/>
      <c r="J62" s="456"/>
      <c r="K62" s="456"/>
      <c r="L62" s="456"/>
    </row>
    <row r="63" spans="1:17" ht="15" customHeight="1" x14ac:dyDescent="0.25">
      <c r="A63" s="795" t="s">
        <v>876</v>
      </c>
      <c r="B63" s="448" t="s">
        <v>497</v>
      </c>
      <c r="C63" s="144"/>
      <c r="D63" s="144"/>
      <c r="E63" s="144"/>
      <c r="F63" s="449">
        <v>2229</v>
      </c>
      <c r="G63" s="144"/>
      <c r="H63" s="144"/>
      <c r="I63" s="449">
        <v>2284</v>
      </c>
      <c r="J63" s="449">
        <v>2382</v>
      </c>
      <c r="K63" s="449">
        <v>2466</v>
      </c>
      <c r="L63" s="144"/>
    </row>
    <row r="64" spans="1:17" ht="15" customHeight="1" x14ac:dyDescent="0.25">
      <c r="A64" s="795"/>
      <c r="B64" s="446" t="s">
        <v>873</v>
      </c>
      <c r="C64" s="144"/>
      <c r="D64" s="414"/>
      <c r="E64" s="414"/>
      <c r="F64" s="414">
        <v>217</v>
      </c>
      <c r="G64" s="414"/>
      <c r="H64" s="414"/>
      <c r="I64" s="414">
        <v>268</v>
      </c>
      <c r="J64" s="414">
        <v>288</v>
      </c>
      <c r="K64" s="414">
        <v>311</v>
      </c>
      <c r="L64" s="144"/>
      <c r="Q64" s="413">
        <v>29.071000000000002</v>
      </c>
    </row>
    <row r="65" spans="1:20" ht="24" x14ac:dyDescent="0.25">
      <c r="A65" s="795"/>
      <c r="B65" s="448" t="s">
        <v>1460</v>
      </c>
      <c r="C65" s="144"/>
      <c r="D65" s="414"/>
      <c r="E65" s="414"/>
      <c r="F65" s="414">
        <v>713</v>
      </c>
      <c r="G65" s="414"/>
      <c r="H65" s="414"/>
      <c r="I65" s="414">
        <v>780</v>
      </c>
      <c r="J65" s="414">
        <v>780</v>
      </c>
      <c r="K65" s="414">
        <v>780</v>
      </c>
      <c r="L65" s="144"/>
      <c r="Q65" s="413">
        <v>-54824</v>
      </c>
    </row>
    <row r="66" spans="1:20" x14ac:dyDescent="0.25">
      <c r="A66" s="795"/>
      <c r="B66" s="446" t="s">
        <v>1459</v>
      </c>
      <c r="C66" s="144"/>
      <c r="D66" s="414"/>
      <c r="E66" s="414"/>
      <c r="F66" s="414">
        <v>615</v>
      </c>
      <c r="G66" s="414"/>
      <c r="H66" s="414"/>
      <c r="I66" s="414">
        <v>615</v>
      </c>
      <c r="J66" s="414">
        <v>615</v>
      </c>
      <c r="K66" s="414">
        <v>615</v>
      </c>
      <c r="L66" s="144"/>
    </row>
    <row r="67" spans="1:20" x14ac:dyDescent="0.25">
      <c r="A67" s="795"/>
      <c r="B67" s="448" t="s">
        <v>874</v>
      </c>
      <c r="C67" s="144"/>
      <c r="D67" s="414"/>
      <c r="E67" s="414"/>
      <c r="F67" s="414">
        <v>180</v>
      </c>
      <c r="G67" s="414"/>
      <c r="H67" s="414"/>
      <c r="I67" s="414">
        <v>180</v>
      </c>
      <c r="J67" s="414">
        <v>180</v>
      </c>
      <c r="K67" s="414">
        <v>180</v>
      </c>
      <c r="L67" s="144"/>
      <c r="N67"/>
    </row>
    <row r="68" spans="1:20" ht="24" x14ac:dyDescent="0.25">
      <c r="A68" s="795"/>
      <c r="B68" s="446" t="s">
        <v>875</v>
      </c>
      <c r="C68" s="144"/>
      <c r="D68" s="414"/>
      <c r="E68" s="414"/>
      <c r="F68" s="517">
        <v>287.5</v>
      </c>
      <c r="G68" s="517"/>
      <c r="H68" s="517"/>
      <c r="I68" s="517">
        <v>287.5</v>
      </c>
      <c r="J68" s="517">
        <v>287.5</v>
      </c>
      <c r="K68" s="517">
        <v>287.5</v>
      </c>
      <c r="L68" s="144"/>
    </row>
    <row r="69" spans="1:20" x14ac:dyDescent="0.25">
      <c r="A69" s="795"/>
      <c r="B69" s="448" t="s">
        <v>68</v>
      </c>
      <c r="C69" s="144"/>
      <c r="D69" s="144"/>
      <c r="E69" s="144"/>
      <c r="F69" s="444">
        <v>0</v>
      </c>
      <c r="G69" s="144"/>
      <c r="H69" s="144"/>
      <c r="I69" s="444">
        <v>5</v>
      </c>
      <c r="J69" s="444">
        <v>20</v>
      </c>
      <c r="K69" s="444">
        <v>20</v>
      </c>
      <c r="L69" s="144"/>
    </row>
    <row r="70" spans="1:20" ht="15.75" thickBot="1" x14ac:dyDescent="0.3">
      <c r="A70" s="795"/>
      <c r="B70" s="450" t="s">
        <v>922</v>
      </c>
      <c r="C70" s="451"/>
      <c r="D70" s="451"/>
      <c r="E70" s="451"/>
      <c r="F70" s="453">
        <f>SUM(F63:F68) -F66</f>
        <v>3626.5</v>
      </c>
      <c r="G70" s="453"/>
      <c r="H70" s="453"/>
      <c r="I70" s="453">
        <f t="shared" ref="I70:K70" si="30">SUM(I63:I68) -I66</f>
        <v>3799.5</v>
      </c>
      <c r="J70" s="453">
        <f t="shared" si="30"/>
        <v>3917.5</v>
      </c>
      <c r="K70" s="453">
        <f t="shared" si="30"/>
        <v>4024.5</v>
      </c>
      <c r="L70" s="451"/>
    </row>
    <row r="71" spans="1:20" customFormat="1" x14ac:dyDescent="0.25">
      <c r="A71" s="462"/>
      <c r="B71" s="457"/>
      <c r="C71" s="456"/>
      <c r="D71" s="456"/>
      <c r="E71" s="456"/>
      <c r="F71" s="456"/>
      <c r="G71" s="456"/>
      <c r="H71" s="456"/>
      <c r="I71" s="456"/>
      <c r="J71" s="456"/>
      <c r="K71" s="456"/>
      <c r="L71" s="456"/>
    </row>
    <row r="72" spans="1:20" customFormat="1" x14ac:dyDescent="0.25"/>
    <row r="73" spans="1:20" ht="15.75" thickBot="1" x14ac:dyDescent="0.3">
      <c r="A73" s="413"/>
      <c r="B73" s="431" t="s">
        <v>872</v>
      </c>
      <c r="N73" s="414"/>
    </row>
    <row r="74" spans="1:20" x14ac:dyDescent="0.25">
      <c r="A74" s="413"/>
      <c r="B74" s="801" t="s">
        <v>862</v>
      </c>
      <c r="C74" s="801" t="s">
        <v>863</v>
      </c>
      <c r="D74" s="801" t="s">
        <v>864</v>
      </c>
      <c r="E74" s="801" t="s">
        <v>865</v>
      </c>
      <c r="F74" s="801" t="s">
        <v>866</v>
      </c>
      <c r="G74" s="430" t="s">
        <v>867</v>
      </c>
      <c r="H74" s="801" t="s">
        <v>869</v>
      </c>
      <c r="N74" s="414"/>
    </row>
    <row r="75" spans="1:20" ht="15.75" thickBot="1" x14ac:dyDescent="0.3">
      <c r="A75" s="413"/>
      <c r="B75" s="802"/>
      <c r="C75" s="802"/>
      <c r="D75" s="802"/>
      <c r="E75" s="802"/>
      <c r="F75" s="802"/>
      <c r="G75" s="424" t="s">
        <v>868</v>
      </c>
      <c r="H75" s="802"/>
      <c r="N75" s="414"/>
    </row>
    <row r="76" spans="1:20" ht="15.75" thickBot="1" x14ac:dyDescent="0.3">
      <c r="B76" s="427" t="s">
        <v>870</v>
      </c>
      <c r="C76" s="428">
        <v>93</v>
      </c>
      <c r="D76" s="428">
        <v>39</v>
      </c>
      <c r="E76" s="428">
        <v>24</v>
      </c>
      <c r="F76" s="428">
        <v>0</v>
      </c>
      <c r="G76" s="428">
        <v>156</v>
      </c>
      <c r="H76" s="428">
        <v>227</v>
      </c>
      <c r="N76" s="414"/>
    </row>
    <row r="77" spans="1:20" ht="15.75" thickBot="1" x14ac:dyDescent="0.3">
      <c r="B77" s="425" t="s">
        <v>871</v>
      </c>
      <c r="C77" s="426">
        <v>161</v>
      </c>
      <c r="D77" s="426">
        <v>21</v>
      </c>
      <c r="E77" s="426">
        <v>36</v>
      </c>
      <c r="F77" s="426">
        <v>0</v>
      </c>
      <c r="G77" s="426">
        <v>218</v>
      </c>
      <c r="H77" s="426">
        <v>202</v>
      </c>
      <c r="S77" s="517"/>
      <c r="T77" s="517"/>
    </row>
    <row r="78" spans="1:20" ht="15.75" thickBot="1" x14ac:dyDescent="0.3">
      <c r="B78" s="427" t="s">
        <v>458</v>
      </c>
      <c r="C78" s="428">
        <v>508</v>
      </c>
      <c r="D78" s="428">
        <v>169</v>
      </c>
      <c r="E78" s="428">
        <v>81</v>
      </c>
      <c r="F78" s="428">
        <v>228</v>
      </c>
      <c r="G78" s="428">
        <v>986</v>
      </c>
      <c r="H78" s="428">
        <v>1047</v>
      </c>
      <c r="R78" s="517"/>
      <c r="S78" s="517"/>
      <c r="T78" s="517"/>
    </row>
    <row r="79" spans="1:20" ht="15.75" thickBot="1" x14ac:dyDescent="0.3">
      <c r="B79" s="431" t="s">
        <v>892</v>
      </c>
    </row>
    <row r="80" spans="1:20" ht="50.25" thickBot="1" x14ac:dyDescent="0.3">
      <c r="B80" s="445" t="s">
        <v>862</v>
      </c>
      <c r="C80" s="429" t="s">
        <v>888</v>
      </c>
      <c r="D80" s="429" t="s">
        <v>889</v>
      </c>
      <c r="E80" s="429" t="s">
        <v>890</v>
      </c>
      <c r="F80" s="429" t="s">
        <v>891</v>
      </c>
    </row>
    <row r="81" spans="2:9" ht="15.75" thickBot="1" x14ac:dyDescent="0.3">
      <c r="B81" s="425" t="s">
        <v>519</v>
      </c>
      <c r="C81" s="426">
        <v>618</v>
      </c>
      <c r="D81" s="426">
        <v>648</v>
      </c>
      <c r="E81" s="426">
        <v>80</v>
      </c>
      <c r="F81" s="426">
        <v>-110</v>
      </c>
    </row>
    <row r="82" spans="2:9" ht="15.75" thickBot="1" x14ac:dyDescent="0.3">
      <c r="B82" s="427" t="s">
        <v>870</v>
      </c>
      <c r="C82" s="428">
        <v>227</v>
      </c>
      <c r="D82" s="428">
        <v>214</v>
      </c>
      <c r="E82" s="428">
        <v>51</v>
      </c>
      <c r="F82" s="428">
        <v>-38</v>
      </c>
    </row>
    <row r="83" spans="2:9" ht="15.75" thickBot="1" x14ac:dyDescent="0.3">
      <c r="B83" s="425" t="s">
        <v>871</v>
      </c>
      <c r="C83" s="426">
        <v>202</v>
      </c>
      <c r="D83" s="426">
        <v>230</v>
      </c>
      <c r="E83" s="426">
        <v>69</v>
      </c>
      <c r="F83" s="426">
        <v>-97</v>
      </c>
    </row>
    <row r="84" spans="2:9" ht="15.75" thickBot="1" x14ac:dyDescent="0.3">
      <c r="B84" s="427" t="s">
        <v>458</v>
      </c>
      <c r="C84" s="428">
        <v>1047</v>
      </c>
      <c r="D84" s="428">
        <v>1092</v>
      </c>
      <c r="E84" s="428">
        <v>200</v>
      </c>
      <c r="F84" s="428">
        <v>-245</v>
      </c>
    </row>
    <row r="89" spans="2:9" x14ac:dyDescent="0.25">
      <c r="B89" s="4" t="s">
        <v>1453</v>
      </c>
    </row>
    <row r="90" spans="2:9" x14ac:dyDescent="0.25">
      <c r="B90" s="413"/>
      <c r="C90" s="413">
        <v>2012</v>
      </c>
      <c r="D90" s="413">
        <v>2015</v>
      </c>
      <c r="E90" s="413">
        <v>2020</v>
      </c>
      <c r="F90" s="413">
        <v>2025</v>
      </c>
    </row>
    <row r="91" spans="2:9" x14ac:dyDescent="0.25">
      <c r="B91" s="4" t="s">
        <v>1448</v>
      </c>
    </row>
    <row r="92" spans="2:9" x14ac:dyDescent="0.25">
      <c r="B92" s="4" t="s">
        <v>1449</v>
      </c>
      <c r="C92" s="413">
        <v>256.17</v>
      </c>
      <c r="D92" s="517">
        <v>258.79000000000002</v>
      </c>
      <c r="E92" s="517">
        <v>264.89999999999998</v>
      </c>
      <c r="F92" s="517">
        <v>264.89999999999998</v>
      </c>
    </row>
    <row r="93" spans="2:9" x14ac:dyDescent="0.25">
      <c r="B93" s="4" t="s">
        <v>1450</v>
      </c>
      <c r="C93" s="413">
        <v>596.88</v>
      </c>
      <c r="D93" s="517">
        <v>596.88</v>
      </c>
      <c r="E93" s="517">
        <v>614.88</v>
      </c>
      <c r="F93" s="517">
        <v>632.88</v>
      </c>
    </row>
    <row r="94" spans="2:9" x14ac:dyDescent="0.25">
      <c r="B94" s="4" t="s">
        <v>1451</v>
      </c>
      <c r="C94" s="413">
        <v>1330.26</v>
      </c>
      <c r="D94" s="517">
        <v>1366.99</v>
      </c>
      <c r="E94" s="517">
        <v>1403.1</v>
      </c>
      <c r="F94" s="517">
        <v>1404.08</v>
      </c>
      <c r="G94" s="517"/>
      <c r="H94" s="517"/>
      <c r="I94" s="517"/>
    </row>
    <row r="95" spans="2:9" x14ac:dyDescent="0.25">
      <c r="B95" s="4" t="s">
        <v>1452</v>
      </c>
      <c r="C95" s="413">
        <v>45.93</v>
      </c>
      <c r="D95" s="517">
        <v>61.03</v>
      </c>
      <c r="E95" s="517">
        <v>99.42</v>
      </c>
      <c r="F95" s="517">
        <v>164.6</v>
      </c>
    </row>
    <row r="96" spans="2:9" x14ac:dyDescent="0.25">
      <c r="B96" s="413"/>
      <c r="C96" s="413">
        <f>SUM(C92:C95)</f>
        <v>2229.2399999999998</v>
      </c>
      <c r="D96" s="517">
        <f t="shared" ref="D96:F96" si="31">SUM(D92:D95)</f>
        <v>2283.69</v>
      </c>
      <c r="E96" s="517">
        <f t="shared" si="31"/>
        <v>2382.3000000000002</v>
      </c>
      <c r="F96" s="517">
        <f t="shared" si="31"/>
        <v>2466.4599999999996</v>
      </c>
    </row>
    <row r="98" spans="2:6" x14ac:dyDescent="0.25">
      <c r="B98" s="4" t="s">
        <v>1454</v>
      </c>
      <c r="C98" s="517">
        <v>217.02</v>
      </c>
      <c r="D98" s="517">
        <v>268.33999999999997</v>
      </c>
      <c r="E98" s="517">
        <v>288.2</v>
      </c>
      <c r="F98" s="517">
        <v>311.08999999999997</v>
      </c>
    </row>
    <row r="99" spans="2:6" x14ac:dyDescent="0.25">
      <c r="B99" s="4" t="s">
        <v>1455</v>
      </c>
    </row>
    <row r="100" spans="2:6" x14ac:dyDescent="0.25">
      <c r="B100" s="4" t="s">
        <v>1456</v>
      </c>
      <c r="C100" s="517">
        <v>712.86</v>
      </c>
      <c r="D100" s="517">
        <v>780</v>
      </c>
      <c r="E100" s="517">
        <v>780</v>
      </c>
      <c r="F100" s="517">
        <v>780</v>
      </c>
    </row>
    <row r="102" spans="2:6" x14ac:dyDescent="0.25">
      <c r="B102" s="4" t="s">
        <v>1458</v>
      </c>
      <c r="C102" s="413">
        <f>C96+C98</f>
        <v>2446.2599999999998</v>
      </c>
      <c r="D102" s="517">
        <f t="shared" ref="D102:F102" si="32">D96+D98</f>
        <v>2552.0300000000002</v>
      </c>
      <c r="E102" s="517">
        <f t="shared" si="32"/>
        <v>2670.5</v>
      </c>
      <c r="F102" s="517">
        <f t="shared" si="32"/>
        <v>2777.5499999999997</v>
      </c>
    </row>
    <row r="104" spans="2:6" x14ac:dyDescent="0.25">
      <c r="B104" s="4" t="s">
        <v>1457</v>
      </c>
      <c r="C104" s="517">
        <v>4241.66</v>
      </c>
      <c r="D104" s="517">
        <v>4414.57</v>
      </c>
      <c r="E104" s="517">
        <v>4533.05</v>
      </c>
      <c r="F104" s="517">
        <v>4640.1099999999997</v>
      </c>
    </row>
    <row r="113" spans="12:19" x14ac:dyDescent="0.25">
      <c r="L113" s="519"/>
      <c r="M113" s="519"/>
      <c r="N113" s="519"/>
      <c r="O113" s="519"/>
      <c r="P113" s="519"/>
      <c r="Q113" s="519"/>
      <c r="R113" s="519"/>
      <c r="S113" s="519"/>
    </row>
    <row r="114" spans="12:19" x14ac:dyDescent="0.25">
      <c r="L114" s="519"/>
      <c r="M114" s="519"/>
      <c r="N114" s="519"/>
      <c r="O114" s="519"/>
      <c r="P114" s="519"/>
      <c r="Q114" s="519"/>
      <c r="R114" s="519"/>
      <c r="S114" s="519"/>
    </row>
    <row r="115" spans="12:19" x14ac:dyDescent="0.25">
      <c r="L115" s="519"/>
      <c r="M115" s="519"/>
      <c r="N115" s="519"/>
      <c r="O115" s="519"/>
      <c r="P115" s="519"/>
      <c r="Q115" s="519"/>
      <c r="R115" s="519"/>
      <c r="S115" s="519"/>
    </row>
    <row r="116" spans="12:19" x14ac:dyDescent="0.25">
      <c r="L116" s="519"/>
      <c r="M116" s="519"/>
      <c r="N116" s="519"/>
      <c r="O116" s="519"/>
      <c r="P116" s="519"/>
      <c r="Q116" s="519"/>
      <c r="R116" s="519"/>
      <c r="S116" s="519"/>
    </row>
    <row r="117" spans="12:19" x14ac:dyDescent="0.25">
      <c r="L117" s="519"/>
      <c r="M117" s="519"/>
      <c r="N117" s="519"/>
      <c r="O117" s="519"/>
      <c r="P117" s="519"/>
      <c r="Q117" s="519"/>
      <c r="R117" s="519"/>
      <c r="S117" s="519"/>
    </row>
    <row r="118" spans="12:19" x14ac:dyDescent="0.25">
      <c r="L118" s="519"/>
      <c r="M118" s="519"/>
      <c r="N118" s="519"/>
      <c r="O118" s="519"/>
      <c r="P118" s="519"/>
      <c r="Q118" s="519"/>
      <c r="R118" s="519"/>
      <c r="S118" s="519"/>
    </row>
    <row r="119" spans="12:19" x14ac:dyDescent="0.25">
      <c r="L119" s="519"/>
      <c r="M119" s="519"/>
      <c r="N119" s="519"/>
      <c r="O119" s="519"/>
      <c r="P119" s="519"/>
      <c r="Q119" s="519"/>
      <c r="R119" s="519"/>
      <c r="S119" s="519"/>
    </row>
    <row r="120" spans="12:19" x14ac:dyDescent="0.25">
      <c r="L120" s="519"/>
      <c r="M120" s="519"/>
      <c r="N120" s="519"/>
      <c r="O120" s="519"/>
      <c r="P120" s="519"/>
      <c r="Q120" s="519"/>
      <c r="R120" s="519"/>
      <c r="S120" s="519"/>
    </row>
    <row r="121" spans="12:19" x14ac:dyDescent="0.25">
      <c r="L121" s="519"/>
      <c r="M121" s="519"/>
      <c r="N121" s="519"/>
      <c r="O121" s="519"/>
      <c r="P121" s="519"/>
      <c r="Q121" s="519"/>
      <c r="R121" s="519"/>
      <c r="S121" s="519"/>
    </row>
    <row r="122" spans="12:19" x14ac:dyDescent="0.25">
      <c r="L122" s="519"/>
      <c r="M122" s="519"/>
      <c r="N122" s="519"/>
      <c r="O122" s="519"/>
      <c r="P122" s="519"/>
      <c r="Q122" s="519"/>
      <c r="R122" s="519"/>
      <c r="S122" s="519"/>
    </row>
    <row r="123" spans="12:19" x14ac:dyDescent="0.25">
      <c r="L123" s="519"/>
      <c r="M123" s="519"/>
      <c r="N123" s="519"/>
      <c r="O123" s="519"/>
      <c r="P123" s="519"/>
      <c r="Q123" s="519"/>
      <c r="R123" s="519"/>
      <c r="S123" s="519"/>
    </row>
    <row r="124" spans="12:19" x14ac:dyDescent="0.25">
      <c r="L124" s="519"/>
      <c r="M124" s="519"/>
      <c r="N124" s="519"/>
      <c r="O124" s="519"/>
      <c r="P124" s="519"/>
      <c r="Q124" s="519"/>
      <c r="R124" s="519"/>
      <c r="S124" s="519"/>
    </row>
    <row r="125" spans="12:19" x14ac:dyDescent="0.25">
      <c r="L125" s="519"/>
      <c r="M125" s="519"/>
      <c r="N125" s="519"/>
      <c r="O125" s="519"/>
      <c r="P125" s="519"/>
      <c r="Q125" s="519"/>
      <c r="R125" s="519"/>
      <c r="S125" s="519"/>
    </row>
    <row r="126" spans="12:19" x14ac:dyDescent="0.25">
      <c r="L126" s="519"/>
      <c r="M126" s="519"/>
      <c r="N126" s="519"/>
      <c r="O126" s="519"/>
      <c r="P126" s="519"/>
      <c r="Q126" s="519"/>
      <c r="R126" s="519"/>
      <c r="S126" s="519"/>
    </row>
    <row r="127" spans="12:19" x14ac:dyDescent="0.25">
      <c r="L127" s="519"/>
      <c r="M127" s="519"/>
      <c r="N127" s="519"/>
      <c r="O127" s="519"/>
      <c r="P127" s="519"/>
      <c r="Q127" s="519"/>
      <c r="R127" s="519"/>
      <c r="S127" s="519"/>
    </row>
    <row r="128" spans="12:19" x14ac:dyDescent="0.25">
      <c r="L128" s="519"/>
      <c r="M128" s="519"/>
      <c r="N128" s="519"/>
      <c r="O128" s="519"/>
      <c r="P128" s="519"/>
      <c r="Q128" s="519"/>
      <c r="R128" s="519"/>
      <c r="S128" s="519"/>
    </row>
    <row r="129" spans="1:49" x14ac:dyDescent="0.25">
      <c r="L129" s="519"/>
      <c r="M129" s="519"/>
      <c r="N129" s="519"/>
      <c r="O129" s="519"/>
      <c r="P129" s="519"/>
      <c r="Q129" s="519"/>
      <c r="R129" s="519"/>
      <c r="S129" s="519"/>
    </row>
    <row r="130" spans="1:49" x14ac:dyDescent="0.25">
      <c r="L130" s="519"/>
      <c r="M130" s="519"/>
      <c r="N130" s="519"/>
      <c r="O130" s="519"/>
      <c r="P130" s="519"/>
      <c r="Q130" s="519"/>
      <c r="R130" s="519"/>
      <c r="S130" s="519"/>
    </row>
    <row r="131" spans="1:49" x14ac:dyDescent="0.25">
      <c r="L131" s="519"/>
      <c r="M131" s="519"/>
      <c r="N131" s="519"/>
      <c r="O131" s="519"/>
      <c r="P131" s="519"/>
      <c r="Q131" s="519"/>
      <c r="R131" s="519"/>
      <c r="S131" s="519"/>
    </row>
    <row r="134" spans="1:49" ht="13.5" customHeight="1" x14ac:dyDescent="0.25"/>
    <row r="135" spans="1:49" x14ac:dyDescent="0.25">
      <c r="B135" s="413" t="s">
        <v>1590</v>
      </c>
      <c r="D135" s="413">
        <v>2006</v>
      </c>
      <c r="E135" s="413">
        <f>1+D135</f>
        <v>2007</v>
      </c>
      <c r="F135" s="589">
        <f t="shared" ref="F135:AL135" si="33">1+E135</f>
        <v>2008</v>
      </c>
      <c r="G135" s="589">
        <f t="shared" si="33"/>
        <v>2009</v>
      </c>
      <c r="H135" s="589">
        <f t="shared" si="33"/>
        <v>2010</v>
      </c>
      <c r="I135" s="589">
        <f t="shared" si="33"/>
        <v>2011</v>
      </c>
      <c r="J135" s="589">
        <f t="shared" si="33"/>
        <v>2012</v>
      </c>
      <c r="K135" s="589">
        <f t="shared" si="33"/>
        <v>2013</v>
      </c>
      <c r="L135" s="589">
        <f t="shared" si="33"/>
        <v>2014</v>
      </c>
      <c r="M135" s="589">
        <f t="shared" si="33"/>
        <v>2015</v>
      </c>
      <c r="N135" s="589">
        <f t="shared" si="33"/>
        <v>2016</v>
      </c>
      <c r="O135" s="589">
        <f t="shared" si="33"/>
        <v>2017</v>
      </c>
      <c r="P135" s="589">
        <f t="shared" si="33"/>
        <v>2018</v>
      </c>
      <c r="Q135" s="589">
        <f t="shared" si="33"/>
        <v>2019</v>
      </c>
      <c r="R135" s="589">
        <f t="shared" si="33"/>
        <v>2020</v>
      </c>
      <c r="S135" s="589">
        <f t="shared" si="33"/>
        <v>2021</v>
      </c>
      <c r="T135" s="589">
        <f t="shared" si="33"/>
        <v>2022</v>
      </c>
      <c r="U135" s="589">
        <f t="shared" si="33"/>
        <v>2023</v>
      </c>
      <c r="V135" s="589">
        <f t="shared" si="33"/>
        <v>2024</v>
      </c>
      <c r="W135" s="589">
        <f t="shared" si="33"/>
        <v>2025</v>
      </c>
      <c r="X135" s="589">
        <f t="shared" si="33"/>
        <v>2026</v>
      </c>
      <c r="Y135" s="589">
        <f t="shared" si="33"/>
        <v>2027</v>
      </c>
      <c r="Z135" s="589">
        <f t="shared" si="33"/>
        <v>2028</v>
      </c>
      <c r="AA135" s="589">
        <f t="shared" si="33"/>
        <v>2029</v>
      </c>
      <c r="AB135" s="589">
        <f t="shared" si="33"/>
        <v>2030</v>
      </c>
      <c r="AC135" s="589">
        <f t="shared" si="33"/>
        <v>2031</v>
      </c>
      <c r="AD135" s="589">
        <f t="shared" si="33"/>
        <v>2032</v>
      </c>
      <c r="AE135" s="589">
        <f t="shared" si="33"/>
        <v>2033</v>
      </c>
      <c r="AF135" s="589">
        <f t="shared" si="33"/>
        <v>2034</v>
      </c>
      <c r="AG135" s="589">
        <f t="shared" si="33"/>
        <v>2035</v>
      </c>
      <c r="AH135" s="589">
        <f t="shared" si="33"/>
        <v>2036</v>
      </c>
      <c r="AI135" s="589">
        <f t="shared" si="33"/>
        <v>2037</v>
      </c>
      <c r="AJ135" s="589">
        <f t="shared" si="33"/>
        <v>2038</v>
      </c>
      <c r="AK135" s="589">
        <f t="shared" si="33"/>
        <v>2039</v>
      </c>
      <c r="AL135" s="589">
        <f t="shared" si="33"/>
        <v>2040</v>
      </c>
      <c r="AM135" s="589">
        <v>2045</v>
      </c>
      <c r="AN135" s="589">
        <v>2050</v>
      </c>
    </row>
    <row r="136" spans="1:49" x14ac:dyDescent="0.25">
      <c r="B136" s="4" t="s">
        <v>1591</v>
      </c>
      <c r="D136" s="589">
        <v>12</v>
      </c>
      <c r="E136" s="589">
        <v>12.25</v>
      </c>
      <c r="F136" s="589">
        <v>12.5</v>
      </c>
      <c r="G136" s="589">
        <v>12.75</v>
      </c>
      <c r="H136" s="589">
        <v>13</v>
      </c>
      <c r="I136" s="589">
        <v>15</v>
      </c>
      <c r="J136" s="589">
        <v>17</v>
      </c>
      <c r="K136" s="589">
        <v>20</v>
      </c>
      <c r="L136" s="589">
        <v>22</v>
      </c>
      <c r="M136" s="589">
        <v>25</v>
      </c>
      <c r="N136" s="589">
        <v>28.06</v>
      </c>
      <c r="O136" s="589">
        <v>31.12</v>
      </c>
      <c r="P136" s="589">
        <v>34.18</v>
      </c>
      <c r="Q136" s="589">
        <v>37.24</v>
      </c>
      <c r="R136" s="589">
        <v>40.299999999999997</v>
      </c>
      <c r="S136" s="589">
        <v>40.36</v>
      </c>
      <c r="T136" s="589">
        <v>40.42</v>
      </c>
      <c r="U136" s="589">
        <v>40.479999999999997</v>
      </c>
      <c r="V136" s="589">
        <v>40.54</v>
      </c>
      <c r="W136" s="589">
        <v>40.6</v>
      </c>
      <c r="X136" s="589">
        <v>41.2</v>
      </c>
      <c r="Y136" s="589">
        <v>41.8</v>
      </c>
      <c r="Z136" s="589">
        <v>42.4</v>
      </c>
      <c r="AA136" s="589">
        <v>43</v>
      </c>
      <c r="AB136" s="589">
        <v>43.6</v>
      </c>
      <c r="AC136" s="589">
        <v>43.84</v>
      </c>
      <c r="AD136" s="589">
        <v>44.08</v>
      </c>
      <c r="AE136" s="589">
        <v>44.32</v>
      </c>
      <c r="AF136" s="589">
        <v>44.56</v>
      </c>
      <c r="AG136" s="589">
        <v>44.8</v>
      </c>
      <c r="AH136" s="589">
        <v>45.13</v>
      </c>
      <c r="AI136" s="589">
        <v>45.46</v>
      </c>
      <c r="AJ136" s="589">
        <v>45.79</v>
      </c>
      <c r="AK136" s="589">
        <v>46.12</v>
      </c>
      <c r="AL136" s="589">
        <v>46.4</v>
      </c>
      <c r="AM136" s="589">
        <v>46.8</v>
      </c>
      <c r="AN136" s="589">
        <v>47</v>
      </c>
    </row>
    <row r="137" spans="1:49" x14ac:dyDescent="0.25">
      <c r="B137" s="4" t="s">
        <v>1593</v>
      </c>
      <c r="D137" s="589">
        <v>230</v>
      </c>
      <c r="E137" s="589">
        <v>236.25</v>
      </c>
      <c r="F137" s="589">
        <v>242.5</v>
      </c>
      <c r="G137" s="589">
        <v>248.75</v>
      </c>
      <c r="H137" s="589">
        <v>255</v>
      </c>
      <c r="I137" s="589">
        <v>265.60000000000002</v>
      </c>
      <c r="J137" s="589">
        <v>276.2</v>
      </c>
      <c r="K137" s="589">
        <v>286.8</v>
      </c>
      <c r="L137" s="589">
        <v>297.39999999999998</v>
      </c>
      <c r="M137" s="589">
        <v>308</v>
      </c>
      <c r="N137" s="589">
        <v>318.48399999999998</v>
      </c>
      <c r="O137" s="589">
        <v>328.96800000000002</v>
      </c>
      <c r="P137" s="589">
        <v>339.452</v>
      </c>
      <c r="Q137" s="589">
        <v>349.93599999999998</v>
      </c>
      <c r="R137" s="589">
        <v>360.42</v>
      </c>
      <c r="S137" s="589">
        <v>360.98200000000003</v>
      </c>
      <c r="T137" s="589">
        <v>361.54399999999998</v>
      </c>
      <c r="U137" s="589">
        <v>362.10599999999999</v>
      </c>
      <c r="V137" s="589">
        <v>362.66800000000001</v>
      </c>
      <c r="W137" s="589">
        <v>363.23</v>
      </c>
      <c r="X137" s="589">
        <v>379.80799999999999</v>
      </c>
      <c r="Y137" s="589">
        <v>396.38600000000002</v>
      </c>
      <c r="Z137" s="589">
        <v>412.964</v>
      </c>
      <c r="AA137" s="589">
        <v>429.54199999999997</v>
      </c>
      <c r="AB137" s="589">
        <v>446.12</v>
      </c>
      <c r="AC137" s="589">
        <v>446.71199999999999</v>
      </c>
      <c r="AD137" s="589">
        <v>447.30399999999997</v>
      </c>
      <c r="AE137" s="589">
        <v>447.89600000000002</v>
      </c>
      <c r="AF137" s="589">
        <v>448.488</v>
      </c>
      <c r="AG137" s="589">
        <v>449.08</v>
      </c>
      <c r="AH137" s="589">
        <v>449.68599999999998</v>
      </c>
      <c r="AI137" s="589">
        <v>450.29199999999997</v>
      </c>
      <c r="AJ137" s="589">
        <v>450.89800000000002</v>
      </c>
      <c r="AK137" s="589">
        <v>451.50400000000002</v>
      </c>
      <c r="AL137" s="589">
        <v>452.11</v>
      </c>
      <c r="AM137" s="589">
        <v>455.22</v>
      </c>
      <c r="AN137" s="589">
        <v>458.4</v>
      </c>
    </row>
    <row r="138" spans="1:49" x14ac:dyDescent="0.25">
      <c r="B138" s="4" t="s">
        <v>1592</v>
      </c>
      <c r="D138" s="591">
        <v>3492.43</v>
      </c>
      <c r="E138" s="591">
        <v>3521.5</v>
      </c>
      <c r="F138" s="591">
        <v>3550.57</v>
      </c>
      <c r="G138" s="591">
        <v>3579.64</v>
      </c>
      <c r="H138" s="591">
        <v>3608.71</v>
      </c>
      <c r="I138" s="591">
        <v>3637.7820000000002</v>
      </c>
      <c r="J138" s="591">
        <v>3666.8539999999998</v>
      </c>
      <c r="K138" s="591">
        <v>3695.9259999999999</v>
      </c>
      <c r="L138" s="591">
        <v>3724.998</v>
      </c>
      <c r="M138" s="591">
        <v>3754.07</v>
      </c>
      <c r="N138" s="591">
        <v>3783.14</v>
      </c>
      <c r="O138" s="591">
        <v>3812.21</v>
      </c>
      <c r="P138" s="591">
        <v>3841.28</v>
      </c>
      <c r="Q138" s="591">
        <v>3870.35</v>
      </c>
      <c r="R138" s="591">
        <v>3899.42</v>
      </c>
      <c r="S138" s="591">
        <v>3928.4920000000002</v>
      </c>
      <c r="T138" s="591">
        <v>3957.5639999999999</v>
      </c>
      <c r="U138" s="591">
        <v>3986.636</v>
      </c>
      <c r="V138" s="591">
        <v>4015.7080000000001</v>
      </c>
      <c r="W138" s="591">
        <v>4044.78</v>
      </c>
      <c r="X138" s="591">
        <v>4073.85</v>
      </c>
      <c r="Y138" s="591">
        <v>4102.92</v>
      </c>
      <c r="Z138" s="591">
        <v>4129.99</v>
      </c>
      <c r="AA138" s="591">
        <v>4157.2386008257527</v>
      </c>
      <c r="AB138" s="591">
        <v>4184.6669808390971</v>
      </c>
      <c r="AC138" s="591">
        <v>4212.2763261763967</v>
      </c>
      <c r="AD138" s="591">
        <v>4240.0678307998342</v>
      </c>
      <c r="AE138" s="591">
        <v>4268.0426965490442</v>
      </c>
      <c r="AF138" s="591">
        <v>4296.2021331930882</v>
      </c>
      <c r="AG138" s="591">
        <v>4324.5473584827687</v>
      </c>
      <c r="AH138" s="591">
        <v>4353.0795982032914</v>
      </c>
      <c r="AI138" s="591">
        <v>4381.8000862272747</v>
      </c>
      <c r="AJ138" s="591">
        <v>4410.7100645681076</v>
      </c>
      <c r="AK138" s="591">
        <v>4439.8107834336606</v>
      </c>
      <c r="AL138" s="591">
        <v>4469.1035012803522</v>
      </c>
      <c r="AM138" s="591">
        <v>4498.5894848675671</v>
      </c>
      <c r="AN138" s="591">
        <v>4528.2700093124413</v>
      </c>
    </row>
    <row r="140" spans="1:49" x14ac:dyDescent="0.25">
      <c r="Z140" s="591"/>
      <c r="AB140" s="589"/>
      <c r="AC140" s="589"/>
      <c r="AD140" s="589"/>
      <c r="AE140" s="589"/>
      <c r="AF140" s="589"/>
      <c r="AG140" s="589"/>
      <c r="AH140" s="589"/>
      <c r="AI140" s="589"/>
      <c r="AJ140" s="589"/>
      <c r="AK140" s="589"/>
      <c r="AL140" s="589"/>
      <c r="AM140" s="589"/>
      <c r="AN140" s="589"/>
    </row>
    <row r="143" spans="1:49" x14ac:dyDescent="0.25">
      <c r="A143" s="595" t="s">
        <v>1619</v>
      </c>
      <c r="B143" s="592"/>
    </row>
    <row r="144" spans="1:49" x14ac:dyDescent="0.25">
      <c r="B144" s="5" t="s">
        <v>44</v>
      </c>
      <c r="C144" s="5" t="s">
        <v>912</v>
      </c>
      <c r="D144" s="5" t="s">
        <v>439</v>
      </c>
      <c r="E144" s="5" t="s">
        <v>330</v>
      </c>
      <c r="F144" s="5" t="s">
        <v>1594</v>
      </c>
      <c r="G144" s="5" t="s">
        <v>1595</v>
      </c>
      <c r="H144" s="5"/>
      <c r="I144" s="5"/>
      <c r="J144" s="5"/>
      <c r="K144" s="5"/>
      <c r="L144" s="5"/>
      <c r="M144" s="5">
        <v>2006</v>
      </c>
      <c r="N144" s="5">
        <v>2007</v>
      </c>
      <c r="O144" s="5">
        <v>2008</v>
      </c>
      <c r="P144" s="5">
        <v>2009</v>
      </c>
      <c r="Q144" s="5">
        <v>2010</v>
      </c>
      <c r="R144" s="5">
        <v>2011</v>
      </c>
      <c r="S144" s="5">
        <v>2012</v>
      </c>
      <c r="T144" s="5">
        <v>2013</v>
      </c>
      <c r="U144" s="5">
        <v>2014</v>
      </c>
      <c r="V144" s="5">
        <v>2015</v>
      </c>
      <c r="W144" s="5">
        <v>2016</v>
      </c>
      <c r="X144" s="5">
        <v>2017</v>
      </c>
      <c r="Y144" s="5">
        <v>2018</v>
      </c>
      <c r="Z144" s="5">
        <v>2019</v>
      </c>
      <c r="AA144" s="5">
        <v>2020</v>
      </c>
      <c r="AB144" s="5">
        <v>2021</v>
      </c>
      <c r="AC144" s="5">
        <v>2022</v>
      </c>
      <c r="AD144" s="5">
        <v>2023</v>
      </c>
      <c r="AE144" s="5">
        <v>2024</v>
      </c>
      <c r="AF144" s="5">
        <v>2025</v>
      </c>
      <c r="AG144" s="5">
        <v>2026</v>
      </c>
      <c r="AH144" s="5">
        <v>2027</v>
      </c>
      <c r="AI144" s="5">
        <v>2028</v>
      </c>
      <c r="AJ144" s="5">
        <v>2029</v>
      </c>
      <c r="AK144" s="5">
        <v>2030</v>
      </c>
      <c r="AL144" s="5">
        <v>2031</v>
      </c>
      <c r="AM144" s="5">
        <v>2032</v>
      </c>
      <c r="AN144" s="5">
        <v>2033</v>
      </c>
      <c r="AO144" s="5">
        <v>2034</v>
      </c>
      <c r="AP144" s="5">
        <v>2035</v>
      </c>
      <c r="AQ144" s="5">
        <v>2036</v>
      </c>
      <c r="AR144" s="5">
        <v>2037</v>
      </c>
      <c r="AS144" s="5">
        <v>2038</v>
      </c>
      <c r="AT144" s="5">
        <v>2039</v>
      </c>
      <c r="AU144" s="5">
        <v>2040</v>
      </c>
      <c r="AV144" s="5">
        <v>2045</v>
      </c>
      <c r="AW144" s="5">
        <v>2050</v>
      </c>
    </row>
    <row r="145" spans="1:49" s="594" customFormat="1" x14ac:dyDescent="0.25">
      <c r="B145" s="5"/>
      <c r="C145" s="5" t="s">
        <v>918</v>
      </c>
      <c r="D145" s="5" t="s">
        <v>162</v>
      </c>
      <c r="E145" s="5" t="s">
        <v>910</v>
      </c>
      <c r="F145" s="5" t="s">
        <v>38</v>
      </c>
      <c r="G145" s="5" t="s">
        <v>1596</v>
      </c>
      <c r="H145" s="5"/>
      <c r="I145" s="5"/>
      <c r="J145" s="5"/>
      <c r="K145" s="5"/>
      <c r="L145" s="410"/>
      <c r="M145" s="5">
        <v>12</v>
      </c>
      <c r="N145" s="5">
        <v>12.25</v>
      </c>
      <c r="O145" s="5">
        <v>12.5</v>
      </c>
      <c r="P145" s="5">
        <v>12.75</v>
      </c>
      <c r="Q145" s="5">
        <v>13</v>
      </c>
      <c r="R145" s="5">
        <v>15</v>
      </c>
      <c r="S145" s="5">
        <v>17</v>
      </c>
      <c r="T145" s="5">
        <v>20</v>
      </c>
      <c r="U145" s="5">
        <v>22</v>
      </c>
      <c r="V145" s="5">
        <v>25</v>
      </c>
      <c r="W145" s="5">
        <v>28.06</v>
      </c>
      <c r="X145" s="5">
        <v>31.12</v>
      </c>
      <c r="Y145" s="5">
        <v>34.18</v>
      </c>
      <c r="Z145" s="5">
        <v>37.24</v>
      </c>
      <c r="AA145" s="5">
        <v>40.299999999999997</v>
      </c>
      <c r="AB145" s="5">
        <v>40.36</v>
      </c>
      <c r="AC145" s="5">
        <v>40.42</v>
      </c>
      <c r="AD145" s="5">
        <v>40.479999999999997</v>
      </c>
      <c r="AE145" s="5">
        <v>40.54</v>
      </c>
      <c r="AF145" s="5">
        <v>40.6</v>
      </c>
      <c r="AG145" s="5">
        <v>41.2</v>
      </c>
      <c r="AH145" s="5">
        <v>41.8</v>
      </c>
      <c r="AI145" s="5">
        <v>42.4</v>
      </c>
      <c r="AJ145" s="5">
        <v>43</v>
      </c>
      <c r="AK145" s="5">
        <v>43.6</v>
      </c>
      <c r="AL145" s="5">
        <v>43.84</v>
      </c>
      <c r="AM145" s="5">
        <v>44.08</v>
      </c>
      <c r="AN145" s="5">
        <v>44.32</v>
      </c>
      <c r="AO145" s="5">
        <v>44.56</v>
      </c>
      <c r="AP145" s="5">
        <v>44.8</v>
      </c>
      <c r="AQ145" s="5">
        <v>45.13</v>
      </c>
      <c r="AR145" s="5">
        <v>45.46</v>
      </c>
      <c r="AS145" s="5">
        <v>45.79</v>
      </c>
      <c r="AT145" s="5">
        <v>46.12</v>
      </c>
      <c r="AU145" s="5">
        <v>46.4</v>
      </c>
      <c r="AV145" s="5">
        <v>46.8</v>
      </c>
      <c r="AW145" s="5">
        <v>47</v>
      </c>
    </row>
    <row r="146" spans="1:49" s="595" customFormat="1" x14ac:dyDescent="0.25">
      <c r="B146"/>
      <c r="C146" s="600"/>
      <c r="D146" s="600"/>
      <c r="E146" s="600"/>
      <c r="F146" s="600"/>
      <c r="G146" s="600"/>
      <c r="H146" s="600"/>
      <c r="I146" s="600"/>
      <c r="J146" s="600"/>
      <c r="K146" s="600"/>
      <c r="L146" s="410">
        <v>0.01</v>
      </c>
      <c r="M146" s="601">
        <v>12</v>
      </c>
      <c r="N146" s="601">
        <v>12.25</v>
      </c>
      <c r="O146" s="601">
        <v>12.5</v>
      </c>
      <c r="P146" s="601">
        <v>12.75</v>
      </c>
      <c r="Q146" s="601">
        <v>13</v>
      </c>
      <c r="R146" s="601">
        <v>15</v>
      </c>
      <c r="S146" s="601">
        <v>17</v>
      </c>
      <c r="T146" s="601">
        <v>20</v>
      </c>
      <c r="U146" s="601">
        <v>22</v>
      </c>
      <c r="V146" s="601">
        <v>25</v>
      </c>
      <c r="W146" s="601">
        <v>28.06</v>
      </c>
      <c r="X146" s="601">
        <v>31.12</v>
      </c>
      <c r="Y146" s="601">
        <v>34.18</v>
      </c>
      <c r="Z146" s="601">
        <v>37.24</v>
      </c>
      <c r="AA146" s="601">
        <v>39</v>
      </c>
      <c r="AB146" s="601">
        <v>39.5</v>
      </c>
      <c r="AC146" s="603">
        <f t="shared" ref="AC146:AW147" si="34">(1+$L146)*AB146</f>
        <v>39.895000000000003</v>
      </c>
      <c r="AD146" s="603">
        <f t="shared" si="34"/>
        <v>40.293950000000002</v>
      </c>
      <c r="AE146" s="603">
        <f t="shared" si="34"/>
        <v>40.696889500000005</v>
      </c>
      <c r="AF146" s="603">
        <f t="shared" si="34"/>
        <v>41.103858395000003</v>
      </c>
      <c r="AG146" s="603">
        <f t="shared" si="34"/>
        <v>41.514896978950006</v>
      </c>
      <c r="AH146" s="603">
        <f t="shared" si="34"/>
        <v>41.930045948739505</v>
      </c>
      <c r="AI146" s="603">
        <f t="shared" si="34"/>
        <v>42.3493464082269</v>
      </c>
      <c r="AJ146" s="603">
        <f t="shared" si="34"/>
        <v>42.77283987230917</v>
      </c>
      <c r="AK146" s="603">
        <f t="shared" si="34"/>
        <v>43.20056827103226</v>
      </c>
      <c r="AL146" s="603">
        <f t="shared" si="34"/>
        <v>43.632573953742586</v>
      </c>
      <c r="AM146" s="603">
        <f t="shared" si="34"/>
        <v>44.068899693280009</v>
      </c>
      <c r="AN146" s="603">
        <f t="shared" si="34"/>
        <v>44.509588690212809</v>
      </c>
      <c r="AO146" s="603">
        <f t="shared" si="34"/>
        <v>44.954684577114939</v>
      </c>
      <c r="AP146" s="603">
        <f t="shared" si="34"/>
        <v>45.404231422886092</v>
      </c>
      <c r="AQ146" s="603">
        <f t="shared" si="34"/>
        <v>45.858273737114956</v>
      </c>
      <c r="AR146" s="603">
        <f t="shared" si="34"/>
        <v>46.316856474486109</v>
      </c>
      <c r="AS146" s="603">
        <f t="shared" si="34"/>
        <v>46.780025039230971</v>
      </c>
      <c r="AT146" s="603">
        <f t="shared" si="34"/>
        <v>47.247825289623279</v>
      </c>
      <c r="AU146" s="603">
        <f t="shared" si="34"/>
        <v>47.72030354251951</v>
      </c>
      <c r="AV146" s="603">
        <f t="shared" si="34"/>
        <v>48.197506577944708</v>
      </c>
      <c r="AW146" s="603">
        <f t="shared" si="34"/>
        <v>48.679481643724152</v>
      </c>
    </row>
    <row r="147" spans="1:49" s="595" customFormat="1" x14ac:dyDescent="0.25">
      <c r="B147"/>
      <c r="C147"/>
      <c r="D147"/>
      <c r="E147"/>
      <c r="F147"/>
      <c r="G147"/>
      <c r="H147"/>
      <c r="I147"/>
      <c r="J147"/>
      <c r="K147"/>
      <c r="L147" s="410">
        <v>5.0000000000000001E-3</v>
      </c>
      <c r="M147" s="593">
        <f>M146</f>
        <v>12</v>
      </c>
      <c r="N147" s="593">
        <f t="shared" ref="N147:AK147" si="35">N146</f>
        <v>12.25</v>
      </c>
      <c r="O147" s="593">
        <f t="shared" si="35"/>
        <v>12.5</v>
      </c>
      <c r="P147" s="593">
        <f t="shared" si="35"/>
        <v>12.75</v>
      </c>
      <c r="Q147" s="593">
        <f t="shared" si="35"/>
        <v>13</v>
      </c>
      <c r="R147" s="593">
        <f t="shared" si="35"/>
        <v>15</v>
      </c>
      <c r="S147" s="593">
        <f t="shared" si="35"/>
        <v>17</v>
      </c>
      <c r="T147" s="593">
        <f t="shared" si="35"/>
        <v>20</v>
      </c>
      <c r="U147" s="593">
        <f t="shared" si="35"/>
        <v>22</v>
      </c>
      <c r="V147" s="593">
        <f t="shared" si="35"/>
        <v>25</v>
      </c>
      <c r="W147" s="593">
        <f t="shared" si="35"/>
        <v>28.06</v>
      </c>
      <c r="X147" s="593">
        <f t="shared" si="35"/>
        <v>31.12</v>
      </c>
      <c r="Y147" s="593">
        <f t="shared" si="35"/>
        <v>34.18</v>
      </c>
      <c r="Z147" s="593">
        <f t="shared" si="35"/>
        <v>37.24</v>
      </c>
      <c r="AA147" s="593">
        <f t="shared" si="35"/>
        <v>39</v>
      </c>
      <c r="AB147" s="593">
        <f t="shared" si="35"/>
        <v>39.5</v>
      </c>
      <c r="AC147" s="593">
        <f t="shared" si="35"/>
        <v>39.895000000000003</v>
      </c>
      <c r="AD147" s="593">
        <f t="shared" si="35"/>
        <v>40.293950000000002</v>
      </c>
      <c r="AE147" s="593">
        <f t="shared" si="35"/>
        <v>40.696889500000005</v>
      </c>
      <c r="AF147" s="593">
        <f t="shared" si="35"/>
        <v>41.103858395000003</v>
      </c>
      <c r="AG147" s="593">
        <f t="shared" si="35"/>
        <v>41.514896978950006</v>
      </c>
      <c r="AH147" s="593">
        <f t="shared" si="35"/>
        <v>41.930045948739505</v>
      </c>
      <c r="AI147" s="593">
        <f t="shared" si="35"/>
        <v>42.3493464082269</v>
      </c>
      <c r="AJ147" s="593">
        <f t="shared" si="35"/>
        <v>42.77283987230917</v>
      </c>
      <c r="AK147" s="593">
        <f t="shared" si="35"/>
        <v>43.20056827103226</v>
      </c>
      <c r="AL147" s="598">
        <f t="shared" ref="AL147:AS147" si="36">(1+$L147)*AK147</f>
        <v>43.416571112387416</v>
      </c>
      <c r="AM147" s="598">
        <f t="shared" si="36"/>
        <v>43.63365396794935</v>
      </c>
      <c r="AN147" s="598">
        <f t="shared" si="36"/>
        <v>43.851822237789094</v>
      </c>
      <c r="AO147" s="598">
        <f t="shared" si="36"/>
        <v>44.071081348978034</v>
      </c>
      <c r="AP147" s="598">
        <f t="shared" si="36"/>
        <v>44.29143675572292</v>
      </c>
      <c r="AQ147" s="598">
        <f t="shared" si="36"/>
        <v>44.512893939501531</v>
      </c>
      <c r="AR147" s="598">
        <f t="shared" si="36"/>
        <v>44.735458409199033</v>
      </c>
      <c r="AS147" s="598">
        <f t="shared" si="36"/>
        <v>44.959135701245025</v>
      </c>
      <c r="AT147" s="598">
        <f t="shared" si="34"/>
        <v>45.183931379751243</v>
      </c>
      <c r="AU147" s="598">
        <f>(1+$L147)^(AU$144-AT$144)*AT147</f>
        <v>45.409851036649997</v>
      </c>
      <c r="AV147" s="598">
        <f>(1+$L147)^(AV$144-AU$144)*AU147</f>
        <v>46.556506679686855</v>
      </c>
      <c r="AW147" s="598">
        <f>(1+$L147)^(AW$144-AV$144)*AV147</f>
        <v>47.73211681461683</v>
      </c>
    </row>
    <row r="148" spans="1:49" x14ac:dyDescent="0.25">
      <c r="L148" s="410"/>
    </row>
    <row r="149" spans="1:49" s="599" customFormat="1" x14ac:dyDescent="0.25">
      <c r="B149" s="5"/>
      <c r="C149" s="5" t="s">
        <v>918</v>
      </c>
      <c r="D149" s="5" t="s">
        <v>162</v>
      </c>
      <c r="E149" s="5" t="s">
        <v>910</v>
      </c>
      <c r="F149" s="5" t="s">
        <v>38</v>
      </c>
      <c r="G149" s="5" t="s">
        <v>1597</v>
      </c>
      <c r="H149" s="5"/>
      <c r="I149" s="5"/>
      <c r="J149" s="5"/>
      <c r="K149" s="5"/>
      <c r="L149" s="410"/>
      <c r="M149" s="5">
        <v>230</v>
      </c>
      <c r="N149" s="5">
        <v>236.25</v>
      </c>
      <c r="O149" s="5">
        <v>242.5</v>
      </c>
      <c r="P149" s="5">
        <v>248.75</v>
      </c>
      <c r="Q149" s="5">
        <v>255</v>
      </c>
      <c r="R149" s="5">
        <v>265.60000000000002</v>
      </c>
      <c r="S149" s="5">
        <v>276.2</v>
      </c>
      <c r="T149" s="5">
        <v>286.8</v>
      </c>
      <c r="U149" s="5">
        <v>297.39999999999998</v>
      </c>
      <c r="V149" s="5">
        <v>308</v>
      </c>
      <c r="W149" s="5">
        <v>318.48399999999998</v>
      </c>
      <c r="X149" s="5">
        <v>328.96800000000002</v>
      </c>
      <c r="Y149" s="5">
        <v>339.452</v>
      </c>
      <c r="Z149" s="5">
        <v>349.93599999999998</v>
      </c>
      <c r="AA149" s="5">
        <v>360.42</v>
      </c>
      <c r="AB149" s="5">
        <v>360.98200000000003</v>
      </c>
      <c r="AC149" s="5">
        <v>361.54399999999998</v>
      </c>
      <c r="AD149" s="5">
        <v>362.10599999999999</v>
      </c>
      <c r="AE149" s="5">
        <v>362.66800000000001</v>
      </c>
      <c r="AF149" s="5">
        <v>363.23</v>
      </c>
      <c r="AG149" s="5">
        <v>379.80799999999999</v>
      </c>
      <c r="AH149" s="5">
        <v>396.38600000000002</v>
      </c>
      <c r="AI149" s="5">
        <v>412.964</v>
      </c>
      <c r="AJ149" s="5">
        <v>429.54199999999997</v>
      </c>
      <c r="AK149" s="5">
        <v>446.12</v>
      </c>
      <c r="AL149" s="5">
        <v>446.71199999999999</v>
      </c>
      <c r="AM149" s="5">
        <v>447.30399999999997</v>
      </c>
      <c r="AN149" s="5">
        <v>447.89600000000002</v>
      </c>
      <c r="AO149" s="5">
        <v>448.488</v>
      </c>
      <c r="AP149" s="5">
        <v>449.08</v>
      </c>
      <c r="AQ149" s="5">
        <v>449.68599999999998</v>
      </c>
      <c r="AR149" s="5">
        <v>450.29199999999997</v>
      </c>
      <c r="AS149" s="5">
        <v>450.89800000000002</v>
      </c>
      <c r="AT149" s="5">
        <v>451.50400000000002</v>
      </c>
      <c r="AU149" s="5">
        <v>452.11</v>
      </c>
      <c r="AV149" s="5">
        <v>455.22</v>
      </c>
      <c r="AW149" s="5">
        <v>458.4</v>
      </c>
    </row>
    <row r="150" spans="1:49" s="599" customFormat="1" x14ac:dyDescent="0.25">
      <c r="B150" s="5"/>
      <c r="C150" s="5"/>
      <c r="D150" s="5"/>
      <c r="E150" s="5"/>
      <c r="F150" s="5"/>
      <c r="G150" s="5"/>
      <c r="H150" s="5"/>
      <c r="I150" s="5"/>
      <c r="J150" s="5"/>
      <c r="K150" s="5"/>
      <c r="L150" s="410">
        <v>5.0000000000000001E-3</v>
      </c>
      <c r="M150">
        <f>M149</f>
        <v>230</v>
      </c>
      <c r="N150">
        <f t="shared" ref="N150" si="37">N149</f>
        <v>236.25</v>
      </c>
      <c r="O150">
        <f t="shared" ref="O150" si="38">O149</f>
        <v>242.5</v>
      </c>
      <c r="P150">
        <f t="shared" ref="P150" si="39">P149</f>
        <v>248.75</v>
      </c>
      <c r="Q150">
        <f t="shared" ref="Q150" si="40">Q149</f>
        <v>255</v>
      </c>
      <c r="R150">
        <f t="shared" ref="R150" si="41">R149</f>
        <v>265.60000000000002</v>
      </c>
      <c r="S150">
        <f t="shared" ref="S150" si="42">S149</f>
        <v>276.2</v>
      </c>
      <c r="T150">
        <f t="shared" ref="T150" si="43">T149</f>
        <v>286.8</v>
      </c>
      <c r="U150">
        <f t="shared" ref="U150" si="44">U149</f>
        <v>297.39999999999998</v>
      </c>
      <c r="V150">
        <f t="shared" ref="V150:AK150" si="45">V149</f>
        <v>308</v>
      </c>
      <c r="W150">
        <f t="shared" si="45"/>
        <v>318.48399999999998</v>
      </c>
      <c r="X150">
        <f t="shared" si="45"/>
        <v>328.96800000000002</v>
      </c>
      <c r="Y150">
        <f t="shared" si="45"/>
        <v>339.452</v>
      </c>
      <c r="Z150">
        <f t="shared" si="45"/>
        <v>349.93599999999998</v>
      </c>
      <c r="AA150">
        <f t="shared" si="45"/>
        <v>360.42</v>
      </c>
      <c r="AB150">
        <f t="shared" si="45"/>
        <v>360.98200000000003</v>
      </c>
      <c r="AC150">
        <f t="shared" si="45"/>
        <v>361.54399999999998</v>
      </c>
      <c r="AD150">
        <f t="shared" si="45"/>
        <v>362.10599999999999</v>
      </c>
      <c r="AE150">
        <f t="shared" si="45"/>
        <v>362.66800000000001</v>
      </c>
      <c r="AF150">
        <f t="shared" si="45"/>
        <v>363.23</v>
      </c>
      <c r="AG150">
        <f t="shared" si="45"/>
        <v>379.80799999999999</v>
      </c>
      <c r="AH150">
        <f t="shared" si="45"/>
        <v>396.38600000000002</v>
      </c>
      <c r="AI150">
        <f t="shared" si="45"/>
        <v>412.964</v>
      </c>
      <c r="AJ150">
        <f t="shared" si="45"/>
        <v>429.54199999999997</v>
      </c>
      <c r="AK150">
        <f t="shared" si="45"/>
        <v>446.12</v>
      </c>
      <c r="AL150" s="598">
        <f t="shared" ref="AL150" si="46">(1+$L150)*AK150</f>
        <v>448.35059999999993</v>
      </c>
      <c r="AM150" s="598">
        <f t="shared" ref="AM150" si="47">(1+$L150)*AL150</f>
        <v>450.59235299999989</v>
      </c>
      <c r="AN150" s="598">
        <f t="shared" ref="AN150" si="48">(1+$L150)*AM150</f>
        <v>452.84531476499984</v>
      </c>
      <c r="AO150" s="598">
        <f t="shared" ref="AO150" si="49">(1+$L150)*AN150</f>
        <v>455.10954133882478</v>
      </c>
      <c r="AP150" s="598">
        <f t="shared" ref="AP150" si="50">(1+$L150)*AO150</f>
        <v>457.38508904551884</v>
      </c>
      <c r="AQ150" s="598">
        <f t="shared" ref="AQ150" si="51">(1+$L150)*AP150</f>
        <v>459.67201449074639</v>
      </c>
      <c r="AR150" s="598">
        <f t="shared" ref="AR150" si="52">(1+$L150)*AQ150</f>
        <v>461.9703745632001</v>
      </c>
      <c r="AS150" s="598">
        <f t="shared" ref="AS150" si="53">(1+$L150)*AR150</f>
        <v>464.28022643601605</v>
      </c>
      <c r="AT150" s="598">
        <f t="shared" ref="AT150" si="54">(1+$L150)*AS150</f>
        <v>466.60162756819608</v>
      </c>
      <c r="AU150" s="598">
        <f>(1+$L150)^(AU$144-AT$144)*AT150</f>
        <v>468.934635706037</v>
      </c>
      <c r="AV150" s="598">
        <f>(1+$L150)^(AV$144-AU$144)*AU150</f>
        <v>480.77582289279485</v>
      </c>
      <c r="AW150" s="598">
        <f>(1+$L150)^(AW$144-AV$144)*AV150</f>
        <v>492.91601489454303</v>
      </c>
    </row>
    <row r="151" spans="1:49" s="595" customFormat="1" x14ac:dyDescent="0.25">
      <c r="B151"/>
      <c r="C151"/>
      <c r="D151"/>
      <c r="E151"/>
      <c r="F151"/>
      <c r="G151"/>
      <c r="H151"/>
      <c r="I151"/>
      <c r="J151"/>
      <c r="K151"/>
      <c r="L151" s="410"/>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row>
    <row r="152" spans="1:49" s="594" customFormat="1" x14ac:dyDescent="0.25">
      <c r="B152" s="5"/>
      <c r="C152" s="5" t="s">
        <v>918</v>
      </c>
      <c r="D152" s="5" t="s">
        <v>162</v>
      </c>
      <c r="E152" s="5" t="s">
        <v>910</v>
      </c>
      <c r="F152" s="5" t="s">
        <v>38</v>
      </c>
      <c r="G152" s="5" t="s">
        <v>1598</v>
      </c>
      <c r="H152" s="5"/>
      <c r="I152" s="5"/>
      <c r="J152" s="5"/>
      <c r="K152" s="5"/>
      <c r="L152" s="410"/>
      <c r="M152" s="5">
        <v>2665.08</v>
      </c>
      <c r="N152" s="5">
        <v>2678.26</v>
      </c>
      <c r="O152" s="5">
        <v>2691.44</v>
      </c>
      <c r="P152" s="5">
        <v>2704.62</v>
      </c>
      <c r="Q152" s="5">
        <v>2717.8</v>
      </c>
      <c r="R152" s="5">
        <v>2730.98</v>
      </c>
      <c r="S152" s="5">
        <v>2744.16</v>
      </c>
      <c r="T152" s="5">
        <v>2757.34</v>
      </c>
      <c r="U152" s="5">
        <v>2770.52</v>
      </c>
      <c r="V152" s="5">
        <v>2783.7</v>
      </c>
      <c r="W152" s="5">
        <v>2796.88</v>
      </c>
      <c r="X152" s="5">
        <v>2810.06</v>
      </c>
      <c r="Y152" s="5">
        <v>2823.24</v>
      </c>
      <c r="Z152" s="5">
        <v>2836.42</v>
      </c>
      <c r="AA152" s="5">
        <v>2849.6</v>
      </c>
      <c r="AB152" s="5">
        <v>2862.78</v>
      </c>
      <c r="AC152" s="5">
        <v>2875.96</v>
      </c>
      <c r="AD152" s="5">
        <v>2889.14</v>
      </c>
      <c r="AE152" s="5">
        <v>2902.32</v>
      </c>
      <c r="AF152" s="5">
        <v>2915.5</v>
      </c>
      <c r="AG152" s="5">
        <v>2928.68</v>
      </c>
      <c r="AH152" s="5">
        <v>2941.86</v>
      </c>
      <c r="AI152" s="5">
        <v>2955.04</v>
      </c>
      <c r="AJ152" s="5">
        <v>2968.22</v>
      </c>
      <c r="AK152" s="5">
        <v>2981.4</v>
      </c>
      <c r="AL152" s="5">
        <v>2994.58</v>
      </c>
      <c r="AM152" s="5">
        <v>3007.76</v>
      </c>
      <c r="AN152" s="5">
        <v>3020.94</v>
      </c>
      <c r="AO152" s="5">
        <v>3034.12</v>
      </c>
      <c r="AP152" s="5">
        <v>3047.3</v>
      </c>
      <c r="AQ152" s="5">
        <v>3060.48</v>
      </c>
      <c r="AR152" s="5">
        <v>3073.66</v>
      </c>
      <c r="AS152" s="5">
        <v>3086.84</v>
      </c>
      <c r="AT152" s="5">
        <v>3100.02</v>
      </c>
      <c r="AU152" s="5">
        <v>3113.2</v>
      </c>
      <c r="AV152" s="5">
        <v>3179.1</v>
      </c>
      <c r="AW152" s="5">
        <v>3245</v>
      </c>
    </row>
    <row r="153" spans="1:49" s="595" customFormat="1" x14ac:dyDescent="0.25">
      <c r="B153"/>
      <c r="C153"/>
      <c r="D153"/>
      <c r="E153"/>
      <c r="F153"/>
      <c r="G153"/>
      <c r="H153"/>
      <c r="I153"/>
      <c r="J153"/>
      <c r="K153"/>
      <c r="L153" s="410">
        <v>5.0000000000000001E-3</v>
      </c>
      <c r="M153">
        <f>M152</f>
        <v>2665.08</v>
      </c>
      <c r="N153">
        <f t="shared" ref="N153:AK153" si="55">N152</f>
        <v>2678.26</v>
      </c>
      <c r="O153">
        <f t="shared" si="55"/>
        <v>2691.44</v>
      </c>
      <c r="P153">
        <f t="shared" si="55"/>
        <v>2704.62</v>
      </c>
      <c r="Q153">
        <f t="shared" si="55"/>
        <v>2717.8</v>
      </c>
      <c r="R153">
        <f t="shared" si="55"/>
        <v>2730.98</v>
      </c>
      <c r="S153">
        <f t="shared" si="55"/>
        <v>2744.16</v>
      </c>
      <c r="T153">
        <f t="shared" si="55"/>
        <v>2757.34</v>
      </c>
      <c r="U153">
        <f t="shared" si="55"/>
        <v>2770.52</v>
      </c>
      <c r="V153">
        <f t="shared" si="55"/>
        <v>2783.7</v>
      </c>
      <c r="W153">
        <f t="shared" si="55"/>
        <v>2796.88</v>
      </c>
      <c r="X153">
        <f t="shared" si="55"/>
        <v>2810.06</v>
      </c>
      <c r="Y153">
        <f t="shared" si="55"/>
        <v>2823.24</v>
      </c>
      <c r="Z153">
        <f t="shared" si="55"/>
        <v>2836.42</v>
      </c>
      <c r="AA153">
        <f t="shared" si="55"/>
        <v>2849.6</v>
      </c>
      <c r="AB153">
        <f t="shared" si="55"/>
        <v>2862.78</v>
      </c>
      <c r="AC153">
        <f t="shared" si="55"/>
        <v>2875.96</v>
      </c>
      <c r="AD153">
        <f t="shared" si="55"/>
        <v>2889.14</v>
      </c>
      <c r="AE153">
        <f t="shared" si="55"/>
        <v>2902.32</v>
      </c>
      <c r="AF153">
        <f t="shared" si="55"/>
        <v>2915.5</v>
      </c>
      <c r="AG153">
        <f t="shared" si="55"/>
        <v>2928.68</v>
      </c>
      <c r="AH153">
        <f t="shared" si="55"/>
        <v>2941.86</v>
      </c>
      <c r="AI153">
        <f t="shared" si="55"/>
        <v>2955.04</v>
      </c>
      <c r="AJ153">
        <f t="shared" si="55"/>
        <v>2968.22</v>
      </c>
      <c r="AK153">
        <f t="shared" si="55"/>
        <v>2981.4</v>
      </c>
      <c r="AL153" s="598">
        <f t="shared" ref="AL153" si="56">(1+$L153)*AK153</f>
        <v>2996.3069999999998</v>
      </c>
      <c r="AM153" s="598">
        <f t="shared" ref="AM153" si="57">(1+$L153)*AL153</f>
        <v>3011.2885349999997</v>
      </c>
      <c r="AN153" s="598">
        <f t="shared" ref="AN153" si="58">(1+$L153)*AM153</f>
        <v>3026.3449776749994</v>
      </c>
      <c r="AO153" s="598">
        <f t="shared" ref="AO153" si="59">(1+$L153)*AN153</f>
        <v>3041.4767025633741</v>
      </c>
      <c r="AP153" s="598">
        <f t="shared" ref="AP153" si="60">(1+$L153)*AO153</f>
        <v>3056.6840860761909</v>
      </c>
      <c r="AQ153" s="598">
        <f t="shared" ref="AQ153" si="61">(1+$L153)*AP153</f>
        <v>3071.9675065065717</v>
      </c>
      <c r="AR153" s="598">
        <f t="shared" ref="AR153" si="62">(1+$L153)*AQ153</f>
        <v>3087.327344039104</v>
      </c>
      <c r="AS153" s="598">
        <f t="shared" ref="AS153" si="63">(1+$L153)*AR153</f>
        <v>3102.7639807592991</v>
      </c>
      <c r="AT153" s="598">
        <f t="shared" ref="AT153" si="64">(1+$L153)*AS153</f>
        <v>3118.2778006630951</v>
      </c>
      <c r="AU153" s="598">
        <f>(1+$L153)^(AU$144-AT$144)*AT153</f>
        <v>3133.8691896664104</v>
      </c>
      <c r="AV153" s="598">
        <f>(1+$L153)^(AV$144-AU$144)*AU153</f>
        <v>3213.0033138451063</v>
      </c>
      <c r="AW153" s="598">
        <f>(1+$L153)^(AW$144-AV$144)*AV153</f>
        <v>3294.1356738245108</v>
      </c>
    </row>
    <row r="154" spans="1:49" s="595" customFormat="1" x14ac:dyDescent="0.25">
      <c r="B154"/>
      <c r="C154"/>
      <c r="D154"/>
      <c r="E154"/>
      <c r="F154"/>
      <c r="G154"/>
      <c r="H154"/>
      <c r="I154"/>
      <c r="J154"/>
      <c r="K154"/>
      <c r="L154" s="410"/>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row>
    <row r="155" spans="1:49" s="599" customFormat="1" x14ac:dyDescent="0.25">
      <c r="B155" s="5"/>
      <c r="C155" s="5" t="s">
        <v>918</v>
      </c>
      <c r="D155" s="5" t="s">
        <v>162</v>
      </c>
      <c r="E155" s="5" t="s">
        <v>910</v>
      </c>
      <c r="F155" s="5" t="s">
        <v>38</v>
      </c>
      <c r="G155" s="5" t="s">
        <v>1599</v>
      </c>
      <c r="H155" s="5"/>
      <c r="I155" s="5"/>
      <c r="J155" s="5"/>
      <c r="K155" s="5"/>
      <c r="L155" s="410"/>
      <c r="M155" s="602">
        <v>3467.2275</v>
      </c>
      <c r="N155" s="602">
        <v>3496.0877</v>
      </c>
      <c r="O155" s="602">
        <v>3524.9479000000001</v>
      </c>
      <c r="P155" s="602">
        <v>3553.8081999999999</v>
      </c>
      <c r="Q155" s="602">
        <v>3582.6684</v>
      </c>
      <c r="R155" s="602">
        <v>3611.5286000000001</v>
      </c>
      <c r="S155" s="602">
        <v>3640.3888000000002</v>
      </c>
      <c r="T155" s="602">
        <v>3669.259</v>
      </c>
      <c r="U155" s="602">
        <v>3698.1192000000001</v>
      </c>
      <c r="V155" s="602">
        <v>3726.9794000000002</v>
      </c>
      <c r="W155" s="602">
        <v>3755.8395999999998</v>
      </c>
      <c r="X155" s="602">
        <v>3784.6997999999999</v>
      </c>
      <c r="Y155" s="602">
        <v>3813.5601000000001</v>
      </c>
      <c r="Z155" s="602">
        <v>3842.4203000000002</v>
      </c>
      <c r="AA155" s="602">
        <v>3871.2804999999998</v>
      </c>
      <c r="AB155" s="602">
        <v>3900.1406999999999</v>
      </c>
      <c r="AC155" s="602">
        <v>3929.0010000000002</v>
      </c>
      <c r="AD155" s="602">
        <v>3957.8710999999998</v>
      </c>
      <c r="AE155" s="602">
        <v>3986.7312999999999</v>
      </c>
      <c r="AF155" s="602">
        <v>4015.5915</v>
      </c>
      <c r="AG155" s="602">
        <v>4044.4517999999998</v>
      </c>
      <c r="AH155" s="602">
        <v>4073.3119999999999</v>
      </c>
      <c r="AI155" s="602">
        <v>4100.1866</v>
      </c>
      <c r="AJ155" s="602">
        <v>4127.24</v>
      </c>
      <c r="AK155" s="602">
        <v>4154.4721</v>
      </c>
      <c r="AL155" s="602">
        <v>4181.8828000000003</v>
      </c>
      <c r="AM155" s="602">
        <v>4209.4723000000004</v>
      </c>
      <c r="AN155" s="602">
        <v>4237.2403999999997</v>
      </c>
      <c r="AO155" s="602">
        <v>4265.1971999999996</v>
      </c>
      <c r="AP155" s="602">
        <v>4293.3425999999999</v>
      </c>
      <c r="AQ155" s="602">
        <v>4321.6668</v>
      </c>
      <c r="AR155" s="602">
        <v>4350.1795000000002</v>
      </c>
      <c r="AS155" s="602">
        <v>4378.8809000000001</v>
      </c>
      <c r="AT155" s="602">
        <v>4407.7709000000004</v>
      </c>
      <c r="AU155" s="602">
        <v>4436.8495000000003</v>
      </c>
      <c r="AV155" s="602">
        <v>4466.1266999999998</v>
      </c>
      <c r="AW155" s="602">
        <v>4495.5924999999997</v>
      </c>
    </row>
    <row r="156" spans="1:49" s="595" customFormat="1" x14ac:dyDescent="0.25">
      <c r="B156"/>
      <c r="C156"/>
      <c r="D156"/>
      <c r="E156"/>
      <c r="F156"/>
      <c r="G156"/>
      <c r="H156"/>
      <c r="I156"/>
      <c r="J156"/>
      <c r="K156"/>
      <c r="L156" s="410">
        <v>5.0000000000000001E-3</v>
      </c>
      <c r="M156">
        <f>M155</f>
        <v>3467.2275</v>
      </c>
      <c r="N156">
        <f t="shared" ref="N156" si="65">N155</f>
        <v>3496.0877</v>
      </c>
      <c r="O156">
        <f t="shared" ref="O156" si="66">O155</f>
        <v>3524.9479000000001</v>
      </c>
      <c r="P156">
        <f t="shared" ref="P156" si="67">P155</f>
        <v>3553.8081999999999</v>
      </c>
      <c r="Q156">
        <f t="shared" ref="Q156" si="68">Q155</f>
        <v>3582.6684</v>
      </c>
      <c r="R156">
        <f t="shared" ref="R156" si="69">R155</f>
        <v>3611.5286000000001</v>
      </c>
      <c r="S156">
        <f t="shared" ref="S156" si="70">S155</f>
        <v>3640.3888000000002</v>
      </c>
      <c r="T156">
        <f t="shared" ref="T156" si="71">T155</f>
        <v>3669.259</v>
      </c>
      <c r="U156">
        <f t="shared" ref="U156" si="72">U155</f>
        <v>3698.1192000000001</v>
      </c>
      <c r="V156">
        <f t="shared" ref="V156:AK156" si="73">V155</f>
        <v>3726.9794000000002</v>
      </c>
      <c r="W156">
        <f t="shared" si="73"/>
        <v>3755.8395999999998</v>
      </c>
      <c r="X156">
        <f t="shared" si="73"/>
        <v>3784.6997999999999</v>
      </c>
      <c r="Y156">
        <f t="shared" si="73"/>
        <v>3813.5601000000001</v>
      </c>
      <c r="Z156">
        <f t="shared" si="73"/>
        <v>3842.4203000000002</v>
      </c>
      <c r="AA156">
        <f t="shared" si="73"/>
        <v>3871.2804999999998</v>
      </c>
      <c r="AB156">
        <f t="shared" si="73"/>
        <v>3900.1406999999999</v>
      </c>
      <c r="AC156">
        <f t="shared" si="73"/>
        <v>3929.0010000000002</v>
      </c>
      <c r="AD156">
        <f t="shared" si="73"/>
        <v>3957.8710999999998</v>
      </c>
      <c r="AE156">
        <f t="shared" si="73"/>
        <v>3986.7312999999999</v>
      </c>
      <c r="AF156">
        <f t="shared" si="73"/>
        <v>4015.5915</v>
      </c>
      <c r="AG156">
        <f t="shared" si="73"/>
        <v>4044.4517999999998</v>
      </c>
      <c r="AH156">
        <f t="shared" si="73"/>
        <v>4073.3119999999999</v>
      </c>
      <c r="AI156">
        <f t="shared" si="73"/>
        <v>4100.1866</v>
      </c>
      <c r="AJ156">
        <f t="shared" si="73"/>
        <v>4127.24</v>
      </c>
      <c r="AK156">
        <f t="shared" si="73"/>
        <v>4154.4721</v>
      </c>
      <c r="AL156" s="598">
        <f t="shared" ref="AL156" si="74">(1+$L156)*AK156</f>
        <v>4175.2444604999991</v>
      </c>
      <c r="AM156" s="598">
        <f t="shared" ref="AM156" si="75">(1+$L156)*AL156</f>
        <v>4196.1206828024988</v>
      </c>
      <c r="AN156" s="598">
        <f t="shared" ref="AN156" si="76">(1+$L156)*AM156</f>
        <v>4217.1012862165107</v>
      </c>
      <c r="AO156" s="598">
        <f t="shared" ref="AO156" si="77">(1+$L156)*AN156</f>
        <v>4238.1867926475925</v>
      </c>
      <c r="AP156" s="598">
        <f t="shared" ref="AP156" si="78">(1+$L156)*AO156</f>
        <v>4259.37772661083</v>
      </c>
      <c r="AQ156" s="598">
        <f t="shared" ref="AQ156" si="79">(1+$L156)*AP156</f>
        <v>4280.6746152438836</v>
      </c>
      <c r="AR156" s="598">
        <f t="shared" ref="AR156" si="80">(1+$L156)*AQ156</f>
        <v>4302.077988320103</v>
      </c>
      <c r="AS156" s="598">
        <f t="shared" ref="AS156" si="81">(1+$L156)*AR156</f>
        <v>4323.5883782617029</v>
      </c>
      <c r="AT156" s="598">
        <f t="shared" ref="AT156" si="82">(1+$L156)*AS156</f>
        <v>4345.2063201530109</v>
      </c>
      <c r="AU156" s="598">
        <f>(1+$L156)^(AU$144-AT$144)*AT156</f>
        <v>4366.932351753775</v>
      </c>
      <c r="AV156" s="598">
        <f>(1+$L156)^(AV$144-AU$144)*AU156</f>
        <v>4477.2028659613043</v>
      </c>
      <c r="AW156" s="598">
        <f>(1+$L156)^(AW$144-AV$144)*AV156</f>
        <v>4590.2578488356558</v>
      </c>
    </row>
    <row r="157" spans="1:49" s="595" customFormat="1" x14ac:dyDescent="0.25">
      <c r="B157"/>
      <c r="C157"/>
      <c r="D157"/>
      <c r="E157"/>
      <c r="F157"/>
      <c r="G157"/>
      <c r="H157"/>
      <c r="I157"/>
      <c r="J157"/>
      <c r="K157"/>
      <c r="L157" s="410"/>
      <c r="M157" s="593"/>
      <c r="N157" s="593"/>
      <c r="O157" s="593"/>
      <c r="P157" s="593"/>
      <c r="Q157" s="593"/>
      <c r="R157" s="593"/>
      <c r="S157" s="593"/>
      <c r="T157" s="593"/>
      <c r="U157" s="593"/>
      <c r="V157" s="593"/>
      <c r="W157" s="593"/>
      <c r="X157" s="593"/>
      <c r="Y157" s="593"/>
      <c r="Z157" s="593"/>
      <c r="AA157" s="593"/>
      <c r="AB157" s="593"/>
      <c r="AC157" s="593"/>
      <c r="AD157" s="593"/>
      <c r="AE157" s="593"/>
      <c r="AF157" s="593"/>
      <c r="AG157" s="593"/>
      <c r="AH157" s="593"/>
      <c r="AI157" s="593"/>
      <c r="AJ157" s="593"/>
      <c r="AK157" s="593"/>
      <c r="AL157" s="593"/>
      <c r="AM157" s="593"/>
      <c r="AN157" s="593"/>
      <c r="AO157" s="593"/>
      <c r="AP157" s="593"/>
      <c r="AQ157" s="593"/>
      <c r="AR157" s="593"/>
      <c r="AS157" s="593"/>
      <c r="AT157" s="593"/>
      <c r="AU157" s="593"/>
      <c r="AV157" s="593"/>
      <c r="AW157" s="593"/>
    </row>
    <row r="160" spans="1:49" x14ac:dyDescent="0.25">
      <c r="A160" s="4" t="s">
        <v>1466</v>
      </c>
    </row>
    <row r="161" spans="1:8" x14ac:dyDescent="0.25">
      <c r="A161" s="414" t="s">
        <v>1462</v>
      </c>
      <c r="G161"/>
    </row>
    <row r="162" spans="1:8" x14ac:dyDescent="0.25">
      <c r="A162" s="537" t="s">
        <v>1467</v>
      </c>
      <c r="B162" s="4" t="s">
        <v>1370</v>
      </c>
      <c r="G162"/>
      <c r="H162" s="4" t="s">
        <v>1468</v>
      </c>
    </row>
    <row r="163" spans="1:8" x14ac:dyDescent="0.25">
      <c r="A163" s="537"/>
      <c r="B163" s="4" t="s">
        <v>1578</v>
      </c>
      <c r="G163"/>
      <c r="H163">
        <v>2010</v>
      </c>
    </row>
    <row r="164" spans="1:8" x14ac:dyDescent="0.25">
      <c r="A164" s="537"/>
      <c r="H164" s="543">
        <f>D34/D$35</f>
        <v>0.6380368098159509</v>
      </c>
    </row>
    <row r="165" spans="1:8" x14ac:dyDescent="0.25">
      <c r="A165" s="537"/>
      <c r="H165" s="543">
        <f>D32/D$35</f>
        <v>0.3619631901840491</v>
      </c>
    </row>
    <row r="166" spans="1:8" x14ac:dyDescent="0.25">
      <c r="A166" s="537"/>
      <c r="H166" s="543">
        <f>(D30+D29)/D$35</f>
        <v>0.19631901840490798</v>
      </c>
    </row>
    <row r="168" spans="1:8" x14ac:dyDescent="0.25">
      <c r="C168" s="4" t="s">
        <v>1469</v>
      </c>
    </row>
    <row r="169" spans="1:8" x14ac:dyDescent="0.25">
      <c r="C169">
        <v>2010</v>
      </c>
      <c r="D169">
        <v>2020</v>
      </c>
      <c r="E169">
        <v>2030</v>
      </c>
      <c r="F169">
        <v>2050</v>
      </c>
    </row>
    <row r="170" spans="1:8" x14ac:dyDescent="0.25">
      <c r="A170" s="414" t="s">
        <v>1467</v>
      </c>
      <c r="B170" s="4" t="s">
        <v>913</v>
      </c>
      <c r="C170"/>
      <c r="D170"/>
      <c r="E170"/>
      <c r="F170"/>
    </row>
    <row r="171" spans="1:8" x14ac:dyDescent="0.25">
      <c r="B171" s="4" t="s">
        <v>916</v>
      </c>
      <c r="C171">
        <v>1</v>
      </c>
      <c r="D171">
        <v>1</v>
      </c>
      <c r="E171">
        <v>1</v>
      </c>
      <c r="F171">
        <v>1</v>
      </c>
    </row>
    <row r="172" spans="1:8" x14ac:dyDescent="0.25">
      <c r="B172" s="4" t="s">
        <v>915</v>
      </c>
      <c r="C172">
        <f>C171</f>
        <v>1</v>
      </c>
      <c r="D172">
        <f t="shared" ref="D172:F173" si="83">D171</f>
        <v>1</v>
      </c>
      <c r="E172">
        <f t="shared" si="83"/>
        <v>1</v>
      </c>
      <c r="F172">
        <f t="shared" si="83"/>
        <v>1</v>
      </c>
    </row>
    <row r="173" spans="1:8" x14ac:dyDescent="0.25">
      <c r="B173" s="4" t="s">
        <v>914</v>
      </c>
      <c r="C173">
        <f>C172</f>
        <v>1</v>
      </c>
      <c r="D173">
        <f t="shared" si="83"/>
        <v>1</v>
      </c>
      <c r="E173">
        <f t="shared" si="83"/>
        <v>1</v>
      </c>
      <c r="F173">
        <f t="shared" si="83"/>
        <v>1</v>
      </c>
    </row>
    <row r="174" spans="1:8" x14ac:dyDescent="0.25">
      <c r="C174"/>
      <c r="D174"/>
      <c r="E174"/>
      <c r="F174"/>
    </row>
    <row r="175" spans="1:8" x14ac:dyDescent="0.25">
      <c r="A175" s="414" t="s">
        <v>1577</v>
      </c>
      <c r="B175" s="4" t="s">
        <v>913</v>
      </c>
      <c r="C175"/>
      <c r="D175"/>
      <c r="E175"/>
      <c r="F175"/>
    </row>
    <row r="176" spans="1:8" x14ac:dyDescent="0.25">
      <c r="B176" s="4" t="s">
        <v>915</v>
      </c>
      <c r="C176"/>
      <c r="D176"/>
      <c r="E176"/>
      <c r="F176"/>
    </row>
    <row r="177" spans="1:6" x14ac:dyDescent="0.25">
      <c r="B177" s="4" t="s">
        <v>916</v>
      </c>
      <c r="C177"/>
      <c r="D177"/>
      <c r="E177"/>
      <c r="F177"/>
    </row>
    <row r="178" spans="1:6" x14ac:dyDescent="0.25">
      <c r="C178"/>
      <c r="D178"/>
      <c r="E178"/>
      <c r="F178"/>
    </row>
    <row r="180" spans="1:6" x14ac:dyDescent="0.25">
      <c r="A180" s="413"/>
      <c r="B180" s="604" t="s">
        <v>1637</v>
      </c>
      <c r="C180" s="413" t="s">
        <v>1638</v>
      </c>
    </row>
  </sheetData>
  <mergeCells count="12">
    <mergeCell ref="H74:H75"/>
    <mergeCell ref="B74:B75"/>
    <mergeCell ref="C74:C75"/>
    <mergeCell ref="D74:D75"/>
    <mergeCell ref="E74:E75"/>
    <mergeCell ref="F74:F75"/>
    <mergeCell ref="A36:A47"/>
    <mergeCell ref="A26:A35"/>
    <mergeCell ref="A50:A59"/>
    <mergeCell ref="A63:A70"/>
    <mergeCell ref="C24:L24"/>
    <mergeCell ref="B24:B25"/>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FromCGE!$B$2:$B$5</xm:f>
          </x14:formula1>
          <xm:sqref>C159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O21"/>
  <sheetViews>
    <sheetView workbookViewId="0">
      <selection activeCell="B9" sqref="B9"/>
    </sheetView>
  </sheetViews>
  <sheetFormatPr defaultRowHeight="15" x14ac:dyDescent="0.25"/>
  <sheetData>
    <row r="1" spans="1:41" x14ac:dyDescent="0.25">
      <c r="A1" t="s">
        <v>1420</v>
      </c>
    </row>
    <row r="3" spans="1:41" x14ac:dyDescent="0.25">
      <c r="B3" t="s">
        <v>1346</v>
      </c>
      <c r="E3">
        <v>2006</v>
      </c>
      <c r="F3">
        <v>2010</v>
      </c>
      <c r="G3">
        <v>2015</v>
      </c>
      <c r="H3">
        <v>2020</v>
      </c>
      <c r="I3">
        <v>2025</v>
      </c>
      <c r="J3">
        <v>2030</v>
      </c>
      <c r="K3">
        <v>2035</v>
      </c>
      <c r="L3">
        <v>2040</v>
      </c>
      <c r="M3">
        <v>2045</v>
      </c>
      <c r="N3">
        <v>2050</v>
      </c>
    </row>
    <row r="4" spans="1:41" x14ac:dyDescent="0.25">
      <c r="B4" t="s">
        <v>1353</v>
      </c>
      <c r="C4" t="s">
        <v>1354</v>
      </c>
    </row>
    <row r="5" spans="1:41" x14ac:dyDescent="0.25">
      <c r="B5" t="s">
        <v>1347</v>
      </c>
      <c r="E5">
        <v>322.72139370441437</v>
      </c>
      <c r="F5">
        <v>343.27850902080536</v>
      </c>
      <c r="G5">
        <v>414.63881051540375</v>
      </c>
      <c r="H5">
        <v>481.11328899860382</v>
      </c>
      <c r="I5">
        <v>538.30618751049042</v>
      </c>
      <c r="J5">
        <v>583.82041001319885</v>
      </c>
      <c r="K5">
        <v>606.03161334991455</v>
      </c>
      <c r="L5">
        <v>616.29250431060791</v>
      </c>
      <c r="M5">
        <v>666.06389707326889</v>
      </c>
      <c r="N5">
        <v>668.98219478130341</v>
      </c>
    </row>
    <row r="6" spans="1:41" x14ac:dyDescent="0.25">
      <c r="B6" t="s">
        <v>1348</v>
      </c>
      <c r="E6">
        <v>392.24859389662743</v>
      </c>
      <c r="F6">
        <v>400.50591316819191</v>
      </c>
      <c r="G6">
        <v>421.91199678182602</v>
      </c>
      <c r="H6">
        <v>470.11189645528793</v>
      </c>
      <c r="I6">
        <v>469.95859324932098</v>
      </c>
      <c r="J6">
        <v>444.31519478559494</v>
      </c>
      <c r="K6">
        <v>448.73921209573746</v>
      </c>
      <c r="L6">
        <v>450.85168588161469</v>
      </c>
      <c r="M6">
        <v>347.06298977136612</v>
      </c>
      <c r="N6">
        <v>343.36750692129135</v>
      </c>
    </row>
    <row r="7" spans="1:41" x14ac:dyDescent="0.25">
      <c r="B7" t="s">
        <v>1349</v>
      </c>
      <c r="E7">
        <v>119.94510173797607</v>
      </c>
      <c r="F7">
        <v>125.90189915895462</v>
      </c>
      <c r="G7">
        <v>126.41689813137054</v>
      </c>
      <c r="H7">
        <v>129.14339792728424</v>
      </c>
      <c r="I7">
        <v>156.4748957157135</v>
      </c>
      <c r="J7">
        <v>171.59339201450348</v>
      </c>
      <c r="K7">
        <v>185.16620445251465</v>
      </c>
      <c r="L7">
        <v>187.51670098304749</v>
      </c>
      <c r="M7">
        <v>186.73900067806244</v>
      </c>
      <c r="N7">
        <v>185.70250064134598</v>
      </c>
    </row>
    <row r="8" spans="1:41" x14ac:dyDescent="0.25">
      <c r="B8" t="s">
        <v>1350</v>
      </c>
      <c r="E8">
        <v>6.2925000251270831</v>
      </c>
      <c r="F8">
        <v>21.158399939537048</v>
      </c>
      <c r="G8">
        <v>21.321599960327148</v>
      </c>
      <c r="H8">
        <v>21.321699723601341</v>
      </c>
      <c r="I8">
        <v>16.920599596051034</v>
      </c>
      <c r="J8">
        <v>28.957499527779873</v>
      </c>
      <c r="K8">
        <v>30.520300240663346</v>
      </c>
      <c r="L8">
        <v>28.407700049923733</v>
      </c>
      <c r="M8">
        <v>22.936999852245208</v>
      </c>
      <c r="N8">
        <v>32.238700782472733</v>
      </c>
    </row>
    <row r="9" spans="1:41" x14ac:dyDescent="0.25">
      <c r="B9" t="s">
        <v>1351</v>
      </c>
      <c r="E9">
        <v>26.539600186049938</v>
      </c>
      <c r="F9">
        <v>48.688800267875195</v>
      </c>
      <c r="G9">
        <v>66.024401597678661</v>
      </c>
      <c r="H9">
        <v>99.568000487983227</v>
      </c>
      <c r="I9">
        <v>99.567902736365795</v>
      </c>
      <c r="J9">
        <v>99.567900352180004</v>
      </c>
      <c r="K9">
        <v>99.568002872169018</v>
      </c>
      <c r="L9">
        <v>99.567900829017162</v>
      </c>
      <c r="M9">
        <v>99.567999057471752</v>
      </c>
      <c r="N9">
        <v>99.568100146949291</v>
      </c>
    </row>
    <row r="10" spans="1:41" x14ac:dyDescent="0.25">
      <c r="B10" t="s">
        <v>1352</v>
      </c>
      <c r="E10">
        <v>0</v>
      </c>
      <c r="F10">
        <v>0</v>
      </c>
      <c r="G10">
        <v>0</v>
      </c>
      <c r="H10">
        <v>0</v>
      </c>
      <c r="I10">
        <v>0</v>
      </c>
      <c r="J10">
        <v>0</v>
      </c>
      <c r="K10">
        <v>0</v>
      </c>
      <c r="L10">
        <v>0</v>
      </c>
      <c r="M10">
        <v>0</v>
      </c>
      <c r="N10">
        <v>0</v>
      </c>
    </row>
    <row r="12" spans="1:41" x14ac:dyDescent="0.25">
      <c r="B12" t="s">
        <v>115</v>
      </c>
      <c r="E12">
        <v>867.74718955019489</v>
      </c>
      <c r="F12">
        <v>939.53352155536413</v>
      </c>
      <c r="G12">
        <v>1050.3137069866061</v>
      </c>
      <c r="H12">
        <v>1201.2582835927606</v>
      </c>
      <c r="I12">
        <v>1281.2281788079417</v>
      </c>
      <c r="J12">
        <v>1328.2543966932571</v>
      </c>
      <c r="K12">
        <v>1370.025333010999</v>
      </c>
      <c r="L12">
        <v>1382.636492054211</v>
      </c>
      <c r="M12">
        <v>1322.3708864324144</v>
      </c>
      <c r="N12">
        <v>1329.8590032733628</v>
      </c>
    </row>
    <row r="16" spans="1:41" x14ac:dyDescent="0.25">
      <c r="E16">
        <v>2006</v>
      </c>
      <c r="F16">
        <f>1+E16</f>
        <v>2007</v>
      </c>
      <c r="G16">
        <f t="shared" ref="G16:AM16" si="0">1+F16</f>
        <v>2008</v>
      </c>
      <c r="H16">
        <f t="shared" si="0"/>
        <v>2009</v>
      </c>
      <c r="I16">
        <f t="shared" si="0"/>
        <v>2010</v>
      </c>
      <c r="J16">
        <f t="shared" si="0"/>
        <v>2011</v>
      </c>
      <c r="K16">
        <f t="shared" si="0"/>
        <v>2012</v>
      </c>
      <c r="L16">
        <f t="shared" si="0"/>
        <v>2013</v>
      </c>
      <c r="M16">
        <f t="shared" si="0"/>
        <v>2014</v>
      </c>
      <c r="N16">
        <f t="shared" si="0"/>
        <v>2015</v>
      </c>
      <c r="O16">
        <f t="shared" si="0"/>
        <v>2016</v>
      </c>
      <c r="P16">
        <f t="shared" si="0"/>
        <v>2017</v>
      </c>
      <c r="Q16">
        <f t="shared" si="0"/>
        <v>2018</v>
      </c>
      <c r="R16">
        <f t="shared" si="0"/>
        <v>2019</v>
      </c>
      <c r="S16">
        <f t="shared" si="0"/>
        <v>2020</v>
      </c>
      <c r="T16">
        <f t="shared" si="0"/>
        <v>2021</v>
      </c>
      <c r="U16">
        <f t="shared" si="0"/>
        <v>2022</v>
      </c>
      <c r="V16">
        <f t="shared" si="0"/>
        <v>2023</v>
      </c>
      <c r="W16">
        <f t="shared" si="0"/>
        <v>2024</v>
      </c>
      <c r="X16">
        <f t="shared" si="0"/>
        <v>2025</v>
      </c>
      <c r="Y16">
        <f t="shared" si="0"/>
        <v>2026</v>
      </c>
      <c r="Z16">
        <f t="shared" si="0"/>
        <v>2027</v>
      </c>
      <c r="AA16">
        <f>1+Z16</f>
        <v>2028</v>
      </c>
      <c r="AB16">
        <f t="shared" si="0"/>
        <v>2029</v>
      </c>
      <c r="AC16">
        <f t="shared" si="0"/>
        <v>2030</v>
      </c>
      <c r="AD16">
        <f t="shared" si="0"/>
        <v>2031</v>
      </c>
      <c r="AE16">
        <f t="shared" si="0"/>
        <v>2032</v>
      </c>
      <c r="AF16">
        <f t="shared" si="0"/>
        <v>2033</v>
      </c>
      <c r="AG16">
        <f t="shared" si="0"/>
        <v>2034</v>
      </c>
      <c r="AH16">
        <f t="shared" si="0"/>
        <v>2035</v>
      </c>
      <c r="AI16">
        <f t="shared" si="0"/>
        <v>2036</v>
      </c>
      <c r="AJ16">
        <f t="shared" si="0"/>
        <v>2037</v>
      </c>
      <c r="AK16">
        <f t="shared" si="0"/>
        <v>2038</v>
      </c>
      <c r="AL16">
        <f t="shared" si="0"/>
        <v>2039</v>
      </c>
      <c r="AM16">
        <f t="shared" si="0"/>
        <v>2040</v>
      </c>
      <c r="AN16">
        <v>2045</v>
      </c>
      <c r="AO16">
        <v>2050</v>
      </c>
    </row>
    <row r="17" spans="2:41" x14ac:dyDescent="0.25">
      <c r="B17" t="s">
        <v>1347</v>
      </c>
      <c r="E17" s="460">
        <f t="array" ref="E17">SUM(($B$5:$B$11=$B17)*($E$3:$N$3=E$16)*$E$5:$N$11)</f>
        <v>322.72139370441437</v>
      </c>
      <c r="F17" s="460"/>
      <c r="G17" s="460"/>
      <c r="H17" s="460"/>
      <c r="I17" s="460">
        <f t="array" ref="I17">SUM(($B$5:$B$11=$B17)*($E$3:$N$3=I$16)*$E$5:$N$11)</f>
        <v>343.27850902080536</v>
      </c>
      <c r="J17" s="460"/>
      <c r="K17" s="460"/>
      <c r="L17" s="460"/>
      <c r="M17" s="460"/>
      <c r="N17" s="460">
        <f t="array" ref="N17">SUM(($B$5:$B$11=$B17)*($E$3:$N$3=N$16)*$E$5:$N$11)</f>
        <v>414.63881051540375</v>
      </c>
      <c r="O17" s="460"/>
      <c r="P17" s="460"/>
      <c r="Q17" s="460"/>
      <c r="R17" s="460"/>
      <c r="S17" s="460">
        <f t="array" ref="S17">SUM(($B$5:$B$11=$B17)*($E$3:$N$3=S$16)*$E$5:$N$11)</f>
        <v>481.11328899860382</v>
      </c>
      <c r="T17" s="460"/>
      <c r="U17" s="460"/>
      <c r="V17" s="460"/>
      <c r="W17" s="460"/>
      <c r="X17" s="460">
        <f t="array" ref="X17">SUM(($B$5:$B$11=$B17)*($E$3:$N$3=X$16)*$E$5:$N$11)</f>
        <v>538.30618751049042</v>
      </c>
      <c r="Y17" s="460"/>
      <c r="Z17" s="460"/>
      <c r="AA17" s="460"/>
      <c r="AB17" s="460"/>
      <c r="AC17" s="460">
        <f t="array" ref="AC17">SUM(($B$5:$B$11=$B17)*($E$3:$N$3=AC$16)*$E$5:$N$11)</f>
        <v>583.82041001319885</v>
      </c>
      <c r="AD17" s="460"/>
      <c r="AE17" s="460"/>
      <c r="AF17" s="460"/>
      <c r="AG17" s="460"/>
      <c r="AH17" s="460">
        <f t="array" ref="AH17">SUM(($B$5:$B$11=$B17)*($E$3:$N$3=AH$16)*$E$5:$N$11)</f>
        <v>606.03161334991455</v>
      </c>
      <c r="AI17" s="460"/>
      <c r="AJ17" s="460"/>
      <c r="AK17" s="460"/>
      <c r="AL17" s="460"/>
      <c r="AM17" s="460">
        <f t="array" ref="AM17">SUM(($B$5:$B$11=$B17)*($E$3:$N$3=AM$16)*$E$5:$N$11)</f>
        <v>616.29250431060791</v>
      </c>
      <c r="AN17" s="460">
        <f t="array" ref="AN17">SUM(($B$5:$B$11=$B17)*($E$3:$N$3=AN$16)*$E$5:$N$11)</f>
        <v>666.06389707326889</v>
      </c>
      <c r="AO17" s="460">
        <f t="array" ref="AO17">SUM(($B$5:$B$11=$B17)*($E$3:$N$3=AO$16)*$E$5:$N$11)</f>
        <v>668.98219478130341</v>
      </c>
    </row>
    <row r="18" spans="2:41" x14ac:dyDescent="0.25">
      <c r="B18" t="s">
        <v>1348</v>
      </c>
      <c r="E18" s="460">
        <f t="array" ref="E18">SUM(($B$5:$B$11=$B18)*($E$3:$N$3=E$16)*$E$5:$N$11)</f>
        <v>392.24859389662743</v>
      </c>
      <c r="F18" s="460"/>
      <c r="G18" s="460"/>
      <c r="H18" s="460"/>
      <c r="I18" s="460">
        <f t="array" ref="I18">SUM(($B$5:$B$11=$B18)*($E$3:$N$3=I$16)*$E$5:$N$11)</f>
        <v>400.50591316819191</v>
      </c>
      <c r="J18" s="460"/>
      <c r="K18" s="460"/>
      <c r="L18" s="460"/>
      <c r="M18" s="460"/>
      <c r="N18" s="460">
        <f t="array" ref="N18">SUM(($B$5:$B$11=$B18)*($E$3:$N$3=N$16)*$E$5:$N$11)</f>
        <v>421.91199678182602</v>
      </c>
      <c r="O18" s="460"/>
      <c r="P18" s="460"/>
      <c r="Q18" s="460"/>
      <c r="R18" s="460"/>
      <c r="S18" s="460">
        <f t="array" ref="S18">SUM(($B$5:$B$11=$B18)*($E$3:$N$3=S$16)*$E$5:$N$11)</f>
        <v>470.11189645528793</v>
      </c>
      <c r="T18" s="460"/>
      <c r="U18" s="460"/>
      <c r="V18" s="460"/>
      <c r="W18" s="460"/>
      <c r="X18" s="460">
        <f t="array" ref="X18">SUM(($B$5:$B$11=$B18)*($E$3:$N$3=X$16)*$E$5:$N$11)</f>
        <v>469.95859324932098</v>
      </c>
      <c r="Y18" s="460"/>
      <c r="Z18" s="460"/>
      <c r="AA18" s="460"/>
      <c r="AB18" s="460"/>
      <c r="AC18" s="460">
        <f t="array" ref="AC18">SUM(($B$5:$B$11=$B18)*($E$3:$N$3=AC$16)*$E$5:$N$11)</f>
        <v>444.31519478559494</v>
      </c>
      <c r="AD18" s="460"/>
      <c r="AE18" s="460"/>
      <c r="AF18" s="460"/>
      <c r="AG18" s="460"/>
      <c r="AH18" s="460">
        <f t="array" ref="AH18">SUM(($B$5:$B$11=$B18)*($E$3:$N$3=AH$16)*$E$5:$N$11)</f>
        <v>448.73921209573746</v>
      </c>
      <c r="AI18" s="460"/>
      <c r="AJ18" s="460"/>
      <c r="AK18" s="460"/>
      <c r="AL18" s="460"/>
      <c r="AM18" s="460">
        <f t="array" ref="AM18">SUM(($B$5:$B$11=$B18)*($E$3:$N$3=AM$16)*$E$5:$N$11)</f>
        <v>450.85168588161469</v>
      </c>
      <c r="AN18" s="460">
        <f t="array" ref="AN18">SUM(($B$5:$B$11=$B18)*($E$3:$N$3=AN$16)*$E$5:$N$11)</f>
        <v>347.06298977136612</v>
      </c>
      <c r="AO18" s="460">
        <f t="array" ref="AO18">SUM(($B$5:$B$11=$B18)*($E$3:$N$3=AO$16)*$E$5:$N$11)</f>
        <v>343.36750692129135</v>
      </c>
    </row>
    <row r="19" spans="2:41" x14ac:dyDescent="0.25">
      <c r="B19" t="s">
        <v>1349</v>
      </c>
      <c r="E19" s="460">
        <f t="array" ref="E19">SUM(($B$5:$B$11=$B19)*($E$3:$N$3=E$16)*$E$5:$N$11)</f>
        <v>119.94510173797607</v>
      </c>
      <c r="F19" s="460"/>
      <c r="G19" s="460"/>
      <c r="H19" s="460"/>
      <c r="I19" s="460">
        <f t="array" ref="I19">SUM(($B$5:$B$11=$B19)*($E$3:$N$3=I$16)*$E$5:$N$11)</f>
        <v>125.90189915895462</v>
      </c>
      <c r="J19" s="460"/>
      <c r="K19" s="460"/>
      <c r="L19" s="460"/>
      <c r="M19" s="460"/>
      <c r="N19" s="460">
        <f t="array" ref="N19">SUM(($B$5:$B$11=$B19)*($E$3:$N$3=N$16)*$E$5:$N$11)</f>
        <v>126.41689813137054</v>
      </c>
      <c r="O19" s="460"/>
      <c r="P19" s="460"/>
      <c r="Q19" s="460"/>
      <c r="R19" s="460"/>
      <c r="S19" s="460">
        <f t="array" ref="S19">SUM(($B$5:$B$11=$B19)*($E$3:$N$3=S$16)*$E$5:$N$11)</f>
        <v>129.14339792728424</v>
      </c>
      <c r="T19" s="460"/>
      <c r="U19" s="460"/>
      <c r="V19" s="460"/>
      <c r="W19" s="460"/>
      <c r="X19" s="460">
        <f t="array" ref="X19">SUM(($B$5:$B$11=$B19)*($E$3:$N$3=X$16)*$E$5:$N$11)</f>
        <v>156.4748957157135</v>
      </c>
      <c r="Y19" s="460"/>
      <c r="Z19" s="460"/>
      <c r="AA19" s="460"/>
      <c r="AB19" s="460"/>
      <c r="AC19" s="460">
        <f t="array" ref="AC19">SUM(($B$5:$B$11=$B19)*($E$3:$N$3=AC$16)*$E$5:$N$11)</f>
        <v>171.59339201450348</v>
      </c>
      <c r="AD19" s="460"/>
      <c r="AE19" s="460"/>
      <c r="AF19" s="460"/>
      <c r="AG19" s="460"/>
      <c r="AH19" s="460">
        <f t="array" ref="AH19">SUM(($B$5:$B$11=$B19)*($E$3:$N$3=AH$16)*$E$5:$N$11)</f>
        <v>185.16620445251465</v>
      </c>
      <c r="AI19" s="460"/>
      <c r="AJ19" s="460"/>
      <c r="AK19" s="460"/>
      <c r="AL19" s="460"/>
      <c r="AM19" s="460">
        <f t="array" ref="AM19">SUM(($B$5:$B$11=$B19)*($E$3:$N$3=AM$16)*$E$5:$N$11)</f>
        <v>187.51670098304749</v>
      </c>
      <c r="AN19" s="460">
        <f t="array" ref="AN19">SUM(($B$5:$B$11=$B19)*($E$3:$N$3=AN$16)*$E$5:$N$11)</f>
        <v>186.73900067806244</v>
      </c>
      <c r="AO19" s="460">
        <f t="array" ref="AO19">SUM(($B$5:$B$11=$B19)*($E$3:$N$3=AO$16)*$E$5:$N$11)</f>
        <v>185.70250064134598</v>
      </c>
    </row>
    <row r="20" spans="2:41" x14ac:dyDescent="0.25">
      <c r="B20" t="s">
        <v>1350</v>
      </c>
      <c r="E20" s="460">
        <f t="array" ref="E20">SUM(($B$5:$B$11=$B20)*($E$3:$N$3=E$16)*$E$5:$N$11)</f>
        <v>6.2925000251270831</v>
      </c>
      <c r="F20" s="460"/>
      <c r="G20" s="460"/>
      <c r="H20" s="460"/>
      <c r="I20" s="460">
        <f t="array" ref="I20">SUM(($B$5:$B$11=$B20)*($E$3:$N$3=I$16)*$E$5:$N$11)</f>
        <v>21.158399939537048</v>
      </c>
      <c r="J20" s="460"/>
      <c r="K20" s="460"/>
      <c r="L20" s="460"/>
      <c r="M20" s="460"/>
      <c r="N20" s="460">
        <f t="array" ref="N20">SUM(($B$5:$B$11=$B20)*($E$3:$N$3=N$16)*$E$5:$N$11)</f>
        <v>21.321599960327148</v>
      </c>
      <c r="O20" s="460"/>
      <c r="P20" s="460"/>
      <c r="Q20" s="460"/>
      <c r="R20" s="460"/>
      <c r="S20" s="460">
        <f t="array" ref="S20">SUM(($B$5:$B$11=$B20)*($E$3:$N$3=S$16)*$E$5:$N$11)</f>
        <v>21.321699723601341</v>
      </c>
      <c r="T20" s="460"/>
      <c r="U20" s="460"/>
      <c r="V20" s="460"/>
      <c r="W20" s="460"/>
      <c r="X20" s="460">
        <f t="array" ref="X20">SUM(($B$5:$B$11=$B20)*($E$3:$N$3=X$16)*$E$5:$N$11)</f>
        <v>16.920599596051034</v>
      </c>
      <c r="Y20" s="460"/>
      <c r="Z20" s="460"/>
      <c r="AA20" s="460"/>
      <c r="AB20" s="460"/>
      <c r="AC20" s="460">
        <f t="array" ref="AC20">SUM(($B$5:$B$11=$B20)*($E$3:$N$3=AC$16)*$E$5:$N$11)</f>
        <v>28.957499527779873</v>
      </c>
      <c r="AD20" s="460"/>
      <c r="AE20" s="460"/>
      <c r="AF20" s="460"/>
      <c r="AG20" s="460"/>
      <c r="AH20" s="460">
        <f t="array" ref="AH20">SUM(($B$5:$B$11=$B20)*($E$3:$N$3=AH$16)*$E$5:$N$11)</f>
        <v>30.520300240663346</v>
      </c>
      <c r="AI20" s="460"/>
      <c r="AJ20" s="460"/>
      <c r="AK20" s="460"/>
      <c r="AL20" s="460"/>
      <c r="AM20" s="460">
        <f t="array" ref="AM20">SUM(($B$5:$B$11=$B20)*($E$3:$N$3=AM$16)*$E$5:$N$11)</f>
        <v>28.407700049923733</v>
      </c>
      <c r="AN20" s="460">
        <f t="array" ref="AN20">SUM(($B$5:$B$11=$B20)*($E$3:$N$3=AN$16)*$E$5:$N$11)</f>
        <v>22.936999852245208</v>
      </c>
      <c r="AO20" s="460">
        <f t="array" ref="AO20">SUM(($B$5:$B$11=$B20)*($E$3:$N$3=AO$16)*$E$5:$N$11)</f>
        <v>32.238700782472733</v>
      </c>
    </row>
    <row r="21" spans="2:41" x14ac:dyDescent="0.25">
      <c r="B21" t="s">
        <v>1351</v>
      </c>
      <c r="E21" s="460">
        <f t="array" ref="E21">SUM(($B$5:$B$11=$B21)*($E$3:$N$3=E$16)*$E$5:$N$11)</f>
        <v>26.539600186049938</v>
      </c>
      <c r="F21" s="460"/>
      <c r="G21" s="460"/>
      <c r="H21" s="460"/>
      <c r="I21" s="460">
        <f t="array" ref="I21">SUM(($B$5:$B$11=$B21)*($E$3:$N$3=I$16)*$E$5:$N$11)</f>
        <v>48.688800267875195</v>
      </c>
      <c r="J21" s="460"/>
      <c r="K21" s="460"/>
      <c r="L21" s="460"/>
      <c r="M21" s="460"/>
      <c r="N21" s="460">
        <f t="array" ref="N21">SUM(($B$5:$B$11=$B21)*($E$3:$N$3=N$16)*$E$5:$N$11)</f>
        <v>66.024401597678661</v>
      </c>
      <c r="O21" s="460"/>
      <c r="P21" s="460"/>
      <c r="Q21" s="460"/>
      <c r="R21" s="460"/>
      <c r="S21" s="460">
        <f t="array" ref="S21">SUM(($B$5:$B$11=$B21)*($E$3:$N$3=S$16)*$E$5:$N$11)</f>
        <v>99.568000487983227</v>
      </c>
      <c r="T21" s="460"/>
      <c r="U21" s="460"/>
      <c r="V21" s="460"/>
      <c r="W21" s="460"/>
      <c r="X21" s="460">
        <f t="array" ref="X21">SUM(($B$5:$B$11=$B21)*($E$3:$N$3=X$16)*$E$5:$N$11)</f>
        <v>99.567902736365795</v>
      </c>
      <c r="Y21" s="460"/>
      <c r="Z21" s="460"/>
      <c r="AA21" s="460"/>
      <c r="AB21" s="460"/>
      <c r="AC21" s="460">
        <f t="array" ref="AC21">SUM(($B$5:$B$11=$B21)*($E$3:$N$3=AC$16)*$E$5:$N$11)</f>
        <v>99.567900352180004</v>
      </c>
      <c r="AD21" s="460"/>
      <c r="AE21" s="460"/>
      <c r="AF21" s="460"/>
      <c r="AG21" s="460"/>
      <c r="AH21" s="460">
        <f t="array" ref="AH21">SUM(($B$5:$B$11=$B21)*($E$3:$N$3=AH$16)*$E$5:$N$11)</f>
        <v>99.568002872169018</v>
      </c>
      <c r="AI21" s="460"/>
      <c r="AJ21" s="460"/>
      <c r="AK21" s="460"/>
      <c r="AL21" s="460"/>
      <c r="AM21" s="460">
        <f t="array" ref="AM21">SUM(($B$5:$B$11=$B21)*($E$3:$N$3=AM$16)*$E$5:$N$11)</f>
        <v>99.567900829017162</v>
      </c>
      <c r="AN21" s="460">
        <f t="array" ref="AN21">SUM(($B$5:$B$11=$B21)*($E$3:$N$3=AN$16)*$E$5:$N$11)</f>
        <v>99.567999057471752</v>
      </c>
      <c r="AO21" s="460">
        <f t="array" ref="AO21">SUM(($B$5:$B$11=$B21)*($E$3:$N$3=AO$16)*$E$5:$N$11)</f>
        <v>99.568100146949291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P58"/>
  <sheetViews>
    <sheetView topLeftCell="Q34" workbookViewId="0">
      <selection activeCell="AB17" sqref="AB17"/>
    </sheetView>
  </sheetViews>
  <sheetFormatPr defaultRowHeight="15" x14ac:dyDescent="0.25"/>
  <cols>
    <col min="32" max="32" width="12" bestFit="1" customWidth="1"/>
  </cols>
  <sheetData>
    <row r="1" spans="3:42" x14ac:dyDescent="0.25">
      <c r="D1" t="s">
        <v>948</v>
      </c>
      <c r="S1" t="s">
        <v>487</v>
      </c>
      <c r="U1" s="475">
        <v>2012</v>
      </c>
      <c r="W1" s="104">
        <f>INDEX($AB$4:$AB$57,MATCH(U2,C4:C57,0),1)/INDEX($AB$4:$AB$57,MATCH(U1,C4:C57,0),1)</f>
        <v>0.89200000000000002</v>
      </c>
      <c r="AG1">
        <v>2006</v>
      </c>
      <c r="AH1">
        <v>2007</v>
      </c>
      <c r="AI1">
        <f>1+AH1</f>
        <v>2008</v>
      </c>
      <c r="AJ1">
        <f t="shared" ref="AJ1:AP1" si="0">1+AI1</f>
        <v>2009</v>
      </c>
      <c r="AK1">
        <f t="shared" si="0"/>
        <v>2010</v>
      </c>
      <c r="AL1">
        <f t="shared" si="0"/>
        <v>2011</v>
      </c>
      <c r="AM1">
        <f t="shared" si="0"/>
        <v>2012</v>
      </c>
      <c r="AN1">
        <f t="shared" si="0"/>
        <v>2013</v>
      </c>
      <c r="AO1">
        <f t="shared" si="0"/>
        <v>2014</v>
      </c>
      <c r="AP1">
        <f t="shared" si="0"/>
        <v>2015</v>
      </c>
    </row>
    <row r="2" spans="3:42" x14ac:dyDescent="0.25">
      <c r="S2" t="s">
        <v>488</v>
      </c>
      <c r="U2" s="475">
        <v>2010</v>
      </c>
      <c r="AF2">
        <v>2010</v>
      </c>
      <c r="AG2" s="104">
        <f>INDEX($AB$4:$AB$60,MATCH($AF$2,$C$4:$C$60,0),1)/INDEX($AB$4:$AB$60,MATCH(AG$1,$C$4:$C$60,0),1)</f>
        <v>1.3117647058823529</v>
      </c>
      <c r="AH2" s="104">
        <f>INDEX($AB$4:$AB$60,MATCH($AF$2,$C$4:$C$60,0),1)/INDEX($AB$4:$AB$60,MATCH(AH$1,$C$4:$C$60,0),1)</f>
        <v>1.2054054054054055</v>
      </c>
      <c r="AI2" s="104">
        <f t="shared" ref="AI2:AP2" si="1">INDEX($AB$4:$AB$60,MATCH($AF$2,$C$4:$C$60,0),1)/INDEX($AB$4:$AB$60,MATCH(AI$1,$C$4:$C$60,0),1)</f>
        <v>1.0998766954377313</v>
      </c>
      <c r="AJ2" s="104">
        <f t="shared" si="1"/>
        <v>1.0348027842227379</v>
      </c>
      <c r="AK2" s="104">
        <f t="shared" si="1"/>
        <v>1</v>
      </c>
      <c r="AL2" s="104">
        <f t="shared" si="1"/>
        <v>0.94291754756871049</v>
      </c>
      <c r="AM2" s="104">
        <f t="shared" si="1"/>
        <v>0.89200000000000002</v>
      </c>
      <c r="AN2" s="104">
        <f t="shared" si="1"/>
        <v>0.84629981024667933</v>
      </c>
      <c r="AO2" s="104">
        <f>INDEX($AB$4:$AB$60,MATCH($AF$2,$C$4:$C$60,0),1)/INDEX($AB$4:$AB$60,MATCH(AO$1,$C$4:$C$60,0),1)</f>
        <v>0.80294099643897465</v>
      </c>
      <c r="AP2" s="104" t="e">
        <f t="shared" si="1"/>
        <v>#N/A</v>
      </c>
    </row>
    <row r="3" spans="3:42" x14ac:dyDescent="0.25">
      <c r="D3" t="s">
        <v>175</v>
      </c>
      <c r="E3" t="s">
        <v>178</v>
      </c>
      <c r="F3" t="s">
        <v>179</v>
      </c>
      <c r="G3" t="s">
        <v>180</v>
      </c>
      <c r="H3" t="s">
        <v>181</v>
      </c>
      <c r="I3" t="s">
        <v>182</v>
      </c>
      <c r="J3" t="s">
        <v>183</v>
      </c>
      <c r="K3" t="s">
        <v>184</v>
      </c>
      <c r="L3" t="s">
        <v>185</v>
      </c>
      <c r="M3" t="s">
        <v>186</v>
      </c>
      <c r="N3" t="s">
        <v>187</v>
      </c>
      <c r="O3" t="s">
        <v>188</v>
      </c>
      <c r="P3" t="s">
        <v>295</v>
      </c>
      <c r="Q3" t="s">
        <v>175</v>
      </c>
      <c r="R3" t="s">
        <v>178</v>
      </c>
      <c r="S3" t="s">
        <v>179</v>
      </c>
      <c r="T3" t="s">
        <v>180</v>
      </c>
      <c r="U3" t="s">
        <v>181</v>
      </c>
      <c r="V3" t="s">
        <v>182</v>
      </c>
      <c r="W3" t="s">
        <v>183</v>
      </c>
      <c r="X3" t="s">
        <v>184</v>
      </c>
      <c r="Y3" t="s">
        <v>185</v>
      </c>
      <c r="Z3" t="s">
        <v>186</v>
      </c>
      <c r="AA3" t="s">
        <v>187</v>
      </c>
      <c r="AB3" t="s">
        <v>188</v>
      </c>
      <c r="AC3" t="s">
        <v>295</v>
      </c>
      <c r="AG3">
        <f>1-AG2</f>
        <v>-0.31176470588235294</v>
      </c>
      <c r="AH3">
        <f t="shared" ref="AH3:AP3" si="2">1-AH2</f>
        <v>-0.20540540540540553</v>
      </c>
      <c r="AI3">
        <f t="shared" si="2"/>
        <v>-9.9876695437731255E-2</v>
      </c>
      <c r="AJ3">
        <f t="shared" si="2"/>
        <v>-3.4802784222737859E-2</v>
      </c>
      <c r="AK3">
        <f t="shared" si="2"/>
        <v>0</v>
      </c>
      <c r="AL3">
        <f t="shared" si="2"/>
        <v>5.708245243128951E-2</v>
      </c>
      <c r="AM3">
        <f t="shared" si="2"/>
        <v>0.10799999999999998</v>
      </c>
      <c r="AN3">
        <f t="shared" si="2"/>
        <v>0.15370018975332067</v>
      </c>
      <c r="AO3">
        <f t="shared" si="2"/>
        <v>0.19705900356102535</v>
      </c>
      <c r="AP3" t="e">
        <f t="shared" si="2"/>
        <v>#N/A</v>
      </c>
    </row>
    <row r="4" spans="3:42" x14ac:dyDescent="0.25">
      <c r="C4">
        <v>1960</v>
      </c>
      <c r="D4" t="s">
        <v>949</v>
      </c>
      <c r="E4" t="s">
        <v>949</v>
      </c>
      <c r="F4" t="s">
        <v>949</v>
      </c>
      <c r="G4" t="s">
        <v>949</v>
      </c>
      <c r="H4" t="s">
        <v>949</v>
      </c>
      <c r="I4" t="s">
        <v>949</v>
      </c>
      <c r="J4" t="s">
        <v>949</v>
      </c>
      <c r="K4" t="s">
        <v>949</v>
      </c>
      <c r="L4" t="s">
        <v>949</v>
      </c>
      <c r="M4" t="s">
        <v>949</v>
      </c>
      <c r="N4" t="s">
        <v>949</v>
      </c>
      <c r="O4" t="s">
        <v>949</v>
      </c>
      <c r="P4" t="s">
        <v>949</v>
      </c>
      <c r="Q4">
        <f>VALUE(LEFT(D4,LEN(D4)-2)&amp;"."&amp;RIGHT(D4,1))</f>
        <v>1.5</v>
      </c>
      <c r="R4">
        <f t="shared" ref="R4:Z19" si="3">VALUE(LEFT(E4,LEN(E4)-2)&amp;"."&amp;RIGHT(E4,1))</f>
        <v>1.5</v>
      </c>
      <c r="S4">
        <f t="shared" si="3"/>
        <v>1.5</v>
      </c>
      <c r="T4">
        <f t="shared" si="3"/>
        <v>1.5</v>
      </c>
      <c r="U4">
        <f t="shared" si="3"/>
        <v>1.5</v>
      </c>
      <c r="V4">
        <f t="shared" si="3"/>
        <v>1.5</v>
      </c>
      <c r="W4">
        <f t="shared" si="3"/>
        <v>1.5</v>
      </c>
      <c r="X4">
        <f t="shared" si="3"/>
        <v>1.5</v>
      </c>
      <c r="Y4">
        <f t="shared" si="3"/>
        <v>1.5</v>
      </c>
      <c r="Z4">
        <f>VALUE(LEFT(M4,LEN(M4)-2)&amp;"."&amp;RIGHT(M4,1))</f>
        <v>1.5</v>
      </c>
      <c r="AA4">
        <f t="shared" ref="AA4:AC57" si="4">VALUE(LEFT(N4,LEN(N4)-2)&amp;"."&amp;RIGHT(N4,1))</f>
        <v>1.5</v>
      </c>
      <c r="AB4">
        <f t="shared" si="4"/>
        <v>1.5</v>
      </c>
      <c r="AC4">
        <f t="shared" si="4"/>
        <v>1.5</v>
      </c>
      <c r="AF4" s="53"/>
    </row>
    <row r="5" spans="3:42" x14ac:dyDescent="0.25">
      <c r="C5">
        <v>1961</v>
      </c>
      <c r="D5" t="s">
        <v>949</v>
      </c>
      <c r="E5" t="s">
        <v>949</v>
      </c>
      <c r="F5" t="s">
        <v>949</v>
      </c>
      <c r="G5" t="s">
        <v>949</v>
      </c>
      <c r="H5" t="s">
        <v>949</v>
      </c>
      <c r="I5" t="s">
        <v>949</v>
      </c>
      <c r="J5" t="s">
        <v>949</v>
      </c>
      <c r="K5" t="s">
        <v>949</v>
      </c>
      <c r="L5" t="s">
        <v>949</v>
      </c>
      <c r="M5" t="s">
        <v>949</v>
      </c>
      <c r="N5" t="s">
        <v>949</v>
      </c>
      <c r="O5" t="s">
        <v>949</v>
      </c>
      <c r="P5" t="s">
        <v>949</v>
      </c>
      <c r="Q5">
        <f t="shared" ref="Q5:Z43" si="5">VALUE(LEFT(D5,LEN(D5)-2)&amp;"."&amp;RIGHT(D5,1))</f>
        <v>1.5</v>
      </c>
      <c r="R5">
        <f t="shared" si="3"/>
        <v>1.5</v>
      </c>
      <c r="S5">
        <f t="shared" si="3"/>
        <v>1.5</v>
      </c>
      <c r="T5">
        <f t="shared" si="3"/>
        <v>1.5</v>
      </c>
      <c r="U5">
        <f t="shared" si="3"/>
        <v>1.5</v>
      </c>
      <c r="V5">
        <f t="shared" si="3"/>
        <v>1.5</v>
      </c>
      <c r="W5">
        <f t="shared" si="3"/>
        <v>1.5</v>
      </c>
      <c r="X5">
        <f t="shared" si="3"/>
        <v>1.5</v>
      </c>
      <c r="Y5">
        <f t="shared" si="3"/>
        <v>1.5</v>
      </c>
      <c r="Z5">
        <f t="shared" si="3"/>
        <v>1.5</v>
      </c>
      <c r="AA5">
        <f t="shared" si="4"/>
        <v>1.5</v>
      </c>
      <c r="AB5">
        <f t="shared" si="4"/>
        <v>1.5</v>
      </c>
      <c r="AC5">
        <f t="shared" si="4"/>
        <v>1.5</v>
      </c>
      <c r="AF5" s="53"/>
    </row>
    <row r="6" spans="3:42" x14ac:dyDescent="0.25">
      <c r="C6">
        <v>1962</v>
      </c>
      <c r="D6" t="s">
        <v>949</v>
      </c>
      <c r="E6" t="s">
        <v>949</v>
      </c>
      <c r="F6" t="s">
        <v>949</v>
      </c>
      <c r="G6" t="s">
        <v>949</v>
      </c>
      <c r="H6" t="s">
        <v>949</v>
      </c>
      <c r="I6" t="s">
        <v>949</v>
      </c>
      <c r="J6" t="s">
        <v>949</v>
      </c>
      <c r="K6" t="s">
        <v>949</v>
      </c>
      <c r="L6" t="s">
        <v>949</v>
      </c>
      <c r="M6" t="s">
        <v>949</v>
      </c>
      <c r="N6" t="s">
        <v>949</v>
      </c>
      <c r="O6" t="s">
        <v>949</v>
      </c>
      <c r="P6" t="s">
        <v>949</v>
      </c>
      <c r="Q6">
        <f t="shared" si="5"/>
        <v>1.5</v>
      </c>
      <c r="R6">
        <f t="shared" si="3"/>
        <v>1.5</v>
      </c>
      <c r="S6">
        <f t="shared" si="3"/>
        <v>1.5</v>
      </c>
      <c r="T6">
        <f t="shared" si="3"/>
        <v>1.5</v>
      </c>
      <c r="U6">
        <f t="shared" si="3"/>
        <v>1.5</v>
      </c>
      <c r="V6">
        <f t="shared" si="3"/>
        <v>1.5</v>
      </c>
      <c r="W6">
        <f t="shared" si="3"/>
        <v>1.5</v>
      </c>
      <c r="X6">
        <f t="shared" si="3"/>
        <v>1.5</v>
      </c>
      <c r="Y6">
        <f t="shared" si="3"/>
        <v>1.5</v>
      </c>
      <c r="Z6">
        <f t="shared" si="3"/>
        <v>1.5</v>
      </c>
      <c r="AA6">
        <f t="shared" si="4"/>
        <v>1.5</v>
      </c>
      <c r="AB6">
        <f t="shared" si="4"/>
        <v>1.5</v>
      </c>
      <c r="AC6">
        <f t="shared" si="4"/>
        <v>1.5</v>
      </c>
    </row>
    <row r="7" spans="3:42" x14ac:dyDescent="0.25">
      <c r="C7">
        <v>1963</v>
      </c>
      <c r="D7" t="s">
        <v>949</v>
      </c>
      <c r="E7" t="s">
        <v>949</v>
      </c>
      <c r="F7" t="s">
        <v>949</v>
      </c>
      <c r="G7" t="s">
        <v>949</v>
      </c>
      <c r="H7" t="s">
        <v>949</v>
      </c>
      <c r="I7" t="s">
        <v>949</v>
      </c>
      <c r="J7" t="s">
        <v>949</v>
      </c>
      <c r="K7" t="s">
        <v>949</v>
      </c>
      <c r="L7" t="s">
        <v>949</v>
      </c>
      <c r="M7" t="s">
        <v>949</v>
      </c>
      <c r="N7" t="s">
        <v>949</v>
      </c>
      <c r="O7" t="s">
        <v>949</v>
      </c>
      <c r="P7" t="s">
        <v>949</v>
      </c>
      <c r="Q7">
        <f t="shared" si="5"/>
        <v>1.5</v>
      </c>
      <c r="R7">
        <f t="shared" si="3"/>
        <v>1.5</v>
      </c>
      <c r="S7">
        <f t="shared" si="3"/>
        <v>1.5</v>
      </c>
      <c r="T7">
        <f t="shared" si="3"/>
        <v>1.5</v>
      </c>
      <c r="U7">
        <f t="shared" si="3"/>
        <v>1.5</v>
      </c>
      <c r="V7">
        <f t="shared" si="3"/>
        <v>1.5</v>
      </c>
      <c r="W7">
        <f t="shared" si="3"/>
        <v>1.5</v>
      </c>
      <c r="X7">
        <f t="shared" si="3"/>
        <v>1.5</v>
      </c>
      <c r="Y7">
        <f t="shared" si="3"/>
        <v>1.5</v>
      </c>
      <c r="Z7">
        <f t="shared" si="3"/>
        <v>1.5</v>
      </c>
      <c r="AA7">
        <f t="shared" si="4"/>
        <v>1.5</v>
      </c>
      <c r="AB7">
        <f t="shared" si="4"/>
        <v>1.5</v>
      </c>
      <c r="AC7">
        <f t="shared" si="4"/>
        <v>1.5</v>
      </c>
      <c r="AF7">
        <f>AN2*AN7</f>
        <v>4443.0740037950663</v>
      </c>
      <c r="AN7">
        <f>500*10.5</f>
        <v>5250</v>
      </c>
    </row>
    <row r="8" spans="3:42" x14ac:dyDescent="0.25">
      <c r="C8">
        <v>1964</v>
      </c>
      <c r="D8" t="s">
        <v>949</v>
      </c>
      <c r="E8" t="s">
        <v>949</v>
      </c>
      <c r="F8" t="s">
        <v>949</v>
      </c>
      <c r="G8" t="s">
        <v>950</v>
      </c>
      <c r="H8" t="s">
        <v>950</v>
      </c>
      <c r="I8" t="s">
        <v>950</v>
      </c>
      <c r="J8" t="s">
        <v>950</v>
      </c>
      <c r="K8" t="s">
        <v>950</v>
      </c>
      <c r="L8" t="s">
        <v>950</v>
      </c>
      <c r="M8" t="s">
        <v>950</v>
      </c>
      <c r="N8" t="s">
        <v>950</v>
      </c>
      <c r="O8" t="s">
        <v>950</v>
      </c>
      <c r="P8" t="s">
        <v>950</v>
      </c>
      <c r="Q8">
        <f t="shared" si="5"/>
        <v>1.5</v>
      </c>
      <c r="R8">
        <f t="shared" si="3"/>
        <v>1.5</v>
      </c>
      <c r="S8">
        <f t="shared" si="3"/>
        <v>1.5</v>
      </c>
      <c r="T8">
        <f t="shared" si="3"/>
        <v>1.6</v>
      </c>
      <c r="U8">
        <f t="shared" si="3"/>
        <v>1.6</v>
      </c>
      <c r="V8">
        <f t="shared" si="3"/>
        <v>1.6</v>
      </c>
      <c r="W8">
        <f t="shared" si="3"/>
        <v>1.6</v>
      </c>
      <c r="X8">
        <f t="shared" si="3"/>
        <v>1.6</v>
      </c>
      <c r="Y8">
        <f t="shared" si="3"/>
        <v>1.6</v>
      </c>
      <c r="Z8">
        <f t="shared" si="3"/>
        <v>1.6</v>
      </c>
      <c r="AA8">
        <f t="shared" si="4"/>
        <v>1.6</v>
      </c>
      <c r="AB8">
        <f t="shared" si="4"/>
        <v>1.6</v>
      </c>
      <c r="AC8">
        <f t="shared" si="4"/>
        <v>1.6</v>
      </c>
      <c r="AF8">
        <f>AH8*AH2</f>
        <v>4158.6486486486492</v>
      </c>
      <c r="AH8">
        <v>3450</v>
      </c>
    </row>
    <row r="9" spans="3:42" x14ac:dyDescent="0.25">
      <c r="C9">
        <v>1965</v>
      </c>
      <c r="D9" t="s">
        <v>950</v>
      </c>
      <c r="E9" t="s">
        <v>950</v>
      </c>
      <c r="F9" t="s">
        <v>950</v>
      </c>
      <c r="G9" t="s">
        <v>950</v>
      </c>
      <c r="H9" t="s">
        <v>950</v>
      </c>
      <c r="I9" t="s">
        <v>950</v>
      </c>
      <c r="J9" t="s">
        <v>950</v>
      </c>
      <c r="K9" t="s">
        <v>950</v>
      </c>
      <c r="L9" t="s">
        <v>950</v>
      </c>
      <c r="M9" t="s">
        <v>950</v>
      </c>
      <c r="N9" t="s">
        <v>950</v>
      </c>
      <c r="O9" t="s">
        <v>950</v>
      </c>
      <c r="P9" t="s">
        <v>950</v>
      </c>
      <c r="Q9">
        <f t="shared" si="5"/>
        <v>1.6</v>
      </c>
      <c r="R9">
        <f t="shared" si="3"/>
        <v>1.6</v>
      </c>
      <c r="S9">
        <f t="shared" si="3"/>
        <v>1.6</v>
      </c>
      <c r="T9">
        <f t="shared" si="3"/>
        <v>1.6</v>
      </c>
      <c r="U9">
        <f t="shared" si="3"/>
        <v>1.6</v>
      </c>
      <c r="V9">
        <f t="shared" si="3"/>
        <v>1.6</v>
      </c>
      <c r="W9">
        <f t="shared" si="3"/>
        <v>1.6</v>
      </c>
      <c r="X9">
        <f t="shared" si="3"/>
        <v>1.6</v>
      </c>
      <c r="Y9">
        <f t="shared" si="3"/>
        <v>1.6</v>
      </c>
      <c r="Z9">
        <f t="shared" si="3"/>
        <v>1.6</v>
      </c>
      <c r="AA9">
        <f t="shared" si="4"/>
        <v>1.6</v>
      </c>
      <c r="AB9">
        <f t="shared" si="4"/>
        <v>1.6</v>
      </c>
      <c r="AC9">
        <f t="shared" si="4"/>
        <v>1.6</v>
      </c>
    </row>
    <row r="10" spans="3:42" x14ac:dyDescent="0.25">
      <c r="C10">
        <v>1966</v>
      </c>
      <c r="D10" t="s">
        <v>950</v>
      </c>
      <c r="E10" t="s">
        <v>950</v>
      </c>
      <c r="F10" t="s">
        <v>951</v>
      </c>
      <c r="G10" t="s">
        <v>951</v>
      </c>
      <c r="H10" t="s">
        <v>951</v>
      </c>
      <c r="I10" t="s">
        <v>951</v>
      </c>
      <c r="J10" t="s">
        <v>951</v>
      </c>
      <c r="K10" t="s">
        <v>951</v>
      </c>
      <c r="L10" t="s">
        <v>951</v>
      </c>
      <c r="M10" t="s">
        <v>951</v>
      </c>
      <c r="N10" t="s">
        <v>951</v>
      </c>
      <c r="O10" t="s">
        <v>951</v>
      </c>
      <c r="P10" t="s">
        <v>951</v>
      </c>
      <c r="Q10">
        <f t="shared" si="5"/>
        <v>1.6</v>
      </c>
      <c r="R10">
        <f t="shared" si="3"/>
        <v>1.6</v>
      </c>
      <c r="S10">
        <f t="shared" si="3"/>
        <v>1.7</v>
      </c>
      <c r="T10">
        <f t="shared" si="3"/>
        <v>1.7</v>
      </c>
      <c r="U10">
        <f t="shared" si="3"/>
        <v>1.7</v>
      </c>
      <c r="V10">
        <f t="shared" si="3"/>
        <v>1.7</v>
      </c>
      <c r="W10">
        <f t="shared" si="3"/>
        <v>1.7</v>
      </c>
      <c r="X10">
        <f t="shared" si="3"/>
        <v>1.7</v>
      </c>
      <c r="Y10">
        <f t="shared" si="3"/>
        <v>1.7</v>
      </c>
      <c r="Z10">
        <f t="shared" si="3"/>
        <v>1.7</v>
      </c>
      <c r="AA10">
        <f t="shared" si="4"/>
        <v>1.7</v>
      </c>
      <c r="AB10">
        <f t="shared" si="4"/>
        <v>1.7</v>
      </c>
      <c r="AC10">
        <f t="shared" si="4"/>
        <v>1.7</v>
      </c>
    </row>
    <row r="11" spans="3:42" x14ac:dyDescent="0.25">
      <c r="C11">
        <v>1967</v>
      </c>
      <c r="D11" t="s">
        <v>951</v>
      </c>
      <c r="E11" t="s">
        <v>951</v>
      </c>
      <c r="F11" t="s">
        <v>951</v>
      </c>
      <c r="G11" t="s">
        <v>951</v>
      </c>
      <c r="H11" t="s">
        <v>951</v>
      </c>
      <c r="I11" t="s">
        <v>951</v>
      </c>
      <c r="J11" t="s">
        <v>951</v>
      </c>
      <c r="K11" t="s">
        <v>951</v>
      </c>
      <c r="L11" t="s">
        <v>951</v>
      </c>
      <c r="M11" t="s">
        <v>951</v>
      </c>
      <c r="N11" t="s">
        <v>951</v>
      </c>
      <c r="O11" t="s">
        <v>951</v>
      </c>
      <c r="P11" t="s">
        <v>951</v>
      </c>
      <c r="Q11">
        <f t="shared" si="5"/>
        <v>1.7</v>
      </c>
      <c r="R11">
        <f t="shared" si="3"/>
        <v>1.7</v>
      </c>
      <c r="S11">
        <f t="shared" si="3"/>
        <v>1.7</v>
      </c>
      <c r="T11">
        <f t="shared" si="3"/>
        <v>1.7</v>
      </c>
      <c r="U11">
        <f t="shared" si="3"/>
        <v>1.7</v>
      </c>
      <c r="V11">
        <f t="shared" si="3"/>
        <v>1.7</v>
      </c>
      <c r="W11">
        <f t="shared" si="3"/>
        <v>1.7</v>
      </c>
      <c r="X11">
        <f t="shared" si="3"/>
        <v>1.7</v>
      </c>
      <c r="Y11">
        <f t="shared" si="3"/>
        <v>1.7</v>
      </c>
      <c r="Z11">
        <f t="shared" si="3"/>
        <v>1.7</v>
      </c>
      <c r="AA11">
        <f t="shared" si="4"/>
        <v>1.7</v>
      </c>
      <c r="AB11">
        <f t="shared" si="4"/>
        <v>1.7</v>
      </c>
      <c r="AC11">
        <f t="shared" si="4"/>
        <v>1.7</v>
      </c>
    </row>
    <row r="12" spans="3:42" x14ac:dyDescent="0.25">
      <c r="C12">
        <v>1968</v>
      </c>
      <c r="D12" t="s">
        <v>951</v>
      </c>
      <c r="E12" t="s">
        <v>951</v>
      </c>
      <c r="F12" t="s">
        <v>951</v>
      </c>
      <c r="G12" t="s">
        <v>951</v>
      </c>
      <c r="H12" t="s">
        <v>951</v>
      </c>
      <c r="I12" t="s">
        <v>951</v>
      </c>
      <c r="J12" t="s">
        <v>952</v>
      </c>
      <c r="K12" t="s">
        <v>952</v>
      </c>
      <c r="L12" t="s">
        <v>952</v>
      </c>
      <c r="M12" t="s">
        <v>952</v>
      </c>
      <c r="N12" t="s">
        <v>952</v>
      </c>
      <c r="O12" t="s">
        <v>952</v>
      </c>
      <c r="P12" t="s">
        <v>952</v>
      </c>
      <c r="Q12">
        <f t="shared" si="5"/>
        <v>1.7</v>
      </c>
      <c r="R12">
        <f t="shared" si="3"/>
        <v>1.7</v>
      </c>
      <c r="S12">
        <f t="shared" si="3"/>
        <v>1.7</v>
      </c>
      <c r="T12">
        <f t="shared" si="3"/>
        <v>1.7</v>
      </c>
      <c r="U12">
        <f t="shared" si="3"/>
        <v>1.7</v>
      </c>
      <c r="V12">
        <f t="shared" si="3"/>
        <v>1.7</v>
      </c>
      <c r="W12">
        <f t="shared" si="3"/>
        <v>1.8</v>
      </c>
      <c r="X12">
        <f t="shared" si="3"/>
        <v>1.8</v>
      </c>
      <c r="Y12">
        <f t="shared" si="3"/>
        <v>1.8</v>
      </c>
      <c r="Z12">
        <f t="shared" si="3"/>
        <v>1.8</v>
      </c>
      <c r="AA12">
        <f t="shared" si="4"/>
        <v>1.8</v>
      </c>
      <c r="AB12">
        <f t="shared" si="4"/>
        <v>1.8</v>
      </c>
      <c r="AC12">
        <f t="shared" si="4"/>
        <v>1.8</v>
      </c>
    </row>
    <row r="13" spans="3:42" x14ac:dyDescent="0.25">
      <c r="C13">
        <v>1969</v>
      </c>
      <c r="D13" t="s">
        <v>952</v>
      </c>
      <c r="E13" t="s">
        <v>952</v>
      </c>
      <c r="F13" t="s">
        <v>952</v>
      </c>
      <c r="G13" t="s">
        <v>952</v>
      </c>
      <c r="H13" t="s">
        <v>952</v>
      </c>
      <c r="I13" t="s">
        <v>952</v>
      </c>
      <c r="J13" t="s">
        <v>952</v>
      </c>
      <c r="K13" t="s">
        <v>952</v>
      </c>
      <c r="L13" t="s">
        <v>952</v>
      </c>
      <c r="M13" t="s">
        <v>953</v>
      </c>
      <c r="N13" t="s">
        <v>953</v>
      </c>
      <c r="O13" t="s">
        <v>953</v>
      </c>
      <c r="P13" t="s">
        <v>952</v>
      </c>
      <c r="Q13">
        <f t="shared" si="5"/>
        <v>1.8</v>
      </c>
      <c r="R13">
        <f t="shared" si="3"/>
        <v>1.8</v>
      </c>
      <c r="S13">
        <f t="shared" si="3"/>
        <v>1.8</v>
      </c>
      <c r="T13">
        <f t="shared" si="3"/>
        <v>1.8</v>
      </c>
      <c r="U13">
        <f t="shared" si="3"/>
        <v>1.8</v>
      </c>
      <c r="V13">
        <f t="shared" si="3"/>
        <v>1.8</v>
      </c>
      <c r="W13">
        <f t="shared" si="3"/>
        <v>1.8</v>
      </c>
      <c r="X13">
        <f t="shared" si="3"/>
        <v>1.8</v>
      </c>
      <c r="Y13">
        <f t="shared" si="3"/>
        <v>1.8</v>
      </c>
      <c r="Z13">
        <f t="shared" si="3"/>
        <v>1.9</v>
      </c>
      <c r="AA13">
        <f t="shared" si="4"/>
        <v>1.9</v>
      </c>
      <c r="AB13">
        <f t="shared" si="4"/>
        <v>1.9</v>
      </c>
      <c r="AC13">
        <f t="shared" si="4"/>
        <v>1.8</v>
      </c>
    </row>
    <row r="14" spans="3:42" x14ac:dyDescent="0.25">
      <c r="C14">
        <v>1970</v>
      </c>
      <c r="D14" t="s">
        <v>953</v>
      </c>
      <c r="E14" t="s">
        <v>953</v>
      </c>
      <c r="F14" t="s">
        <v>953</v>
      </c>
      <c r="G14" t="s">
        <v>953</v>
      </c>
      <c r="H14" t="s">
        <v>953</v>
      </c>
      <c r="I14" t="s">
        <v>953</v>
      </c>
      <c r="J14" t="s">
        <v>953</v>
      </c>
      <c r="K14" t="s">
        <v>954</v>
      </c>
      <c r="L14" t="s">
        <v>954</v>
      </c>
      <c r="M14" t="s">
        <v>954</v>
      </c>
      <c r="N14" t="s">
        <v>954</v>
      </c>
      <c r="O14" t="s">
        <v>954</v>
      </c>
      <c r="P14" t="s">
        <v>953</v>
      </c>
      <c r="Q14">
        <f t="shared" si="5"/>
        <v>1.9</v>
      </c>
      <c r="R14">
        <f t="shared" si="3"/>
        <v>1.9</v>
      </c>
      <c r="S14">
        <f t="shared" si="3"/>
        <v>1.9</v>
      </c>
      <c r="T14">
        <f t="shared" si="3"/>
        <v>1.9</v>
      </c>
      <c r="U14">
        <f t="shared" si="3"/>
        <v>1.9</v>
      </c>
      <c r="V14">
        <f t="shared" si="3"/>
        <v>1.9</v>
      </c>
      <c r="W14">
        <f t="shared" si="3"/>
        <v>1.9</v>
      </c>
      <c r="X14">
        <f t="shared" si="3"/>
        <v>2</v>
      </c>
      <c r="Y14">
        <f t="shared" si="3"/>
        <v>2</v>
      </c>
      <c r="Z14">
        <f t="shared" si="3"/>
        <v>2</v>
      </c>
      <c r="AA14">
        <f t="shared" si="4"/>
        <v>2</v>
      </c>
      <c r="AB14">
        <f t="shared" si="4"/>
        <v>2</v>
      </c>
      <c r="AC14">
        <f t="shared" si="4"/>
        <v>1.9</v>
      </c>
    </row>
    <row r="15" spans="3:42" x14ac:dyDescent="0.25">
      <c r="C15">
        <v>1971</v>
      </c>
      <c r="D15" t="s">
        <v>954</v>
      </c>
      <c r="E15" t="s">
        <v>954</v>
      </c>
      <c r="F15" t="s">
        <v>954</v>
      </c>
      <c r="G15" t="s">
        <v>954</v>
      </c>
      <c r="H15" t="s">
        <v>954</v>
      </c>
      <c r="I15" t="s">
        <v>954</v>
      </c>
      <c r="J15" t="s">
        <v>954</v>
      </c>
      <c r="K15" t="s">
        <v>955</v>
      </c>
      <c r="L15" t="s">
        <v>955</v>
      </c>
      <c r="M15" t="s">
        <v>955</v>
      </c>
      <c r="N15" t="s">
        <v>955</v>
      </c>
      <c r="O15" t="s">
        <v>955</v>
      </c>
      <c r="P15" t="s">
        <v>954</v>
      </c>
      <c r="Q15">
        <f t="shared" si="5"/>
        <v>2</v>
      </c>
      <c r="R15">
        <f t="shared" si="3"/>
        <v>2</v>
      </c>
      <c r="S15">
        <f t="shared" si="3"/>
        <v>2</v>
      </c>
      <c r="T15">
        <f t="shared" si="3"/>
        <v>2</v>
      </c>
      <c r="U15">
        <f t="shared" si="3"/>
        <v>2</v>
      </c>
      <c r="V15">
        <f t="shared" si="3"/>
        <v>2</v>
      </c>
      <c r="W15">
        <f t="shared" si="3"/>
        <v>2</v>
      </c>
      <c r="X15">
        <f t="shared" si="3"/>
        <v>2.1</v>
      </c>
      <c r="Y15">
        <f t="shared" si="3"/>
        <v>2.1</v>
      </c>
      <c r="Z15">
        <f t="shared" si="3"/>
        <v>2.1</v>
      </c>
      <c r="AA15">
        <f t="shared" si="4"/>
        <v>2.1</v>
      </c>
      <c r="AB15">
        <f t="shared" si="4"/>
        <v>2.1</v>
      </c>
      <c r="AC15">
        <f t="shared" si="4"/>
        <v>2</v>
      </c>
    </row>
    <row r="16" spans="3:42" x14ac:dyDescent="0.25">
      <c r="C16">
        <v>1972</v>
      </c>
      <c r="D16" t="s">
        <v>955</v>
      </c>
      <c r="E16" t="s">
        <v>955</v>
      </c>
      <c r="F16" t="s">
        <v>955</v>
      </c>
      <c r="G16" t="s">
        <v>955</v>
      </c>
      <c r="H16" t="s">
        <v>955</v>
      </c>
      <c r="I16" t="s">
        <v>955</v>
      </c>
      <c r="J16" t="s">
        <v>956</v>
      </c>
      <c r="K16" t="s">
        <v>956</v>
      </c>
      <c r="L16" t="s">
        <v>956</v>
      </c>
      <c r="M16" t="s">
        <v>957</v>
      </c>
      <c r="N16" t="s">
        <v>957</v>
      </c>
      <c r="O16" t="s">
        <v>957</v>
      </c>
      <c r="P16" t="s">
        <v>956</v>
      </c>
      <c r="Q16">
        <f t="shared" si="5"/>
        <v>2.1</v>
      </c>
      <c r="R16">
        <f t="shared" si="3"/>
        <v>2.1</v>
      </c>
      <c r="S16">
        <f t="shared" si="3"/>
        <v>2.1</v>
      </c>
      <c r="T16">
        <f t="shared" si="3"/>
        <v>2.1</v>
      </c>
      <c r="U16">
        <f t="shared" si="3"/>
        <v>2.1</v>
      </c>
      <c r="V16">
        <f t="shared" si="3"/>
        <v>2.1</v>
      </c>
      <c r="W16">
        <f t="shared" si="3"/>
        <v>2.2000000000000002</v>
      </c>
      <c r="X16">
        <f t="shared" si="3"/>
        <v>2.2000000000000002</v>
      </c>
      <c r="Y16">
        <f t="shared" si="3"/>
        <v>2.2000000000000002</v>
      </c>
      <c r="Z16">
        <f t="shared" si="3"/>
        <v>2.2999999999999998</v>
      </c>
      <c r="AA16">
        <f t="shared" si="4"/>
        <v>2.2999999999999998</v>
      </c>
      <c r="AB16">
        <f t="shared" si="4"/>
        <v>2.2999999999999998</v>
      </c>
      <c r="AC16">
        <f t="shared" si="4"/>
        <v>2.2000000000000002</v>
      </c>
    </row>
    <row r="17" spans="3:29" x14ac:dyDescent="0.25">
      <c r="C17">
        <v>1973</v>
      </c>
      <c r="D17" t="s">
        <v>957</v>
      </c>
      <c r="E17" t="s">
        <v>957</v>
      </c>
      <c r="F17" t="s">
        <v>957</v>
      </c>
      <c r="G17" t="s">
        <v>958</v>
      </c>
      <c r="H17" t="s">
        <v>958</v>
      </c>
      <c r="I17" t="s">
        <v>958</v>
      </c>
      <c r="J17" t="s">
        <v>958</v>
      </c>
      <c r="K17" t="s">
        <v>958</v>
      </c>
      <c r="L17" t="s">
        <v>958</v>
      </c>
      <c r="M17" t="s">
        <v>959</v>
      </c>
      <c r="N17" t="s">
        <v>959</v>
      </c>
      <c r="O17" t="s">
        <v>959</v>
      </c>
      <c r="P17" t="s">
        <v>958</v>
      </c>
      <c r="Q17">
        <f t="shared" si="5"/>
        <v>2.2999999999999998</v>
      </c>
      <c r="R17">
        <f t="shared" si="3"/>
        <v>2.2999999999999998</v>
      </c>
      <c r="S17">
        <f t="shared" si="3"/>
        <v>2.2999999999999998</v>
      </c>
      <c r="T17">
        <f t="shared" si="3"/>
        <v>2.4</v>
      </c>
      <c r="U17">
        <f t="shared" si="3"/>
        <v>2.4</v>
      </c>
      <c r="V17">
        <f t="shared" si="3"/>
        <v>2.4</v>
      </c>
      <c r="W17">
        <f t="shared" si="3"/>
        <v>2.4</v>
      </c>
      <c r="X17">
        <f t="shared" si="3"/>
        <v>2.4</v>
      </c>
      <c r="Y17">
        <f t="shared" si="3"/>
        <v>2.4</v>
      </c>
      <c r="Z17">
        <f t="shared" si="3"/>
        <v>2.5</v>
      </c>
      <c r="AA17">
        <f t="shared" si="4"/>
        <v>2.5</v>
      </c>
      <c r="AB17">
        <f t="shared" si="4"/>
        <v>2.5</v>
      </c>
      <c r="AC17">
        <f t="shared" si="4"/>
        <v>2.4</v>
      </c>
    </row>
    <row r="18" spans="3:29" x14ac:dyDescent="0.25">
      <c r="C18">
        <v>1974</v>
      </c>
      <c r="D18" t="s">
        <v>959</v>
      </c>
      <c r="E18" t="s">
        <v>959</v>
      </c>
      <c r="F18" t="s">
        <v>960</v>
      </c>
      <c r="G18" t="s">
        <v>960</v>
      </c>
      <c r="H18" t="s">
        <v>960</v>
      </c>
      <c r="I18" t="s">
        <v>961</v>
      </c>
      <c r="J18" t="s">
        <v>961</v>
      </c>
      <c r="K18" t="s">
        <v>961</v>
      </c>
      <c r="L18" t="s">
        <v>962</v>
      </c>
      <c r="M18" t="s">
        <v>962</v>
      </c>
      <c r="N18" t="s">
        <v>962</v>
      </c>
      <c r="O18" t="s">
        <v>962</v>
      </c>
      <c r="P18" t="s">
        <v>961</v>
      </c>
      <c r="Q18">
        <f t="shared" si="5"/>
        <v>2.5</v>
      </c>
      <c r="R18">
        <f t="shared" si="3"/>
        <v>2.5</v>
      </c>
      <c r="S18">
        <f t="shared" si="3"/>
        <v>2.6</v>
      </c>
      <c r="T18">
        <f t="shared" si="3"/>
        <v>2.6</v>
      </c>
      <c r="U18">
        <f t="shared" si="3"/>
        <v>2.6</v>
      </c>
      <c r="V18">
        <f t="shared" si="3"/>
        <v>2.7</v>
      </c>
      <c r="W18">
        <f t="shared" si="3"/>
        <v>2.7</v>
      </c>
      <c r="X18">
        <f t="shared" si="3"/>
        <v>2.7</v>
      </c>
      <c r="Y18">
        <f t="shared" si="3"/>
        <v>2.8</v>
      </c>
      <c r="Z18">
        <f t="shared" si="3"/>
        <v>2.8</v>
      </c>
      <c r="AA18">
        <f t="shared" si="4"/>
        <v>2.8</v>
      </c>
      <c r="AB18">
        <f t="shared" si="4"/>
        <v>2.8</v>
      </c>
      <c r="AC18">
        <f t="shared" si="4"/>
        <v>2.7</v>
      </c>
    </row>
    <row r="19" spans="3:29" x14ac:dyDescent="0.25">
      <c r="C19">
        <v>1975</v>
      </c>
      <c r="D19" t="s">
        <v>963</v>
      </c>
      <c r="E19" t="s">
        <v>963</v>
      </c>
      <c r="F19" t="s">
        <v>963</v>
      </c>
      <c r="G19" t="s">
        <v>964</v>
      </c>
      <c r="H19" t="s">
        <v>964</v>
      </c>
      <c r="I19" t="s">
        <v>964</v>
      </c>
      <c r="J19" t="s">
        <v>965</v>
      </c>
      <c r="K19" t="s">
        <v>965</v>
      </c>
      <c r="L19" t="s">
        <v>965</v>
      </c>
      <c r="M19" t="s">
        <v>965</v>
      </c>
      <c r="N19" t="s">
        <v>966</v>
      </c>
      <c r="O19" t="s">
        <v>966</v>
      </c>
      <c r="P19" t="s">
        <v>964</v>
      </c>
      <c r="Q19">
        <f t="shared" si="5"/>
        <v>2.9</v>
      </c>
      <c r="R19">
        <f t="shared" si="3"/>
        <v>2.9</v>
      </c>
      <c r="S19">
        <f t="shared" si="3"/>
        <v>2.9</v>
      </c>
      <c r="T19">
        <f t="shared" si="3"/>
        <v>3</v>
      </c>
      <c r="U19">
        <f t="shared" si="3"/>
        <v>3</v>
      </c>
      <c r="V19">
        <f t="shared" si="3"/>
        <v>3</v>
      </c>
      <c r="W19">
        <f t="shared" si="3"/>
        <v>3.1</v>
      </c>
      <c r="X19">
        <f t="shared" si="3"/>
        <v>3.1</v>
      </c>
      <c r="Y19">
        <f t="shared" si="3"/>
        <v>3.1</v>
      </c>
      <c r="Z19">
        <f t="shared" si="3"/>
        <v>3.1</v>
      </c>
      <c r="AA19">
        <f t="shared" si="4"/>
        <v>3.2</v>
      </c>
      <c r="AB19">
        <f t="shared" si="4"/>
        <v>3.2</v>
      </c>
      <c r="AC19">
        <f t="shared" si="4"/>
        <v>3</v>
      </c>
    </row>
    <row r="20" spans="3:29" x14ac:dyDescent="0.25">
      <c r="C20">
        <v>1976</v>
      </c>
      <c r="D20" t="s">
        <v>966</v>
      </c>
      <c r="E20" t="s">
        <v>966</v>
      </c>
      <c r="F20" t="s">
        <v>967</v>
      </c>
      <c r="G20" t="s">
        <v>967</v>
      </c>
      <c r="H20" t="s">
        <v>967</v>
      </c>
      <c r="I20" t="s">
        <v>968</v>
      </c>
      <c r="J20" t="s">
        <v>968</v>
      </c>
      <c r="K20" t="s">
        <v>969</v>
      </c>
      <c r="L20" t="s">
        <v>969</v>
      </c>
      <c r="M20" t="s">
        <v>969</v>
      </c>
      <c r="N20" t="s">
        <v>969</v>
      </c>
      <c r="O20" t="s">
        <v>969</v>
      </c>
      <c r="P20" t="s">
        <v>968</v>
      </c>
      <c r="Q20">
        <f t="shared" si="5"/>
        <v>3.2</v>
      </c>
      <c r="R20">
        <f t="shared" si="5"/>
        <v>3.2</v>
      </c>
      <c r="S20">
        <f t="shared" si="5"/>
        <v>3.3</v>
      </c>
      <c r="T20">
        <f t="shared" si="5"/>
        <v>3.3</v>
      </c>
      <c r="U20">
        <f t="shared" si="5"/>
        <v>3.3</v>
      </c>
      <c r="V20">
        <f t="shared" si="5"/>
        <v>3.4</v>
      </c>
      <c r="W20">
        <f t="shared" si="5"/>
        <v>3.4</v>
      </c>
      <c r="X20">
        <f t="shared" si="5"/>
        <v>3.5</v>
      </c>
      <c r="Y20">
        <f t="shared" si="5"/>
        <v>3.5</v>
      </c>
      <c r="Z20">
        <f t="shared" si="5"/>
        <v>3.5</v>
      </c>
      <c r="AA20">
        <f t="shared" si="4"/>
        <v>3.5</v>
      </c>
      <c r="AB20">
        <f t="shared" si="4"/>
        <v>3.5</v>
      </c>
      <c r="AC20">
        <f t="shared" si="4"/>
        <v>3.4</v>
      </c>
    </row>
    <row r="21" spans="3:29" x14ac:dyDescent="0.25">
      <c r="C21">
        <v>1977</v>
      </c>
      <c r="D21" t="s">
        <v>970</v>
      </c>
      <c r="E21" t="s">
        <v>970</v>
      </c>
      <c r="F21" t="s">
        <v>970</v>
      </c>
      <c r="G21" t="s">
        <v>971</v>
      </c>
      <c r="H21" t="s">
        <v>971</v>
      </c>
      <c r="I21" t="s">
        <v>971</v>
      </c>
      <c r="J21" t="s">
        <v>971</v>
      </c>
      <c r="K21" t="s">
        <v>972</v>
      </c>
      <c r="L21" t="s">
        <v>972</v>
      </c>
      <c r="M21" t="s">
        <v>972</v>
      </c>
      <c r="N21" t="s">
        <v>972</v>
      </c>
      <c r="O21" t="s">
        <v>973</v>
      </c>
      <c r="P21" t="s">
        <v>971</v>
      </c>
      <c r="Q21">
        <f t="shared" si="5"/>
        <v>3.6</v>
      </c>
      <c r="R21">
        <f t="shared" si="5"/>
        <v>3.6</v>
      </c>
      <c r="S21">
        <f t="shared" si="5"/>
        <v>3.6</v>
      </c>
      <c r="T21">
        <f t="shared" si="5"/>
        <v>3.7</v>
      </c>
      <c r="U21">
        <f t="shared" si="5"/>
        <v>3.7</v>
      </c>
      <c r="V21">
        <f t="shared" si="5"/>
        <v>3.7</v>
      </c>
      <c r="W21">
        <f t="shared" si="5"/>
        <v>3.7</v>
      </c>
      <c r="X21">
        <f t="shared" si="5"/>
        <v>3.8</v>
      </c>
      <c r="Y21">
        <f t="shared" si="5"/>
        <v>3.8</v>
      </c>
      <c r="Z21">
        <f t="shared" si="5"/>
        <v>3.8</v>
      </c>
      <c r="AA21">
        <f t="shared" si="4"/>
        <v>3.8</v>
      </c>
      <c r="AB21">
        <f t="shared" si="4"/>
        <v>3.9</v>
      </c>
      <c r="AC21">
        <f t="shared" si="4"/>
        <v>3.7</v>
      </c>
    </row>
    <row r="22" spans="3:29" x14ac:dyDescent="0.25">
      <c r="C22">
        <v>1978</v>
      </c>
      <c r="D22" t="s">
        <v>973</v>
      </c>
      <c r="E22" t="s">
        <v>973</v>
      </c>
      <c r="F22" t="s">
        <v>973</v>
      </c>
      <c r="G22" t="s">
        <v>974</v>
      </c>
      <c r="H22" t="s">
        <v>974</v>
      </c>
      <c r="I22" t="s">
        <v>974</v>
      </c>
      <c r="J22" t="s">
        <v>975</v>
      </c>
      <c r="K22" t="s">
        <v>975</v>
      </c>
      <c r="L22" t="s">
        <v>976</v>
      </c>
      <c r="M22" t="s">
        <v>976</v>
      </c>
      <c r="N22" t="s">
        <v>976</v>
      </c>
      <c r="O22" t="s">
        <v>976</v>
      </c>
      <c r="P22" t="s">
        <v>977</v>
      </c>
      <c r="Q22">
        <f t="shared" si="5"/>
        <v>3.9</v>
      </c>
      <c r="R22">
        <f t="shared" si="5"/>
        <v>3.9</v>
      </c>
      <c r="S22">
        <f t="shared" si="5"/>
        <v>3.9</v>
      </c>
      <c r="T22">
        <f t="shared" si="5"/>
        <v>4</v>
      </c>
      <c r="U22">
        <f t="shared" si="5"/>
        <v>4</v>
      </c>
      <c r="V22">
        <f t="shared" si="5"/>
        <v>4</v>
      </c>
      <c r="W22">
        <f t="shared" si="5"/>
        <v>4.2</v>
      </c>
      <c r="X22">
        <f t="shared" si="5"/>
        <v>4.2</v>
      </c>
      <c r="Y22">
        <f t="shared" si="5"/>
        <v>4.3</v>
      </c>
      <c r="Z22">
        <f t="shared" si="5"/>
        <v>4.3</v>
      </c>
      <c r="AA22">
        <f t="shared" si="4"/>
        <v>4.3</v>
      </c>
      <c r="AB22">
        <f t="shared" si="4"/>
        <v>4.3</v>
      </c>
      <c r="AC22">
        <f t="shared" si="4"/>
        <v>4.0999999999999996</v>
      </c>
    </row>
    <row r="23" spans="3:29" x14ac:dyDescent="0.25">
      <c r="C23">
        <v>1979</v>
      </c>
      <c r="D23" t="s">
        <v>978</v>
      </c>
      <c r="E23" t="s">
        <v>978</v>
      </c>
      <c r="F23" t="s">
        <v>979</v>
      </c>
      <c r="G23" t="s">
        <v>979</v>
      </c>
      <c r="H23" t="s">
        <v>979</v>
      </c>
      <c r="I23" t="s">
        <v>980</v>
      </c>
      <c r="J23" t="s">
        <v>981</v>
      </c>
      <c r="K23" t="s">
        <v>981</v>
      </c>
      <c r="L23" t="s">
        <v>982</v>
      </c>
      <c r="M23" t="s">
        <v>982</v>
      </c>
      <c r="N23" t="s">
        <v>982</v>
      </c>
      <c r="O23" t="s">
        <v>983</v>
      </c>
      <c r="P23" t="s">
        <v>984</v>
      </c>
      <c r="Q23">
        <f t="shared" si="5"/>
        <v>4.4000000000000004</v>
      </c>
      <c r="R23">
        <f t="shared" si="5"/>
        <v>4.4000000000000004</v>
      </c>
      <c r="S23">
        <f t="shared" si="5"/>
        <v>4.5</v>
      </c>
      <c r="T23">
        <f t="shared" si="5"/>
        <v>4.5</v>
      </c>
      <c r="U23">
        <f t="shared" si="5"/>
        <v>4.5</v>
      </c>
      <c r="V23">
        <f t="shared" si="5"/>
        <v>4.5999999999999996</v>
      </c>
      <c r="W23">
        <f t="shared" si="5"/>
        <v>4.8</v>
      </c>
      <c r="X23">
        <f t="shared" si="5"/>
        <v>4.8</v>
      </c>
      <c r="Y23">
        <f t="shared" si="5"/>
        <v>4.9000000000000004</v>
      </c>
      <c r="Z23">
        <f t="shared" si="5"/>
        <v>4.9000000000000004</v>
      </c>
      <c r="AA23">
        <f t="shared" si="4"/>
        <v>4.9000000000000004</v>
      </c>
      <c r="AB23">
        <f t="shared" si="4"/>
        <v>5</v>
      </c>
      <c r="AC23">
        <f t="shared" si="4"/>
        <v>4.7</v>
      </c>
    </row>
    <row r="24" spans="3:29" x14ac:dyDescent="0.25">
      <c r="C24">
        <v>1980</v>
      </c>
      <c r="D24" t="s">
        <v>983</v>
      </c>
      <c r="E24" t="s">
        <v>985</v>
      </c>
      <c r="F24" t="s">
        <v>985</v>
      </c>
      <c r="G24" t="s">
        <v>985</v>
      </c>
      <c r="H24" t="s">
        <v>986</v>
      </c>
      <c r="I24" t="s">
        <v>987</v>
      </c>
      <c r="J24" t="s">
        <v>988</v>
      </c>
      <c r="K24" t="s">
        <v>988</v>
      </c>
      <c r="L24" t="s">
        <v>989</v>
      </c>
      <c r="M24" t="s">
        <v>990</v>
      </c>
      <c r="N24" t="s">
        <v>990</v>
      </c>
      <c r="O24" t="s">
        <v>991</v>
      </c>
      <c r="P24" t="s">
        <v>988</v>
      </c>
      <c r="Q24">
        <f t="shared" si="5"/>
        <v>5</v>
      </c>
      <c r="R24">
        <f t="shared" si="5"/>
        <v>5.0999999999999996</v>
      </c>
      <c r="S24">
        <f t="shared" si="5"/>
        <v>5.0999999999999996</v>
      </c>
      <c r="T24">
        <f t="shared" si="5"/>
        <v>5.0999999999999996</v>
      </c>
      <c r="U24">
        <f t="shared" si="5"/>
        <v>5.2</v>
      </c>
      <c r="V24">
        <f t="shared" si="5"/>
        <v>5.3</v>
      </c>
      <c r="W24">
        <f t="shared" si="5"/>
        <v>5.4</v>
      </c>
      <c r="X24">
        <f t="shared" si="5"/>
        <v>5.4</v>
      </c>
      <c r="Y24">
        <f t="shared" si="5"/>
        <v>5.5</v>
      </c>
      <c r="Z24">
        <f t="shared" si="5"/>
        <v>5.7</v>
      </c>
      <c r="AA24">
        <f t="shared" si="4"/>
        <v>5.7</v>
      </c>
      <c r="AB24">
        <f t="shared" si="4"/>
        <v>5.8</v>
      </c>
      <c r="AC24">
        <f t="shared" si="4"/>
        <v>5.4</v>
      </c>
    </row>
    <row r="25" spans="3:29" x14ac:dyDescent="0.25">
      <c r="C25">
        <v>1981</v>
      </c>
      <c r="D25" t="s">
        <v>991</v>
      </c>
      <c r="E25" t="s">
        <v>992</v>
      </c>
      <c r="F25" t="s">
        <v>992</v>
      </c>
      <c r="G25" t="s">
        <v>992</v>
      </c>
      <c r="H25" t="s">
        <v>993</v>
      </c>
      <c r="I25" t="s">
        <v>994</v>
      </c>
      <c r="J25" t="s">
        <v>995</v>
      </c>
      <c r="K25" t="s">
        <v>996</v>
      </c>
      <c r="L25" t="s">
        <v>997</v>
      </c>
      <c r="M25" t="s">
        <v>997</v>
      </c>
      <c r="N25" t="s">
        <v>998</v>
      </c>
      <c r="O25" t="s">
        <v>998</v>
      </c>
      <c r="P25" t="s">
        <v>995</v>
      </c>
      <c r="Q25">
        <f t="shared" si="5"/>
        <v>5.8</v>
      </c>
      <c r="R25">
        <f t="shared" si="5"/>
        <v>5.9</v>
      </c>
      <c r="S25">
        <f t="shared" si="5"/>
        <v>5.9</v>
      </c>
      <c r="T25">
        <f t="shared" si="5"/>
        <v>5.9</v>
      </c>
      <c r="U25">
        <f t="shared" si="5"/>
        <v>6</v>
      </c>
      <c r="V25">
        <f t="shared" si="5"/>
        <v>6.1</v>
      </c>
      <c r="W25">
        <f t="shared" si="5"/>
        <v>6.2</v>
      </c>
      <c r="X25">
        <f t="shared" si="5"/>
        <v>6.3</v>
      </c>
      <c r="Y25">
        <f t="shared" si="5"/>
        <v>6.5</v>
      </c>
      <c r="Z25">
        <f t="shared" si="5"/>
        <v>6.5</v>
      </c>
      <c r="AA25">
        <f t="shared" si="4"/>
        <v>6.6</v>
      </c>
      <c r="AB25">
        <f t="shared" si="4"/>
        <v>6.6</v>
      </c>
      <c r="AC25">
        <f t="shared" si="4"/>
        <v>6.2</v>
      </c>
    </row>
    <row r="26" spans="3:29" x14ac:dyDescent="0.25">
      <c r="C26">
        <v>1982</v>
      </c>
      <c r="D26" t="s">
        <v>998</v>
      </c>
      <c r="E26" t="s">
        <v>999</v>
      </c>
      <c r="F26" t="s">
        <v>1000</v>
      </c>
      <c r="G26" t="s">
        <v>1000</v>
      </c>
      <c r="H26" t="s">
        <v>1001</v>
      </c>
      <c r="I26" t="s">
        <v>1001</v>
      </c>
      <c r="J26" t="s">
        <v>1002</v>
      </c>
      <c r="K26" t="s">
        <v>1003</v>
      </c>
      <c r="L26" t="s">
        <v>1004</v>
      </c>
      <c r="M26" t="s">
        <v>1005</v>
      </c>
      <c r="N26" t="s">
        <v>1006</v>
      </c>
      <c r="O26" t="s">
        <v>1006</v>
      </c>
      <c r="P26" t="s">
        <v>1002</v>
      </c>
      <c r="Q26">
        <f t="shared" si="5"/>
        <v>6.6</v>
      </c>
      <c r="R26">
        <f t="shared" si="5"/>
        <v>6.7</v>
      </c>
      <c r="S26">
        <f t="shared" si="5"/>
        <v>6.9</v>
      </c>
      <c r="T26">
        <f t="shared" si="5"/>
        <v>6.9</v>
      </c>
      <c r="U26">
        <f t="shared" si="5"/>
        <v>7</v>
      </c>
      <c r="V26">
        <f t="shared" si="5"/>
        <v>7</v>
      </c>
      <c r="W26">
        <f t="shared" si="5"/>
        <v>7.1</v>
      </c>
      <c r="X26">
        <f t="shared" si="5"/>
        <v>7.2</v>
      </c>
      <c r="Y26">
        <f t="shared" si="5"/>
        <v>7.3</v>
      </c>
      <c r="Z26">
        <f t="shared" si="5"/>
        <v>7.4</v>
      </c>
      <c r="AA26">
        <f t="shared" si="4"/>
        <v>7.5</v>
      </c>
      <c r="AB26">
        <f t="shared" si="4"/>
        <v>7.5</v>
      </c>
      <c r="AC26">
        <f t="shared" si="4"/>
        <v>7.1</v>
      </c>
    </row>
    <row r="27" spans="3:29" x14ac:dyDescent="0.25">
      <c r="C27">
        <v>1983</v>
      </c>
      <c r="D27" t="s">
        <v>1006</v>
      </c>
      <c r="E27" t="s">
        <v>1007</v>
      </c>
      <c r="F27" t="s">
        <v>1007</v>
      </c>
      <c r="G27" t="s">
        <v>1008</v>
      </c>
      <c r="H27" t="s">
        <v>1009</v>
      </c>
      <c r="I27" t="s">
        <v>1009</v>
      </c>
      <c r="J27" t="s">
        <v>1010</v>
      </c>
      <c r="K27" t="s">
        <v>1011</v>
      </c>
      <c r="L27" t="s">
        <v>1011</v>
      </c>
      <c r="M27" t="s">
        <v>1012</v>
      </c>
      <c r="N27" t="s">
        <v>1013</v>
      </c>
      <c r="O27" t="s">
        <v>1013</v>
      </c>
      <c r="P27" t="s">
        <v>1010</v>
      </c>
      <c r="Q27">
        <f t="shared" si="5"/>
        <v>7.5</v>
      </c>
      <c r="R27">
        <f t="shared" si="5"/>
        <v>7.7</v>
      </c>
      <c r="S27">
        <f t="shared" si="5"/>
        <v>7.7</v>
      </c>
      <c r="T27">
        <f t="shared" si="5"/>
        <v>7.8</v>
      </c>
      <c r="U27">
        <f t="shared" si="5"/>
        <v>7.9</v>
      </c>
      <c r="V27">
        <f t="shared" si="5"/>
        <v>7.9</v>
      </c>
      <c r="W27">
        <f t="shared" si="5"/>
        <v>8</v>
      </c>
      <c r="X27">
        <f t="shared" si="5"/>
        <v>8.1</v>
      </c>
      <c r="Y27">
        <f t="shared" si="5"/>
        <v>8.1</v>
      </c>
      <c r="Z27">
        <f t="shared" si="5"/>
        <v>8.1999999999999993</v>
      </c>
      <c r="AA27">
        <f t="shared" si="4"/>
        <v>8.3000000000000007</v>
      </c>
      <c r="AB27">
        <f t="shared" si="4"/>
        <v>8.3000000000000007</v>
      </c>
      <c r="AC27">
        <f t="shared" si="4"/>
        <v>8</v>
      </c>
    </row>
    <row r="28" spans="3:29" x14ac:dyDescent="0.25">
      <c r="C28">
        <v>1984</v>
      </c>
      <c r="D28" t="s">
        <v>1014</v>
      </c>
      <c r="E28" t="s">
        <v>1014</v>
      </c>
      <c r="F28" t="s">
        <v>1015</v>
      </c>
      <c r="G28" t="s">
        <v>1016</v>
      </c>
      <c r="H28" t="s">
        <v>1017</v>
      </c>
      <c r="I28" t="s">
        <v>1017</v>
      </c>
      <c r="J28" t="s">
        <v>1018</v>
      </c>
      <c r="K28" t="s">
        <v>1019</v>
      </c>
      <c r="L28" t="s">
        <v>1020</v>
      </c>
      <c r="M28" t="s">
        <v>1021</v>
      </c>
      <c r="N28" t="s">
        <v>1022</v>
      </c>
      <c r="O28" t="s">
        <v>1023</v>
      </c>
      <c r="P28" t="s">
        <v>1018</v>
      </c>
      <c r="Q28">
        <f t="shared" si="5"/>
        <v>8.4</v>
      </c>
      <c r="R28">
        <f t="shared" si="5"/>
        <v>8.4</v>
      </c>
      <c r="S28">
        <f t="shared" si="5"/>
        <v>8.5</v>
      </c>
      <c r="T28">
        <f t="shared" si="5"/>
        <v>8.6999999999999993</v>
      </c>
      <c r="U28">
        <f t="shared" si="5"/>
        <v>8.8000000000000007</v>
      </c>
      <c r="V28">
        <f t="shared" si="5"/>
        <v>8.8000000000000007</v>
      </c>
      <c r="W28">
        <f t="shared" si="5"/>
        <v>8.9</v>
      </c>
      <c r="X28">
        <f t="shared" si="5"/>
        <v>9</v>
      </c>
      <c r="Y28">
        <f t="shared" si="5"/>
        <v>9.1</v>
      </c>
      <c r="Z28">
        <f t="shared" si="5"/>
        <v>9.1999999999999993</v>
      </c>
      <c r="AA28">
        <f t="shared" si="4"/>
        <v>9.3000000000000007</v>
      </c>
      <c r="AB28">
        <f t="shared" si="4"/>
        <v>9.4</v>
      </c>
      <c r="AC28">
        <f t="shared" si="4"/>
        <v>8.9</v>
      </c>
    </row>
    <row r="29" spans="3:29" x14ac:dyDescent="0.25">
      <c r="C29">
        <v>1985</v>
      </c>
      <c r="D29" t="s">
        <v>1024</v>
      </c>
      <c r="E29" t="s">
        <v>1025</v>
      </c>
      <c r="F29" t="s">
        <v>1025</v>
      </c>
      <c r="G29" t="s">
        <v>1026</v>
      </c>
      <c r="H29" t="s">
        <v>1027</v>
      </c>
      <c r="I29" t="s">
        <v>1028</v>
      </c>
      <c r="J29" t="s">
        <v>1028</v>
      </c>
      <c r="K29" t="s">
        <v>1029</v>
      </c>
      <c r="L29" t="s">
        <v>1030</v>
      </c>
      <c r="M29" t="s">
        <v>1031</v>
      </c>
      <c r="N29" t="s">
        <v>1032</v>
      </c>
      <c r="O29" t="s">
        <v>1033</v>
      </c>
      <c r="P29" t="s">
        <v>1028</v>
      </c>
      <c r="Q29">
        <f t="shared" si="5"/>
        <v>9.5</v>
      </c>
      <c r="R29">
        <f t="shared" si="5"/>
        <v>9.8000000000000007</v>
      </c>
      <c r="S29">
        <f t="shared" si="5"/>
        <v>9.8000000000000007</v>
      </c>
      <c r="T29">
        <f t="shared" si="5"/>
        <v>10.1</v>
      </c>
      <c r="U29">
        <f t="shared" si="5"/>
        <v>10.199999999999999</v>
      </c>
      <c r="V29">
        <f t="shared" si="5"/>
        <v>10.3</v>
      </c>
      <c r="W29">
        <f t="shared" si="5"/>
        <v>10.3</v>
      </c>
      <c r="X29">
        <f t="shared" si="5"/>
        <v>10.5</v>
      </c>
      <c r="Y29">
        <f t="shared" si="5"/>
        <v>10.6</v>
      </c>
      <c r="Z29">
        <f t="shared" si="5"/>
        <v>10.7</v>
      </c>
      <c r="AA29">
        <f t="shared" si="4"/>
        <v>10.9</v>
      </c>
      <c r="AB29">
        <f t="shared" si="4"/>
        <v>11.1</v>
      </c>
      <c r="AC29">
        <f t="shared" si="4"/>
        <v>10.3</v>
      </c>
    </row>
    <row r="30" spans="3:29" x14ac:dyDescent="0.25">
      <c r="C30">
        <v>1986</v>
      </c>
      <c r="D30" t="s">
        <v>1034</v>
      </c>
      <c r="E30" t="s">
        <v>1035</v>
      </c>
      <c r="F30" t="s">
        <v>1036</v>
      </c>
      <c r="G30" t="s">
        <v>1037</v>
      </c>
      <c r="H30" t="s">
        <v>1037</v>
      </c>
      <c r="I30" t="s">
        <v>1038</v>
      </c>
      <c r="J30" t="s">
        <v>1039</v>
      </c>
      <c r="K30" t="s">
        <v>1040</v>
      </c>
      <c r="L30" t="s">
        <v>1041</v>
      </c>
      <c r="M30" t="s">
        <v>1042</v>
      </c>
      <c r="N30" t="s">
        <v>1043</v>
      </c>
      <c r="O30" t="s">
        <v>1044</v>
      </c>
      <c r="P30" t="s">
        <v>1039</v>
      </c>
      <c r="Q30">
        <f t="shared" si="5"/>
        <v>11.4</v>
      </c>
      <c r="R30">
        <f t="shared" si="5"/>
        <v>11.5</v>
      </c>
      <c r="S30">
        <f t="shared" si="5"/>
        <v>11.7</v>
      </c>
      <c r="T30">
        <f t="shared" si="5"/>
        <v>11.9</v>
      </c>
      <c r="U30">
        <f t="shared" si="5"/>
        <v>11.9</v>
      </c>
      <c r="V30">
        <f t="shared" si="5"/>
        <v>12.1</v>
      </c>
      <c r="W30">
        <f t="shared" si="5"/>
        <v>12.3</v>
      </c>
      <c r="X30">
        <f t="shared" si="5"/>
        <v>12.5</v>
      </c>
      <c r="Y30">
        <f t="shared" si="5"/>
        <v>12.7</v>
      </c>
      <c r="Z30">
        <f t="shared" si="5"/>
        <v>12.9</v>
      </c>
      <c r="AA30">
        <f t="shared" si="4"/>
        <v>13</v>
      </c>
      <c r="AB30">
        <f t="shared" si="4"/>
        <v>13.1</v>
      </c>
      <c r="AC30">
        <f t="shared" si="4"/>
        <v>12.3</v>
      </c>
    </row>
    <row r="31" spans="3:29" x14ac:dyDescent="0.25">
      <c r="C31">
        <v>1987</v>
      </c>
      <c r="D31" t="s">
        <v>1045</v>
      </c>
      <c r="E31" t="s">
        <v>1046</v>
      </c>
      <c r="F31" t="s">
        <v>1047</v>
      </c>
      <c r="G31" t="s">
        <v>1048</v>
      </c>
      <c r="H31" t="s">
        <v>1049</v>
      </c>
      <c r="I31" t="s">
        <v>1050</v>
      </c>
      <c r="J31" t="s">
        <v>1051</v>
      </c>
      <c r="K31" t="s">
        <v>1052</v>
      </c>
      <c r="L31" t="s">
        <v>1053</v>
      </c>
      <c r="M31" t="s">
        <v>1054</v>
      </c>
      <c r="N31" t="s">
        <v>1055</v>
      </c>
      <c r="O31" t="s">
        <v>1056</v>
      </c>
      <c r="P31" t="s">
        <v>1051</v>
      </c>
      <c r="Q31">
        <f t="shared" si="5"/>
        <v>13.3</v>
      </c>
      <c r="R31">
        <f t="shared" si="5"/>
        <v>13.5</v>
      </c>
      <c r="S31">
        <f t="shared" si="5"/>
        <v>13.7</v>
      </c>
      <c r="T31">
        <f t="shared" si="5"/>
        <v>13.9</v>
      </c>
      <c r="U31">
        <f t="shared" si="5"/>
        <v>14</v>
      </c>
      <c r="V31">
        <f t="shared" si="5"/>
        <v>14.1</v>
      </c>
      <c r="W31">
        <f t="shared" si="5"/>
        <v>14.2</v>
      </c>
      <c r="X31">
        <f t="shared" si="5"/>
        <v>14.4</v>
      </c>
      <c r="Y31">
        <f t="shared" si="5"/>
        <v>14.7</v>
      </c>
      <c r="Z31">
        <f t="shared" si="5"/>
        <v>14.8</v>
      </c>
      <c r="AA31">
        <f t="shared" si="4"/>
        <v>15</v>
      </c>
      <c r="AB31">
        <f t="shared" si="4"/>
        <v>15.1</v>
      </c>
      <c r="AC31">
        <f t="shared" si="4"/>
        <v>14.2</v>
      </c>
    </row>
    <row r="32" spans="3:29" x14ac:dyDescent="0.25">
      <c r="C32">
        <v>1988</v>
      </c>
      <c r="D32" t="s">
        <v>1057</v>
      </c>
      <c r="E32" t="s">
        <v>1057</v>
      </c>
      <c r="F32" t="s">
        <v>1058</v>
      </c>
      <c r="G32" t="s">
        <v>1059</v>
      </c>
      <c r="H32" t="s">
        <v>1060</v>
      </c>
      <c r="I32" t="s">
        <v>1061</v>
      </c>
      <c r="J32" t="s">
        <v>1062</v>
      </c>
      <c r="K32" t="s">
        <v>1063</v>
      </c>
      <c r="L32" t="s">
        <v>1064</v>
      </c>
      <c r="M32" t="s">
        <v>1065</v>
      </c>
      <c r="N32" t="s">
        <v>1066</v>
      </c>
      <c r="O32" t="s">
        <v>1067</v>
      </c>
      <c r="P32" t="s">
        <v>1062</v>
      </c>
      <c r="Q32">
        <f t="shared" si="5"/>
        <v>15.2</v>
      </c>
      <c r="R32">
        <f t="shared" si="5"/>
        <v>15.2</v>
      </c>
      <c r="S32">
        <f t="shared" si="5"/>
        <v>15.5</v>
      </c>
      <c r="T32">
        <f t="shared" si="5"/>
        <v>15.6</v>
      </c>
      <c r="U32">
        <f t="shared" si="5"/>
        <v>15.8</v>
      </c>
      <c r="V32">
        <f t="shared" si="5"/>
        <v>15.9</v>
      </c>
      <c r="W32">
        <f t="shared" si="5"/>
        <v>16.100000000000001</v>
      </c>
      <c r="X32">
        <f t="shared" si="5"/>
        <v>16.3</v>
      </c>
      <c r="Y32">
        <f t="shared" si="5"/>
        <v>16.5</v>
      </c>
      <c r="Z32">
        <f t="shared" si="5"/>
        <v>16.7</v>
      </c>
      <c r="AA32">
        <f t="shared" si="4"/>
        <v>16.8</v>
      </c>
      <c r="AB32">
        <f t="shared" si="4"/>
        <v>17</v>
      </c>
      <c r="AC32">
        <f t="shared" si="4"/>
        <v>16.100000000000001</v>
      </c>
    </row>
    <row r="33" spans="3:29" x14ac:dyDescent="0.25">
      <c r="C33">
        <v>1989</v>
      </c>
      <c r="D33" t="s">
        <v>1068</v>
      </c>
      <c r="E33" t="s">
        <v>1069</v>
      </c>
      <c r="F33" t="s">
        <v>1070</v>
      </c>
      <c r="G33" t="s">
        <v>1071</v>
      </c>
      <c r="H33" t="s">
        <v>1072</v>
      </c>
      <c r="I33" t="s">
        <v>1073</v>
      </c>
      <c r="J33" t="s">
        <v>1074</v>
      </c>
      <c r="K33" t="s">
        <v>1075</v>
      </c>
      <c r="L33" t="s">
        <v>1076</v>
      </c>
      <c r="M33" t="s">
        <v>1077</v>
      </c>
      <c r="N33" t="s">
        <v>1078</v>
      </c>
      <c r="O33" t="s">
        <v>1079</v>
      </c>
      <c r="P33" t="s">
        <v>1080</v>
      </c>
      <c r="Q33">
        <f t="shared" si="5"/>
        <v>17.2</v>
      </c>
      <c r="R33">
        <f t="shared" si="5"/>
        <v>17.399999999999999</v>
      </c>
      <c r="S33">
        <f t="shared" si="5"/>
        <v>17.7</v>
      </c>
      <c r="T33">
        <f t="shared" si="5"/>
        <v>17.899999999999999</v>
      </c>
      <c r="U33">
        <f t="shared" si="5"/>
        <v>18.2</v>
      </c>
      <c r="V33">
        <f t="shared" si="5"/>
        <v>18.3</v>
      </c>
      <c r="W33">
        <f t="shared" si="5"/>
        <v>18.5</v>
      </c>
      <c r="X33">
        <f t="shared" si="5"/>
        <v>18.8</v>
      </c>
      <c r="Y33">
        <f t="shared" si="5"/>
        <v>18.899999999999999</v>
      </c>
      <c r="Z33">
        <f t="shared" si="5"/>
        <v>19.100000000000001</v>
      </c>
      <c r="AA33">
        <f t="shared" si="4"/>
        <v>19.3</v>
      </c>
      <c r="AB33">
        <f t="shared" si="4"/>
        <v>19.600000000000001</v>
      </c>
      <c r="AC33">
        <f t="shared" si="4"/>
        <v>18.399999999999999</v>
      </c>
    </row>
    <row r="34" spans="3:29" x14ac:dyDescent="0.25">
      <c r="C34">
        <v>1990</v>
      </c>
      <c r="D34" t="s">
        <v>1081</v>
      </c>
      <c r="E34" t="s">
        <v>1082</v>
      </c>
      <c r="F34" t="s">
        <v>1083</v>
      </c>
      <c r="G34" t="s">
        <v>1084</v>
      </c>
      <c r="H34" t="s">
        <v>1085</v>
      </c>
      <c r="I34" t="s">
        <v>1086</v>
      </c>
      <c r="J34" t="s">
        <v>1087</v>
      </c>
      <c r="K34" t="s">
        <v>1088</v>
      </c>
      <c r="L34" t="s">
        <v>1089</v>
      </c>
      <c r="M34" t="s">
        <v>1090</v>
      </c>
      <c r="N34" t="s">
        <v>1091</v>
      </c>
      <c r="O34" t="s">
        <v>1092</v>
      </c>
      <c r="P34" t="s">
        <v>1087</v>
      </c>
      <c r="Q34">
        <f t="shared" si="5"/>
        <v>19.8</v>
      </c>
      <c r="R34">
        <f t="shared" si="5"/>
        <v>20</v>
      </c>
      <c r="S34">
        <f t="shared" si="5"/>
        <v>20.3</v>
      </c>
      <c r="T34">
        <f t="shared" si="5"/>
        <v>20.399999999999999</v>
      </c>
      <c r="U34">
        <f t="shared" si="5"/>
        <v>20.7</v>
      </c>
      <c r="V34">
        <f t="shared" si="5"/>
        <v>20.8</v>
      </c>
      <c r="W34">
        <f t="shared" si="5"/>
        <v>21</v>
      </c>
      <c r="X34">
        <f t="shared" si="5"/>
        <v>21.3</v>
      </c>
      <c r="Y34">
        <f t="shared" si="5"/>
        <v>21.6</v>
      </c>
      <c r="Z34">
        <f t="shared" si="5"/>
        <v>21.8</v>
      </c>
      <c r="AA34">
        <f t="shared" si="4"/>
        <v>22.3</v>
      </c>
      <c r="AB34">
        <f t="shared" si="4"/>
        <v>22.4</v>
      </c>
      <c r="AC34">
        <f t="shared" si="4"/>
        <v>21</v>
      </c>
    </row>
    <row r="35" spans="3:29" x14ac:dyDescent="0.25">
      <c r="C35">
        <v>1991</v>
      </c>
      <c r="D35" t="s">
        <v>1093</v>
      </c>
      <c r="E35" t="s">
        <v>1094</v>
      </c>
      <c r="F35" t="s">
        <v>1095</v>
      </c>
      <c r="G35" t="s">
        <v>1096</v>
      </c>
      <c r="H35" t="s">
        <v>1097</v>
      </c>
      <c r="I35" t="s">
        <v>1098</v>
      </c>
      <c r="J35" t="s">
        <v>1099</v>
      </c>
      <c r="K35" t="s">
        <v>1100</v>
      </c>
      <c r="L35" t="s">
        <v>1101</v>
      </c>
      <c r="M35" t="s">
        <v>1102</v>
      </c>
      <c r="N35" t="s">
        <v>1103</v>
      </c>
      <c r="O35" t="s">
        <v>1104</v>
      </c>
      <c r="P35" t="s">
        <v>1099</v>
      </c>
      <c r="Q35">
        <f t="shared" si="5"/>
        <v>22.7</v>
      </c>
      <c r="R35">
        <f t="shared" si="5"/>
        <v>23</v>
      </c>
      <c r="S35">
        <f t="shared" si="5"/>
        <v>23.1</v>
      </c>
      <c r="T35">
        <f t="shared" si="5"/>
        <v>23.5</v>
      </c>
      <c r="U35">
        <f t="shared" si="5"/>
        <v>23.8</v>
      </c>
      <c r="V35">
        <f t="shared" si="5"/>
        <v>24</v>
      </c>
      <c r="W35">
        <f t="shared" si="5"/>
        <v>24.3</v>
      </c>
      <c r="X35">
        <f t="shared" si="5"/>
        <v>24.6</v>
      </c>
      <c r="Y35">
        <f t="shared" si="5"/>
        <v>25</v>
      </c>
      <c r="Z35">
        <f t="shared" si="5"/>
        <v>25.4</v>
      </c>
      <c r="AA35">
        <f t="shared" si="4"/>
        <v>25.7</v>
      </c>
      <c r="AB35">
        <f t="shared" si="4"/>
        <v>26</v>
      </c>
      <c r="AC35">
        <f t="shared" si="4"/>
        <v>24.3</v>
      </c>
    </row>
    <row r="36" spans="3:29" x14ac:dyDescent="0.25">
      <c r="C36">
        <v>1992</v>
      </c>
      <c r="D36" t="s">
        <v>1105</v>
      </c>
      <c r="E36" t="s">
        <v>1106</v>
      </c>
      <c r="F36" t="s">
        <v>1107</v>
      </c>
      <c r="G36" t="s">
        <v>1108</v>
      </c>
      <c r="H36" t="s">
        <v>1109</v>
      </c>
      <c r="I36" t="s">
        <v>1110</v>
      </c>
      <c r="J36" t="s">
        <v>1111</v>
      </c>
      <c r="K36" t="s">
        <v>1112</v>
      </c>
      <c r="L36" t="s">
        <v>1113</v>
      </c>
      <c r="M36" t="s">
        <v>1114</v>
      </c>
      <c r="N36" t="s">
        <v>1115</v>
      </c>
      <c r="O36" t="s">
        <v>1115</v>
      </c>
      <c r="P36" t="s">
        <v>1116</v>
      </c>
      <c r="Q36">
        <f t="shared" si="5"/>
        <v>26.4</v>
      </c>
      <c r="R36">
        <f t="shared" si="5"/>
        <v>26.6</v>
      </c>
      <c r="S36">
        <f t="shared" si="5"/>
        <v>26.8</v>
      </c>
      <c r="T36">
        <f t="shared" si="5"/>
        <v>27.2</v>
      </c>
      <c r="U36">
        <f t="shared" si="5"/>
        <v>27.3</v>
      </c>
      <c r="V36">
        <f t="shared" si="5"/>
        <v>27.6</v>
      </c>
      <c r="W36">
        <f t="shared" si="5"/>
        <v>27.9</v>
      </c>
      <c r="X36">
        <f t="shared" si="5"/>
        <v>28.2</v>
      </c>
      <c r="Y36">
        <f t="shared" si="5"/>
        <v>28.3</v>
      </c>
      <c r="Z36">
        <f t="shared" si="5"/>
        <v>28.4</v>
      </c>
      <c r="AA36">
        <f t="shared" si="4"/>
        <v>28.6</v>
      </c>
      <c r="AB36">
        <f t="shared" si="4"/>
        <v>28.6</v>
      </c>
      <c r="AC36">
        <f t="shared" si="4"/>
        <v>27.7</v>
      </c>
    </row>
    <row r="37" spans="3:29" x14ac:dyDescent="0.25">
      <c r="C37">
        <v>1993</v>
      </c>
      <c r="D37" t="s">
        <v>1117</v>
      </c>
      <c r="E37" t="s">
        <v>1118</v>
      </c>
      <c r="F37" t="s">
        <v>1119</v>
      </c>
      <c r="G37" t="s">
        <v>1120</v>
      </c>
      <c r="H37" t="s">
        <v>1121</v>
      </c>
      <c r="I37" t="s">
        <v>1122</v>
      </c>
      <c r="J37" t="s">
        <v>1123</v>
      </c>
      <c r="K37" t="s">
        <v>1124</v>
      </c>
      <c r="L37" t="s">
        <v>1125</v>
      </c>
      <c r="M37" t="s">
        <v>1126</v>
      </c>
      <c r="N37" t="s">
        <v>1127</v>
      </c>
      <c r="O37" t="s">
        <v>1128</v>
      </c>
      <c r="P37" t="s">
        <v>1129</v>
      </c>
      <c r="Q37">
        <f t="shared" si="5"/>
        <v>28.9</v>
      </c>
      <c r="R37">
        <f t="shared" si="5"/>
        <v>29</v>
      </c>
      <c r="S37">
        <f t="shared" si="5"/>
        <v>29.4</v>
      </c>
      <c r="T37">
        <f t="shared" si="5"/>
        <v>30.1</v>
      </c>
      <c r="U37">
        <f t="shared" si="5"/>
        <v>30.2</v>
      </c>
      <c r="V37">
        <f t="shared" si="5"/>
        <v>30.4</v>
      </c>
      <c r="W37">
        <f t="shared" si="5"/>
        <v>30.6</v>
      </c>
      <c r="X37">
        <f t="shared" si="5"/>
        <v>30.8</v>
      </c>
      <c r="Y37">
        <f t="shared" si="5"/>
        <v>30.9</v>
      </c>
      <c r="Z37">
        <f t="shared" si="5"/>
        <v>31.1</v>
      </c>
      <c r="AA37">
        <f t="shared" si="4"/>
        <v>31.2</v>
      </c>
      <c r="AB37">
        <f t="shared" si="4"/>
        <v>31.3</v>
      </c>
      <c r="AC37">
        <f t="shared" si="4"/>
        <v>30.3</v>
      </c>
    </row>
    <row r="38" spans="3:29" x14ac:dyDescent="0.25">
      <c r="C38">
        <v>1994</v>
      </c>
      <c r="D38" t="s">
        <v>1130</v>
      </c>
      <c r="E38" t="s">
        <v>1131</v>
      </c>
      <c r="F38" t="s">
        <v>1132</v>
      </c>
      <c r="G38" t="s">
        <v>1133</v>
      </c>
      <c r="H38" t="s">
        <v>1134</v>
      </c>
      <c r="I38" t="s">
        <v>1135</v>
      </c>
      <c r="J38" t="s">
        <v>1136</v>
      </c>
      <c r="K38" t="s">
        <v>1137</v>
      </c>
      <c r="L38" t="s">
        <v>1138</v>
      </c>
      <c r="M38" t="s">
        <v>1139</v>
      </c>
      <c r="N38" t="s">
        <v>1140</v>
      </c>
      <c r="O38" t="s">
        <v>1140</v>
      </c>
      <c r="P38" t="s">
        <v>1141</v>
      </c>
      <c r="Q38">
        <f t="shared" si="5"/>
        <v>31.7</v>
      </c>
      <c r="R38">
        <f t="shared" si="5"/>
        <v>31.8</v>
      </c>
      <c r="S38">
        <f t="shared" si="5"/>
        <v>32</v>
      </c>
      <c r="T38">
        <f t="shared" si="5"/>
        <v>32.200000000000003</v>
      </c>
      <c r="U38">
        <f t="shared" si="5"/>
        <v>32.4</v>
      </c>
      <c r="V38">
        <f t="shared" si="5"/>
        <v>32.6</v>
      </c>
      <c r="W38">
        <f t="shared" si="5"/>
        <v>33.1</v>
      </c>
      <c r="X38">
        <f t="shared" si="5"/>
        <v>33.6</v>
      </c>
      <c r="Y38">
        <f t="shared" si="5"/>
        <v>34</v>
      </c>
      <c r="Z38">
        <f t="shared" si="5"/>
        <v>34.200000000000003</v>
      </c>
      <c r="AA38">
        <f t="shared" si="4"/>
        <v>34.299999999999997</v>
      </c>
      <c r="AB38">
        <f t="shared" si="4"/>
        <v>34.299999999999997</v>
      </c>
      <c r="AC38">
        <f t="shared" si="4"/>
        <v>33</v>
      </c>
    </row>
    <row r="39" spans="3:29" x14ac:dyDescent="0.25">
      <c r="C39">
        <v>1995</v>
      </c>
      <c r="D39" t="s">
        <v>1142</v>
      </c>
      <c r="E39" t="s">
        <v>1143</v>
      </c>
      <c r="F39" t="s">
        <v>1144</v>
      </c>
      <c r="G39" t="s">
        <v>1145</v>
      </c>
      <c r="H39" t="s">
        <v>1146</v>
      </c>
      <c r="I39" t="s">
        <v>1146</v>
      </c>
      <c r="J39" t="s">
        <v>1147</v>
      </c>
      <c r="K39" t="s">
        <v>1148</v>
      </c>
      <c r="L39" t="s">
        <v>1148</v>
      </c>
      <c r="M39" t="s">
        <v>1149</v>
      </c>
      <c r="N39" t="s">
        <v>1150</v>
      </c>
      <c r="O39" t="s">
        <v>1151</v>
      </c>
      <c r="P39" t="s">
        <v>1146</v>
      </c>
      <c r="Q39">
        <f t="shared" si="5"/>
        <v>34.799999999999997</v>
      </c>
      <c r="R39">
        <f t="shared" si="5"/>
        <v>35</v>
      </c>
      <c r="S39">
        <f t="shared" si="5"/>
        <v>35.4</v>
      </c>
      <c r="T39">
        <f t="shared" si="5"/>
        <v>35.799999999999997</v>
      </c>
      <c r="U39">
        <f t="shared" si="5"/>
        <v>35.9</v>
      </c>
      <c r="V39">
        <f t="shared" si="5"/>
        <v>35.9</v>
      </c>
      <c r="W39">
        <f t="shared" si="5"/>
        <v>36.1</v>
      </c>
      <c r="X39">
        <f t="shared" si="5"/>
        <v>36.200000000000003</v>
      </c>
      <c r="Y39">
        <f t="shared" si="5"/>
        <v>36.200000000000003</v>
      </c>
      <c r="Z39">
        <f t="shared" si="5"/>
        <v>36.299999999999997</v>
      </c>
      <c r="AA39">
        <f t="shared" si="4"/>
        <v>36.5</v>
      </c>
      <c r="AB39">
        <f t="shared" si="4"/>
        <v>36.700000000000003</v>
      </c>
      <c r="AC39">
        <f t="shared" si="4"/>
        <v>35.9</v>
      </c>
    </row>
    <row r="40" spans="3:29" x14ac:dyDescent="0.25">
      <c r="C40">
        <v>1996</v>
      </c>
      <c r="D40" t="s">
        <v>1152</v>
      </c>
      <c r="E40" t="s">
        <v>1153</v>
      </c>
      <c r="F40" t="s">
        <v>1154</v>
      </c>
      <c r="G40" t="s">
        <v>1155</v>
      </c>
      <c r="H40" t="s">
        <v>1156</v>
      </c>
      <c r="I40" t="s">
        <v>1157</v>
      </c>
      <c r="J40" t="s">
        <v>1158</v>
      </c>
      <c r="K40" t="s">
        <v>1159</v>
      </c>
      <c r="L40" t="s">
        <v>1160</v>
      </c>
      <c r="M40" t="s">
        <v>1161</v>
      </c>
      <c r="N40" t="s">
        <v>1162</v>
      </c>
      <c r="O40" t="s">
        <v>1163</v>
      </c>
      <c r="P40" t="s">
        <v>1164</v>
      </c>
      <c r="Q40">
        <f t="shared" si="5"/>
        <v>37.200000000000003</v>
      </c>
      <c r="R40">
        <f t="shared" si="5"/>
        <v>37.299999999999997</v>
      </c>
      <c r="S40">
        <f t="shared" si="5"/>
        <v>37.5</v>
      </c>
      <c r="T40">
        <f t="shared" si="5"/>
        <v>37.799999999999997</v>
      </c>
      <c r="U40">
        <f t="shared" si="5"/>
        <v>38</v>
      </c>
      <c r="V40">
        <f t="shared" si="5"/>
        <v>38.4</v>
      </c>
      <c r="W40">
        <f t="shared" si="5"/>
        <v>38.700000000000003</v>
      </c>
      <c r="X40">
        <f t="shared" si="5"/>
        <v>38.799999999999997</v>
      </c>
      <c r="Y40">
        <f t="shared" si="5"/>
        <v>39.200000000000003</v>
      </c>
      <c r="Z40">
        <f t="shared" si="5"/>
        <v>39.6</v>
      </c>
      <c r="AA40">
        <f t="shared" si="4"/>
        <v>39.799999999999997</v>
      </c>
      <c r="AB40">
        <f t="shared" si="4"/>
        <v>40.200000000000003</v>
      </c>
      <c r="AC40">
        <f t="shared" si="4"/>
        <v>38.5</v>
      </c>
    </row>
    <row r="41" spans="3:29" x14ac:dyDescent="0.25">
      <c r="C41">
        <v>1997</v>
      </c>
      <c r="D41" t="s">
        <v>1165</v>
      </c>
      <c r="E41" t="s">
        <v>1166</v>
      </c>
      <c r="F41" t="s">
        <v>1167</v>
      </c>
      <c r="G41" t="s">
        <v>1168</v>
      </c>
      <c r="H41" t="s">
        <v>1169</v>
      </c>
      <c r="I41" t="s">
        <v>1170</v>
      </c>
      <c r="J41" t="s">
        <v>1171</v>
      </c>
      <c r="K41" t="s">
        <v>1171</v>
      </c>
      <c r="L41" t="s">
        <v>1172</v>
      </c>
      <c r="M41" t="s">
        <v>1173</v>
      </c>
      <c r="N41" t="s">
        <v>1172</v>
      </c>
      <c r="O41" t="s">
        <v>1173</v>
      </c>
      <c r="P41" t="s">
        <v>1174</v>
      </c>
      <c r="Q41">
        <f t="shared" si="5"/>
        <v>40.6</v>
      </c>
      <c r="R41">
        <f t="shared" si="5"/>
        <v>40.9</v>
      </c>
      <c r="S41">
        <f t="shared" si="5"/>
        <v>41.1</v>
      </c>
      <c r="T41">
        <f t="shared" si="5"/>
        <v>41.5</v>
      </c>
      <c r="U41">
        <f t="shared" si="5"/>
        <v>41.7</v>
      </c>
      <c r="V41">
        <f t="shared" si="5"/>
        <v>41.8</v>
      </c>
      <c r="W41">
        <f t="shared" si="5"/>
        <v>42.2</v>
      </c>
      <c r="X41">
        <f t="shared" si="5"/>
        <v>42.2</v>
      </c>
      <c r="Y41">
        <f t="shared" si="5"/>
        <v>42.5</v>
      </c>
      <c r="Z41">
        <f t="shared" si="5"/>
        <v>42.6</v>
      </c>
      <c r="AA41">
        <f t="shared" si="4"/>
        <v>42.5</v>
      </c>
      <c r="AB41">
        <f t="shared" si="4"/>
        <v>42.6</v>
      </c>
      <c r="AC41">
        <f t="shared" si="4"/>
        <v>41.9</v>
      </c>
    </row>
    <row r="42" spans="3:29" x14ac:dyDescent="0.25">
      <c r="C42">
        <v>1998</v>
      </c>
      <c r="D42" t="s">
        <v>1175</v>
      </c>
      <c r="E42" t="s">
        <v>1176</v>
      </c>
      <c r="F42" t="s">
        <v>1177</v>
      </c>
      <c r="G42" t="s">
        <v>1178</v>
      </c>
      <c r="H42" t="s">
        <v>1179</v>
      </c>
      <c r="I42" t="s">
        <v>1180</v>
      </c>
      <c r="J42" t="s">
        <v>1181</v>
      </c>
      <c r="K42" t="s">
        <v>1182</v>
      </c>
      <c r="L42" t="s">
        <v>1183</v>
      </c>
      <c r="M42" t="s">
        <v>1184</v>
      </c>
      <c r="N42" t="s">
        <v>1184</v>
      </c>
      <c r="O42" t="s">
        <v>1184</v>
      </c>
      <c r="P42" t="s">
        <v>1185</v>
      </c>
      <c r="Q42">
        <f t="shared" si="5"/>
        <v>43</v>
      </c>
      <c r="R42">
        <f t="shared" si="5"/>
        <v>43.1</v>
      </c>
      <c r="S42">
        <f t="shared" si="5"/>
        <v>43.4</v>
      </c>
      <c r="T42">
        <f t="shared" si="5"/>
        <v>43.6</v>
      </c>
      <c r="U42">
        <f t="shared" si="5"/>
        <v>43.8</v>
      </c>
      <c r="V42">
        <f t="shared" si="5"/>
        <v>44</v>
      </c>
      <c r="W42">
        <f t="shared" si="5"/>
        <v>45</v>
      </c>
      <c r="X42">
        <f t="shared" si="5"/>
        <v>45.5</v>
      </c>
      <c r="Y42">
        <f t="shared" si="5"/>
        <v>46.3</v>
      </c>
      <c r="Z42">
        <f t="shared" si="5"/>
        <v>46.5</v>
      </c>
      <c r="AA42">
        <f t="shared" si="4"/>
        <v>46.5</v>
      </c>
      <c r="AB42">
        <f t="shared" si="4"/>
        <v>46.5</v>
      </c>
      <c r="AC42">
        <f t="shared" si="4"/>
        <v>44.8</v>
      </c>
    </row>
    <row r="43" spans="3:29" x14ac:dyDescent="0.25">
      <c r="C43">
        <v>1999</v>
      </c>
      <c r="D43" t="s">
        <v>1186</v>
      </c>
      <c r="E43" t="s">
        <v>1186</v>
      </c>
      <c r="F43" t="s">
        <v>1186</v>
      </c>
      <c r="G43" t="s">
        <v>1187</v>
      </c>
      <c r="H43" t="s">
        <v>1187</v>
      </c>
      <c r="I43" t="s">
        <v>1188</v>
      </c>
      <c r="J43" t="s">
        <v>1188</v>
      </c>
      <c r="K43" t="s">
        <v>1189</v>
      </c>
      <c r="L43" t="s">
        <v>1188</v>
      </c>
      <c r="M43" t="s">
        <v>1190</v>
      </c>
      <c r="N43" t="s">
        <v>1191</v>
      </c>
      <c r="O43" t="s">
        <v>1192</v>
      </c>
      <c r="P43" t="s">
        <v>1188</v>
      </c>
      <c r="Q43">
        <f t="shared" si="5"/>
        <v>46.8</v>
      </c>
      <c r="R43">
        <f t="shared" si="5"/>
        <v>46.8</v>
      </c>
      <c r="S43">
        <f t="shared" si="5"/>
        <v>46.8</v>
      </c>
      <c r="T43">
        <f t="shared" si="5"/>
        <v>46.9</v>
      </c>
      <c r="U43">
        <f t="shared" si="5"/>
        <v>46.9</v>
      </c>
      <c r="V43">
        <f t="shared" si="5"/>
        <v>47.1</v>
      </c>
      <c r="W43">
        <f t="shared" si="5"/>
        <v>47.1</v>
      </c>
      <c r="X43">
        <f t="shared" si="5"/>
        <v>47</v>
      </c>
      <c r="Y43">
        <f t="shared" si="5"/>
        <v>47.1</v>
      </c>
      <c r="Z43">
        <f t="shared" si="5"/>
        <v>47.3</v>
      </c>
      <c r="AA43">
        <f t="shared" si="4"/>
        <v>47.4</v>
      </c>
      <c r="AB43">
        <f t="shared" si="4"/>
        <v>47.5</v>
      </c>
      <c r="AC43">
        <f t="shared" si="4"/>
        <v>47.1</v>
      </c>
    </row>
    <row r="44" spans="3:29" x14ac:dyDescent="0.25">
      <c r="C44">
        <v>2000</v>
      </c>
      <c r="D44" t="s">
        <v>1193</v>
      </c>
      <c r="E44" t="s">
        <v>1194</v>
      </c>
      <c r="F44" t="s">
        <v>1195</v>
      </c>
      <c r="G44" t="s">
        <v>1196</v>
      </c>
      <c r="H44" t="s">
        <v>1197</v>
      </c>
      <c r="I44" t="s">
        <v>1198</v>
      </c>
      <c r="J44" t="s">
        <v>1199</v>
      </c>
      <c r="K44" t="s">
        <v>1200</v>
      </c>
      <c r="L44" t="s">
        <v>1201</v>
      </c>
      <c r="M44" t="s">
        <v>1202</v>
      </c>
      <c r="N44" t="s">
        <v>1203</v>
      </c>
      <c r="O44" t="s">
        <v>1204</v>
      </c>
      <c r="P44" t="s">
        <v>1198</v>
      </c>
      <c r="Q44">
        <f t="shared" ref="Q44:Z57" si="6">VALUE(LEFT(D44,LEN(D44)-2)&amp;"."&amp;RIGHT(D44,1))</f>
        <v>48.1</v>
      </c>
      <c r="R44">
        <f t="shared" si="6"/>
        <v>47.9</v>
      </c>
      <c r="S44">
        <f t="shared" si="6"/>
        <v>48.4</v>
      </c>
      <c r="T44">
        <f t="shared" si="6"/>
        <v>49</v>
      </c>
      <c r="U44">
        <f t="shared" si="6"/>
        <v>49.3</v>
      </c>
      <c r="V44">
        <f t="shared" si="6"/>
        <v>49.6</v>
      </c>
      <c r="W44">
        <f t="shared" si="6"/>
        <v>50</v>
      </c>
      <c r="X44">
        <f t="shared" si="6"/>
        <v>50.2</v>
      </c>
      <c r="Y44">
        <f t="shared" si="6"/>
        <v>50.4</v>
      </c>
      <c r="Z44">
        <f t="shared" si="6"/>
        <v>50.6</v>
      </c>
      <c r="AA44">
        <f t="shared" si="4"/>
        <v>50.7</v>
      </c>
      <c r="AB44">
        <f t="shared" si="4"/>
        <v>50.8</v>
      </c>
      <c r="AC44">
        <f t="shared" si="4"/>
        <v>49.6</v>
      </c>
    </row>
    <row r="45" spans="3:29" x14ac:dyDescent="0.25">
      <c r="C45">
        <v>2001</v>
      </c>
      <c r="D45" t="s">
        <v>1205</v>
      </c>
      <c r="E45" t="s">
        <v>1206</v>
      </c>
      <c r="F45" t="s">
        <v>1207</v>
      </c>
      <c r="G45" t="s">
        <v>1208</v>
      </c>
      <c r="H45" t="s">
        <v>1209</v>
      </c>
      <c r="I45" t="s">
        <v>1210</v>
      </c>
      <c r="J45" t="s">
        <v>1210</v>
      </c>
      <c r="K45" t="s">
        <v>1211</v>
      </c>
      <c r="L45" t="s">
        <v>1210</v>
      </c>
      <c r="M45" t="s">
        <v>1210</v>
      </c>
      <c r="N45" t="s">
        <v>1212</v>
      </c>
      <c r="O45" t="s">
        <v>1213</v>
      </c>
      <c r="P45" t="s">
        <v>1209</v>
      </c>
      <c r="Q45">
        <f t="shared" si="6"/>
        <v>51.5</v>
      </c>
      <c r="R45">
        <f t="shared" si="6"/>
        <v>51.6</v>
      </c>
      <c r="S45">
        <f t="shared" si="6"/>
        <v>51.9</v>
      </c>
      <c r="T45">
        <f t="shared" si="6"/>
        <v>52.2</v>
      </c>
      <c r="U45">
        <f t="shared" si="6"/>
        <v>52.4</v>
      </c>
      <c r="V45">
        <f t="shared" si="6"/>
        <v>52.6</v>
      </c>
      <c r="W45">
        <f t="shared" si="6"/>
        <v>52.6</v>
      </c>
      <c r="X45">
        <f t="shared" si="6"/>
        <v>52.5</v>
      </c>
      <c r="Y45">
        <f t="shared" si="6"/>
        <v>52.6</v>
      </c>
      <c r="Z45">
        <f t="shared" si="6"/>
        <v>52.6</v>
      </c>
      <c r="AA45">
        <f t="shared" si="4"/>
        <v>52.9</v>
      </c>
      <c r="AB45">
        <f t="shared" si="4"/>
        <v>53.1</v>
      </c>
      <c r="AC45">
        <f t="shared" si="4"/>
        <v>52.4</v>
      </c>
    </row>
    <row r="46" spans="3:29" x14ac:dyDescent="0.25">
      <c r="C46">
        <v>2002</v>
      </c>
      <c r="D46" t="s">
        <v>1214</v>
      </c>
      <c r="E46" t="s">
        <v>1215</v>
      </c>
      <c r="F46" t="s">
        <v>1216</v>
      </c>
      <c r="G46" t="s">
        <v>1217</v>
      </c>
      <c r="H46" t="s">
        <v>1218</v>
      </c>
      <c r="I46" t="s">
        <v>1219</v>
      </c>
      <c r="J46" t="s">
        <v>1220</v>
      </c>
      <c r="K46" t="s">
        <v>1221</v>
      </c>
      <c r="L46" t="s">
        <v>1222</v>
      </c>
      <c r="M46" t="s">
        <v>1223</v>
      </c>
      <c r="N46" t="s">
        <v>1224</v>
      </c>
      <c r="O46" t="s">
        <v>1224</v>
      </c>
      <c r="P46" t="s">
        <v>1225</v>
      </c>
      <c r="Q46">
        <f t="shared" si="6"/>
        <v>54.1</v>
      </c>
      <c r="R46">
        <f t="shared" si="6"/>
        <v>54.6</v>
      </c>
      <c r="S46">
        <f t="shared" si="6"/>
        <v>55.2</v>
      </c>
      <c r="T46">
        <f t="shared" si="6"/>
        <v>56</v>
      </c>
      <c r="U46">
        <f t="shared" si="6"/>
        <v>56.4</v>
      </c>
      <c r="V46">
        <f t="shared" si="6"/>
        <v>56.8</v>
      </c>
      <c r="W46">
        <f t="shared" si="6"/>
        <v>57.7</v>
      </c>
      <c r="X46">
        <f t="shared" si="6"/>
        <v>57.9</v>
      </c>
      <c r="Y46">
        <f t="shared" si="6"/>
        <v>58.6</v>
      </c>
      <c r="Z46">
        <f t="shared" si="6"/>
        <v>59.4</v>
      </c>
      <c r="AA46">
        <f t="shared" si="4"/>
        <v>59.7</v>
      </c>
      <c r="AB46">
        <f t="shared" si="4"/>
        <v>59.7</v>
      </c>
      <c r="AC46">
        <f t="shared" si="4"/>
        <v>57.2</v>
      </c>
    </row>
    <row r="47" spans="3:29" x14ac:dyDescent="0.25">
      <c r="C47">
        <v>2003</v>
      </c>
      <c r="D47" t="s">
        <v>1226</v>
      </c>
      <c r="E47" t="s">
        <v>1227</v>
      </c>
      <c r="F47" t="s">
        <v>1228</v>
      </c>
      <c r="G47" t="s">
        <v>1229</v>
      </c>
      <c r="H47" t="s">
        <v>1228</v>
      </c>
      <c r="I47" t="s">
        <v>1230</v>
      </c>
      <c r="J47" t="s">
        <v>1230</v>
      </c>
      <c r="K47" t="s">
        <v>1228</v>
      </c>
      <c r="L47" t="s">
        <v>1230</v>
      </c>
      <c r="M47" t="s">
        <v>1226</v>
      </c>
      <c r="N47" t="s">
        <v>1231</v>
      </c>
      <c r="O47" t="s">
        <v>1231</v>
      </c>
      <c r="P47" t="s">
        <v>1232</v>
      </c>
      <c r="Q47">
        <f t="shared" si="6"/>
        <v>60.3</v>
      </c>
      <c r="R47">
        <f t="shared" si="6"/>
        <v>60.2</v>
      </c>
      <c r="S47">
        <f t="shared" si="6"/>
        <v>60.9</v>
      </c>
      <c r="T47">
        <f t="shared" si="6"/>
        <v>61</v>
      </c>
      <c r="U47">
        <f t="shared" si="6"/>
        <v>60.9</v>
      </c>
      <c r="V47">
        <f t="shared" si="6"/>
        <v>60.7</v>
      </c>
      <c r="W47">
        <f t="shared" si="6"/>
        <v>60.7</v>
      </c>
      <c r="X47">
        <f t="shared" si="6"/>
        <v>60.9</v>
      </c>
      <c r="Y47">
        <f t="shared" si="6"/>
        <v>60.7</v>
      </c>
      <c r="Z47">
        <f t="shared" si="6"/>
        <v>60.3</v>
      </c>
      <c r="AA47">
        <f t="shared" si="4"/>
        <v>59.9</v>
      </c>
      <c r="AB47">
        <f t="shared" si="4"/>
        <v>59.9</v>
      </c>
      <c r="AC47">
        <f t="shared" si="4"/>
        <v>60.5</v>
      </c>
    </row>
    <row r="48" spans="3:29" x14ac:dyDescent="0.25">
      <c r="C48">
        <v>2004</v>
      </c>
      <c r="D48" t="s">
        <v>1233</v>
      </c>
      <c r="E48" t="s">
        <v>1230</v>
      </c>
      <c r="F48" t="s">
        <v>1234</v>
      </c>
      <c r="G48" t="s">
        <v>1235</v>
      </c>
      <c r="H48" t="s">
        <v>1235</v>
      </c>
      <c r="I48" t="s">
        <v>1236</v>
      </c>
      <c r="J48" t="s">
        <v>1237</v>
      </c>
      <c r="K48" t="s">
        <v>1237</v>
      </c>
      <c r="L48" t="s">
        <v>1237</v>
      </c>
      <c r="M48" t="s">
        <v>1238</v>
      </c>
      <c r="N48" t="s">
        <v>1239</v>
      </c>
      <c r="O48" t="s">
        <v>1240</v>
      </c>
      <c r="P48" t="s">
        <v>1236</v>
      </c>
      <c r="Q48">
        <f t="shared" si="6"/>
        <v>60.4</v>
      </c>
      <c r="R48">
        <f t="shared" si="6"/>
        <v>60.7</v>
      </c>
      <c r="S48">
        <f t="shared" si="6"/>
        <v>61.1</v>
      </c>
      <c r="T48">
        <f t="shared" si="6"/>
        <v>61.2</v>
      </c>
      <c r="U48">
        <f t="shared" si="6"/>
        <v>61.2</v>
      </c>
      <c r="V48">
        <f t="shared" si="6"/>
        <v>61.4</v>
      </c>
      <c r="W48">
        <f t="shared" si="6"/>
        <v>61.6</v>
      </c>
      <c r="X48">
        <f t="shared" si="6"/>
        <v>61.6</v>
      </c>
      <c r="Y48">
        <f t="shared" si="6"/>
        <v>61.6</v>
      </c>
      <c r="Z48">
        <f t="shared" si="6"/>
        <v>61.8</v>
      </c>
      <c r="AA48">
        <f t="shared" si="4"/>
        <v>62.1</v>
      </c>
      <c r="AB48">
        <f t="shared" si="4"/>
        <v>62</v>
      </c>
      <c r="AC48">
        <f t="shared" si="4"/>
        <v>61.4</v>
      </c>
    </row>
    <row r="49" spans="1:29" x14ac:dyDescent="0.25">
      <c r="C49">
        <v>2005</v>
      </c>
      <c r="D49" t="s">
        <v>1241</v>
      </c>
      <c r="E49" t="s">
        <v>1242</v>
      </c>
      <c r="F49" t="s">
        <v>1243</v>
      </c>
      <c r="G49" t="s">
        <v>1244</v>
      </c>
      <c r="H49" t="s">
        <v>1244</v>
      </c>
      <c r="I49" t="s">
        <v>1245</v>
      </c>
      <c r="J49" t="s">
        <v>1246</v>
      </c>
      <c r="K49" t="s">
        <v>1247</v>
      </c>
      <c r="L49" t="s">
        <v>1248</v>
      </c>
      <c r="M49" t="s">
        <v>1248</v>
      </c>
      <c r="N49" t="s">
        <v>1248</v>
      </c>
      <c r="O49" t="s">
        <v>1248</v>
      </c>
      <c r="P49" t="s">
        <v>1249</v>
      </c>
      <c r="Q49">
        <f t="shared" si="6"/>
        <v>62.2</v>
      </c>
      <c r="R49">
        <f t="shared" si="6"/>
        <v>62.3</v>
      </c>
      <c r="S49">
        <f t="shared" si="6"/>
        <v>62.9</v>
      </c>
      <c r="T49">
        <f t="shared" si="6"/>
        <v>63.2</v>
      </c>
      <c r="U49">
        <f t="shared" si="6"/>
        <v>63.2</v>
      </c>
      <c r="V49">
        <f t="shared" si="6"/>
        <v>63.1</v>
      </c>
      <c r="W49">
        <f t="shared" si="6"/>
        <v>63.7</v>
      </c>
      <c r="X49">
        <f t="shared" si="6"/>
        <v>63.9</v>
      </c>
      <c r="Y49">
        <f t="shared" si="6"/>
        <v>64.2</v>
      </c>
      <c r="Z49">
        <f t="shared" si="6"/>
        <v>64.2</v>
      </c>
      <c r="AA49">
        <f t="shared" si="4"/>
        <v>64.2</v>
      </c>
      <c r="AB49">
        <f t="shared" si="4"/>
        <v>64.2</v>
      </c>
      <c r="AC49">
        <f t="shared" si="4"/>
        <v>63.4</v>
      </c>
    </row>
    <row r="50" spans="1:29" x14ac:dyDescent="0.25">
      <c r="C50">
        <v>2006</v>
      </c>
      <c r="D50" t="s">
        <v>1250</v>
      </c>
      <c r="E50" t="s">
        <v>1251</v>
      </c>
      <c r="F50" t="s">
        <v>1252</v>
      </c>
      <c r="G50" t="s">
        <v>1253</v>
      </c>
      <c r="H50" t="s">
        <v>1254</v>
      </c>
      <c r="I50" t="s">
        <v>1255</v>
      </c>
      <c r="J50" t="s">
        <v>1256</v>
      </c>
      <c r="K50" t="s">
        <v>1257</v>
      </c>
      <c r="L50" t="s">
        <v>1258</v>
      </c>
      <c r="M50" t="s">
        <v>1259</v>
      </c>
      <c r="N50" t="s">
        <v>1258</v>
      </c>
      <c r="O50" t="s">
        <v>1260</v>
      </c>
      <c r="P50" t="s">
        <v>1261</v>
      </c>
      <c r="Q50">
        <f t="shared" si="6"/>
        <v>64.599999999999994</v>
      </c>
      <c r="R50">
        <f t="shared" si="6"/>
        <v>64.7</v>
      </c>
      <c r="S50">
        <f t="shared" si="6"/>
        <v>65</v>
      </c>
      <c r="T50">
        <f t="shared" si="6"/>
        <v>65.400000000000006</v>
      </c>
      <c r="U50">
        <f t="shared" si="6"/>
        <v>65.7</v>
      </c>
      <c r="V50">
        <f t="shared" si="6"/>
        <v>66.2</v>
      </c>
      <c r="W50">
        <f t="shared" si="6"/>
        <v>66.900000000000006</v>
      </c>
      <c r="X50">
        <f t="shared" si="6"/>
        <v>67.400000000000006</v>
      </c>
      <c r="Y50">
        <f t="shared" si="6"/>
        <v>67.599999999999994</v>
      </c>
      <c r="Z50">
        <f t="shared" si="6"/>
        <v>67.7</v>
      </c>
      <c r="AA50">
        <f t="shared" si="4"/>
        <v>67.599999999999994</v>
      </c>
      <c r="AB50">
        <f t="shared" si="4"/>
        <v>68</v>
      </c>
      <c r="AC50">
        <f t="shared" si="4"/>
        <v>66.400000000000006</v>
      </c>
    </row>
    <row r="51" spans="1:29" x14ac:dyDescent="0.25">
      <c r="C51">
        <v>2007</v>
      </c>
      <c r="D51" t="s">
        <v>1262</v>
      </c>
      <c r="E51" t="s">
        <v>1263</v>
      </c>
      <c r="F51" t="s">
        <v>1264</v>
      </c>
      <c r="G51" t="s">
        <v>1265</v>
      </c>
      <c r="H51" t="s">
        <v>1266</v>
      </c>
      <c r="I51" t="s">
        <v>1267</v>
      </c>
      <c r="J51" t="s">
        <v>1268</v>
      </c>
      <c r="K51" t="s">
        <v>1269</v>
      </c>
      <c r="L51" t="s">
        <v>1270</v>
      </c>
      <c r="M51" t="s">
        <v>1271</v>
      </c>
      <c r="N51" t="s">
        <v>1272</v>
      </c>
      <c r="O51" t="s">
        <v>1273</v>
      </c>
      <c r="P51" t="s">
        <v>1274</v>
      </c>
      <c r="Q51">
        <f t="shared" si="6"/>
        <v>68.5</v>
      </c>
      <c r="R51">
        <f t="shared" si="6"/>
        <v>68.400000000000006</v>
      </c>
      <c r="S51">
        <f t="shared" si="6"/>
        <v>69</v>
      </c>
      <c r="T51">
        <f t="shared" si="6"/>
        <v>69.900000000000006</v>
      </c>
      <c r="U51">
        <f t="shared" si="6"/>
        <v>70.3</v>
      </c>
      <c r="V51">
        <f t="shared" si="6"/>
        <v>70.900000000000006</v>
      </c>
      <c r="W51">
        <f t="shared" si="6"/>
        <v>71.599999999999994</v>
      </c>
      <c r="X51">
        <f t="shared" si="6"/>
        <v>71.900000000000006</v>
      </c>
      <c r="Y51">
        <f t="shared" si="6"/>
        <v>72.5</v>
      </c>
      <c r="Z51">
        <f t="shared" si="6"/>
        <v>73.099999999999994</v>
      </c>
      <c r="AA51">
        <f t="shared" si="4"/>
        <v>73.400000000000006</v>
      </c>
      <c r="AB51">
        <f t="shared" si="4"/>
        <v>74</v>
      </c>
      <c r="AC51">
        <f t="shared" si="4"/>
        <v>71.099999999999994</v>
      </c>
    </row>
    <row r="52" spans="1:29" x14ac:dyDescent="0.25">
      <c r="C52">
        <v>2008</v>
      </c>
      <c r="D52" t="s">
        <v>1275</v>
      </c>
      <c r="E52" t="s">
        <v>1276</v>
      </c>
      <c r="F52" t="s">
        <v>1277</v>
      </c>
      <c r="G52" t="s">
        <v>1278</v>
      </c>
      <c r="H52" t="s">
        <v>1279</v>
      </c>
      <c r="I52" t="s">
        <v>1280</v>
      </c>
      <c r="J52" t="s">
        <v>1281</v>
      </c>
      <c r="K52" t="s">
        <v>1282</v>
      </c>
      <c r="L52" t="s">
        <v>1283</v>
      </c>
      <c r="M52" t="s">
        <v>1283</v>
      </c>
      <c r="N52" t="s">
        <v>1284</v>
      </c>
      <c r="O52" t="s">
        <v>1285</v>
      </c>
      <c r="P52" t="s">
        <v>1286</v>
      </c>
      <c r="Q52">
        <f t="shared" si="6"/>
        <v>74.8</v>
      </c>
      <c r="R52">
        <f t="shared" si="6"/>
        <v>75.099999999999994</v>
      </c>
      <c r="S52">
        <f t="shared" si="6"/>
        <v>76.3</v>
      </c>
      <c r="T52">
        <f t="shared" si="6"/>
        <v>77.7</v>
      </c>
      <c r="U52">
        <f t="shared" si="6"/>
        <v>78.5</v>
      </c>
      <c r="V52">
        <f t="shared" si="6"/>
        <v>79.599999999999994</v>
      </c>
      <c r="W52">
        <f t="shared" si="6"/>
        <v>81.2</v>
      </c>
      <c r="X52">
        <f t="shared" si="6"/>
        <v>81.8</v>
      </c>
      <c r="Y52">
        <f t="shared" si="6"/>
        <v>81.900000000000006</v>
      </c>
      <c r="Z52">
        <f t="shared" si="6"/>
        <v>81.900000000000006</v>
      </c>
      <c r="AA52">
        <f t="shared" si="4"/>
        <v>82</v>
      </c>
      <c r="AB52">
        <f t="shared" si="4"/>
        <v>81.099999999999994</v>
      </c>
      <c r="AC52">
        <f t="shared" si="4"/>
        <v>79.3</v>
      </c>
    </row>
    <row r="53" spans="1:29" x14ac:dyDescent="0.25">
      <c r="C53">
        <v>2009</v>
      </c>
      <c r="D53" t="s">
        <v>1287</v>
      </c>
      <c r="E53" t="s">
        <v>1288</v>
      </c>
      <c r="F53" t="s">
        <v>1289</v>
      </c>
      <c r="G53" t="s">
        <v>1290</v>
      </c>
      <c r="H53" t="s">
        <v>1291</v>
      </c>
      <c r="I53" t="s">
        <v>1292</v>
      </c>
      <c r="J53" t="s">
        <v>1293</v>
      </c>
      <c r="K53" t="s">
        <v>1294</v>
      </c>
      <c r="L53" t="s">
        <v>1295</v>
      </c>
      <c r="M53" t="s">
        <v>1295</v>
      </c>
      <c r="N53" t="s">
        <v>1295</v>
      </c>
      <c r="O53" t="s">
        <v>1296</v>
      </c>
      <c r="P53" t="s">
        <v>1297</v>
      </c>
      <c r="Q53">
        <f t="shared" si="6"/>
        <v>81.400000000000006</v>
      </c>
      <c r="R53">
        <f t="shared" si="6"/>
        <v>82.3</v>
      </c>
      <c r="S53">
        <f t="shared" si="6"/>
        <v>83.4</v>
      </c>
      <c r="T53">
        <f t="shared" si="6"/>
        <v>83.8</v>
      </c>
      <c r="U53">
        <f t="shared" si="6"/>
        <v>84.1</v>
      </c>
      <c r="V53">
        <f t="shared" si="6"/>
        <v>84.5</v>
      </c>
      <c r="W53">
        <f t="shared" si="6"/>
        <v>85.4</v>
      </c>
      <c r="X53">
        <f t="shared" si="6"/>
        <v>85.6</v>
      </c>
      <c r="Y53">
        <f t="shared" si="6"/>
        <v>86</v>
      </c>
      <c r="Z53">
        <f t="shared" si="6"/>
        <v>86</v>
      </c>
      <c r="AA53">
        <f t="shared" si="4"/>
        <v>86</v>
      </c>
      <c r="AB53">
        <f t="shared" si="4"/>
        <v>86.2</v>
      </c>
      <c r="AC53">
        <f t="shared" si="4"/>
        <v>84.6</v>
      </c>
    </row>
    <row r="54" spans="1:29" x14ac:dyDescent="0.25">
      <c r="C54">
        <v>2010</v>
      </c>
      <c r="D54" t="s">
        <v>1298</v>
      </c>
      <c r="E54" t="s">
        <v>1299</v>
      </c>
      <c r="F54" t="s">
        <v>1300</v>
      </c>
      <c r="G54" t="s">
        <v>1301</v>
      </c>
      <c r="H54" t="s">
        <v>1302</v>
      </c>
      <c r="I54" t="s">
        <v>1302</v>
      </c>
      <c r="J54" t="s">
        <v>1303</v>
      </c>
      <c r="K54" t="s">
        <v>1303</v>
      </c>
      <c r="L54" t="s">
        <v>1304</v>
      </c>
      <c r="M54" t="s">
        <v>1305</v>
      </c>
      <c r="N54" t="s">
        <v>1306</v>
      </c>
      <c r="O54" t="s">
        <v>1307</v>
      </c>
      <c r="P54" t="s">
        <v>1308</v>
      </c>
      <c r="Q54">
        <f t="shared" si="6"/>
        <v>86.4</v>
      </c>
      <c r="R54">
        <f t="shared" si="6"/>
        <v>87</v>
      </c>
      <c r="S54">
        <f t="shared" si="6"/>
        <v>87.7</v>
      </c>
      <c r="T54">
        <f t="shared" si="6"/>
        <v>87.8</v>
      </c>
      <c r="U54">
        <f t="shared" si="6"/>
        <v>88</v>
      </c>
      <c r="V54">
        <f t="shared" si="6"/>
        <v>88</v>
      </c>
      <c r="W54">
        <f t="shared" si="6"/>
        <v>88.6</v>
      </c>
      <c r="X54">
        <f t="shared" si="6"/>
        <v>88.6</v>
      </c>
      <c r="Y54">
        <f t="shared" si="6"/>
        <v>88.7</v>
      </c>
      <c r="Z54">
        <f t="shared" si="6"/>
        <v>88.9</v>
      </c>
      <c r="AA54">
        <f t="shared" si="4"/>
        <v>89</v>
      </c>
      <c r="AB54">
        <f t="shared" si="4"/>
        <v>89.2</v>
      </c>
      <c r="AC54">
        <f t="shared" si="4"/>
        <v>88.2</v>
      </c>
    </row>
    <row r="55" spans="1:29" x14ac:dyDescent="0.25">
      <c r="C55">
        <v>2011</v>
      </c>
      <c r="D55" t="s">
        <v>1309</v>
      </c>
      <c r="E55" t="s">
        <v>1310</v>
      </c>
      <c r="F55" t="s">
        <v>1311</v>
      </c>
      <c r="G55" t="s">
        <v>1312</v>
      </c>
      <c r="H55" t="s">
        <v>1313</v>
      </c>
      <c r="I55" t="s">
        <v>1314</v>
      </c>
      <c r="J55" t="s">
        <v>1315</v>
      </c>
      <c r="K55" t="s">
        <v>1316</v>
      </c>
      <c r="L55" t="s">
        <v>1317</v>
      </c>
      <c r="M55" t="s">
        <v>1318</v>
      </c>
      <c r="N55" t="s">
        <v>1319</v>
      </c>
      <c r="O55" t="s">
        <v>1320</v>
      </c>
      <c r="P55" t="s">
        <v>1321</v>
      </c>
      <c r="Q55">
        <f t="shared" si="6"/>
        <v>89.6</v>
      </c>
      <c r="R55">
        <f t="shared" si="6"/>
        <v>90.2</v>
      </c>
      <c r="S55">
        <f t="shared" si="6"/>
        <v>91.3</v>
      </c>
      <c r="T55">
        <f t="shared" si="6"/>
        <v>91.6</v>
      </c>
      <c r="U55">
        <f t="shared" si="6"/>
        <v>92</v>
      </c>
      <c r="V55">
        <f t="shared" si="6"/>
        <v>92.4</v>
      </c>
      <c r="W55">
        <f t="shared" si="6"/>
        <v>93.2</v>
      </c>
      <c r="X55">
        <f t="shared" si="6"/>
        <v>93.4</v>
      </c>
      <c r="Y55">
        <f t="shared" si="6"/>
        <v>93.8</v>
      </c>
      <c r="Z55">
        <f t="shared" si="6"/>
        <v>94.2</v>
      </c>
      <c r="AA55">
        <f t="shared" si="4"/>
        <v>94.5</v>
      </c>
      <c r="AB55">
        <f t="shared" si="4"/>
        <v>94.6</v>
      </c>
      <c r="AC55">
        <f t="shared" si="4"/>
        <v>92.6</v>
      </c>
    </row>
    <row r="56" spans="1:29" x14ac:dyDescent="0.25">
      <c r="C56">
        <v>2012</v>
      </c>
      <c r="D56" t="s">
        <v>1322</v>
      </c>
      <c r="E56" t="s">
        <v>1323</v>
      </c>
      <c r="F56" t="s">
        <v>1324</v>
      </c>
      <c r="G56" t="s">
        <v>1325</v>
      </c>
      <c r="H56" t="s">
        <v>1325</v>
      </c>
      <c r="I56" t="s">
        <v>1326</v>
      </c>
      <c r="J56" t="s">
        <v>1327</v>
      </c>
      <c r="K56" t="s">
        <v>1328</v>
      </c>
      <c r="L56" t="s">
        <v>1329</v>
      </c>
      <c r="M56" t="s">
        <v>1330</v>
      </c>
      <c r="N56" t="s">
        <v>1331</v>
      </c>
      <c r="O56" t="s">
        <v>1332</v>
      </c>
      <c r="P56" t="s">
        <v>1327</v>
      </c>
      <c r="Q56">
        <f t="shared" si="6"/>
        <v>95.2</v>
      </c>
      <c r="R56">
        <f t="shared" si="6"/>
        <v>95.7</v>
      </c>
      <c r="S56">
        <f t="shared" si="6"/>
        <v>96.8</v>
      </c>
      <c r="T56">
        <f t="shared" si="6"/>
        <v>97.2</v>
      </c>
      <c r="U56">
        <f t="shared" si="6"/>
        <v>97.2</v>
      </c>
      <c r="V56">
        <f t="shared" si="6"/>
        <v>97.5</v>
      </c>
      <c r="W56">
        <f t="shared" si="6"/>
        <v>97.8</v>
      </c>
      <c r="X56">
        <f t="shared" si="6"/>
        <v>98</v>
      </c>
      <c r="Y56">
        <f t="shared" si="6"/>
        <v>98.9</v>
      </c>
      <c r="Z56">
        <f t="shared" si="6"/>
        <v>99.5</v>
      </c>
      <c r="AA56">
        <f t="shared" si="4"/>
        <v>99.8</v>
      </c>
      <c r="AB56">
        <f t="shared" si="4"/>
        <v>100</v>
      </c>
      <c r="AC56">
        <f t="shared" si="4"/>
        <v>97.8</v>
      </c>
    </row>
    <row r="57" spans="1:29" x14ac:dyDescent="0.25">
      <c r="C57">
        <v>2013</v>
      </c>
      <c r="D57" t="s">
        <v>1333</v>
      </c>
      <c r="E57" t="s">
        <v>1334</v>
      </c>
      <c r="F57" t="s">
        <v>1335</v>
      </c>
      <c r="G57" t="s">
        <v>1336</v>
      </c>
      <c r="H57" t="s">
        <v>1337</v>
      </c>
      <c r="I57" t="s">
        <v>1336</v>
      </c>
      <c r="J57" t="s">
        <v>1338</v>
      </c>
      <c r="K57" t="s">
        <v>1339</v>
      </c>
      <c r="L57" t="s">
        <v>1340</v>
      </c>
      <c r="M57" t="s">
        <v>1341</v>
      </c>
      <c r="N57" t="s">
        <v>1342</v>
      </c>
      <c r="O57" t="s">
        <v>1343</v>
      </c>
      <c r="P57" t="s">
        <v>1344</v>
      </c>
      <c r="Q57">
        <f t="shared" si="6"/>
        <v>100.3</v>
      </c>
      <c r="R57">
        <f t="shared" si="6"/>
        <v>101.3</v>
      </c>
      <c r="S57">
        <f t="shared" si="6"/>
        <v>102.5</v>
      </c>
      <c r="T57">
        <f t="shared" si="6"/>
        <v>102.9</v>
      </c>
      <c r="U57">
        <f t="shared" si="6"/>
        <v>102.6</v>
      </c>
      <c r="V57">
        <f t="shared" si="6"/>
        <v>102.9</v>
      </c>
      <c r="W57">
        <f t="shared" si="6"/>
        <v>104</v>
      </c>
      <c r="X57">
        <f t="shared" si="6"/>
        <v>104.3</v>
      </c>
      <c r="Y57">
        <f t="shared" si="6"/>
        <v>104.8</v>
      </c>
      <c r="Z57">
        <f t="shared" si="6"/>
        <v>105</v>
      </c>
      <c r="AA57">
        <f t="shared" si="4"/>
        <v>105.1</v>
      </c>
      <c r="AB57">
        <f t="shared" si="4"/>
        <v>105.4</v>
      </c>
      <c r="AC57">
        <f t="shared" si="4"/>
        <v>103.4</v>
      </c>
    </row>
    <row r="58" spans="1:29" x14ac:dyDescent="0.25">
      <c r="A58" s="439"/>
      <c r="B58" s="439" t="s">
        <v>1432</v>
      </c>
      <c r="C58" s="439">
        <v>2014</v>
      </c>
      <c r="D58" s="439"/>
      <c r="E58" s="439"/>
      <c r="F58" s="439"/>
      <c r="G58" s="439"/>
      <c r="H58" s="439"/>
      <c r="I58" s="439"/>
      <c r="J58" s="439"/>
      <c r="K58" s="439"/>
      <c r="L58" s="439"/>
      <c r="M58" s="439"/>
      <c r="N58" s="439"/>
      <c r="O58" s="439"/>
      <c r="P58" s="439"/>
      <c r="Q58" s="513">
        <f>(Q57/Q56) *Q57</f>
        <v>105.67321428571428</v>
      </c>
      <c r="R58" s="513">
        <f t="shared" ref="R58:AC58" si="7">(R57/R56) *R57</f>
        <v>107.22769070010449</v>
      </c>
      <c r="S58" s="513">
        <f t="shared" si="7"/>
        <v>108.53564049586777</v>
      </c>
      <c r="T58" s="513">
        <f t="shared" si="7"/>
        <v>108.93425925925926</v>
      </c>
      <c r="U58" s="513">
        <f t="shared" si="7"/>
        <v>108.29999999999997</v>
      </c>
      <c r="V58" s="513">
        <f t="shared" si="7"/>
        <v>108.59907692307692</v>
      </c>
      <c r="W58" s="513">
        <f>(W57/W56) *W57</f>
        <v>110.59304703476482</v>
      </c>
      <c r="X58" s="513">
        <f t="shared" si="7"/>
        <v>111.005</v>
      </c>
      <c r="Y58" s="513">
        <f t="shared" si="7"/>
        <v>111.0519716885743</v>
      </c>
      <c r="Z58" s="513">
        <f t="shared" si="7"/>
        <v>110.8040201005025</v>
      </c>
      <c r="AA58" s="513">
        <f t="shared" si="7"/>
        <v>110.68146292585169</v>
      </c>
      <c r="AB58" s="513">
        <f t="shared" si="7"/>
        <v>111.09160000000001</v>
      </c>
      <c r="AC58" s="513">
        <f t="shared" si="7"/>
        <v>109.32065439672805</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F19"/>
  <sheetViews>
    <sheetView zoomScale="85" zoomScaleNormal="85" workbookViewId="0">
      <selection activeCell="AE18" sqref="AE18"/>
    </sheetView>
  </sheetViews>
  <sheetFormatPr defaultRowHeight="15" x14ac:dyDescent="0.25"/>
  <cols>
    <col min="1" max="1" width="15.7109375" customWidth="1"/>
    <col min="2" max="2" width="16.7109375" customWidth="1"/>
    <col min="3" max="3" width="14.7109375" customWidth="1"/>
  </cols>
  <sheetData>
    <row r="1" spans="1:31" x14ac:dyDescent="0.25">
      <c r="A1" t="s">
        <v>1367</v>
      </c>
    </row>
    <row r="3" spans="1:31" x14ac:dyDescent="0.25">
      <c r="A3" t="s">
        <v>1366</v>
      </c>
    </row>
    <row r="4" spans="1:31" x14ac:dyDescent="0.25">
      <c r="D4">
        <v>2001</v>
      </c>
      <c r="E4">
        <v>2005</v>
      </c>
      <c r="F4">
        <v>2010</v>
      </c>
      <c r="G4">
        <v>2015</v>
      </c>
      <c r="H4">
        <v>2020</v>
      </c>
      <c r="I4">
        <v>2025</v>
      </c>
      <c r="J4">
        <v>2030</v>
      </c>
      <c r="K4">
        <v>2001</v>
      </c>
      <c r="L4">
        <v>2005</v>
      </c>
      <c r="M4">
        <v>2010</v>
      </c>
      <c r="N4">
        <v>2015</v>
      </c>
      <c r="O4">
        <v>2020</v>
      </c>
      <c r="P4">
        <v>2025</v>
      </c>
      <c r="Q4">
        <v>2030</v>
      </c>
      <c r="R4">
        <v>2001</v>
      </c>
      <c r="S4">
        <v>2005</v>
      </c>
      <c r="T4">
        <v>2010</v>
      </c>
      <c r="U4">
        <v>2015</v>
      </c>
      <c r="V4">
        <v>2020</v>
      </c>
      <c r="W4">
        <v>2025</v>
      </c>
      <c r="X4">
        <v>2030</v>
      </c>
      <c r="Y4">
        <v>2001</v>
      </c>
      <c r="Z4">
        <v>2005</v>
      </c>
      <c r="AA4">
        <v>2010</v>
      </c>
      <c r="AB4">
        <v>2015</v>
      </c>
      <c r="AC4">
        <v>2020</v>
      </c>
      <c r="AD4">
        <v>2025</v>
      </c>
      <c r="AE4">
        <v>2030</v>
      </c>
    </row>
    <row r="5" spans="1:31" x14ac:dyDescent="0.25">
      <c r="A5" t="s">
        <v>1355</v>
      </c>
      <c r="B5" t="s">
        <v>1356</v>
      </c>
      <c r="C5" t="s">
        <v>1357</v>
      </c>
      <c r="D5">
        <v>82.7</v>
      </c>
      <c r="E5">
        <v>89.953999999999994</v>
      </c>
      <c r="F5">
        <v>99.215000000000003</v>
      </c>
      <c r="G5">
        <v>107.541</v>
      </c>
      <c r="H5">
        <v>114.98399999999999</v>
      </c>
      <c r="I5">
        <v>120.486</v>
      </c>
      <c r="J5">
        <v>126.251</v>
      </c>
      <c r="K5">
        <v>48.927999999999997</v>
      </c>
      <c r="L5">
        <v>53.219000000000001</v>
      </c>
      <c r="M5">
        <v>58.698</v>
      </c>
      <c r="N5">
        <v>63.624000000000002</v>
      </c>
      <c r="O5">
        <v>68.028000000000006</v>
      </c>
      <c r="P5">
        <v>71.283000000000001</v>
      </c>
      <c r="Q5">
        <v>74.692999999999998</v>
      </c>
      <c r="R5">
        <v>82.7</v>
      </c>
      <c r="S5">
        <v>93.230999999999995</v>
      </c>
      <c r="T5">
        <v>102.492</v>
      </c>
      <c r="U5">
        <v>110.818</v>
      </c>
      <c r="V5">
        <v>118.262</v>
      </c>
      <c r="W5">
        <v>123.76300000000001</v>
      </c>
      <c r="X5">
        <v>129.52799999999999</v>
      </c>
      <c r="Y5">
        <v>49.283000000000001</v>
      </c>
      <c r="Z5">
        <v>55.158000000000001</v>
      </c>
      <c r="AA5">
        <v>60.637</v>
      </c>
      <c r="AB5">
        <v>65.563000000000002</v>
      </c>
      <c r="AC5">
        <v>69.966999999999999</v>
      </c>
      <c r="AD5">
        <v>73.221000000000004</v>
      </c>
      <c r="AE5">
        <v>76.632000000000005</v>
      </c>
    </row>
    <row r="6" spans="1:31" x14ac:dyDescent="0.25">
      <c r="A6" t="s">
        <v>1358</v>
      </c>
      <c r="B6" t="s">
        <v>1359</v>
      </c>
      <c r="C6" t="s">
        <v>1360</v>
      </c>
      <c r="D6">
        <v>0</v>
      </c>
      <c r="E6">
        <v>0</v>
      </c>
      <c r="F6">
        <v>30.867000000000001</v>
      </c>
      <c r="G6">
        <v>37.746000000000002</v>
      </c>
      <c r="H6">
        <v>42.192999999999998</v>
      </c>
      <c r="I6">
        <v>44.496000000000002</v>
      </c>
      <c r="J6">
        <v>44.496000000000002</v>
      </c>
      <c r="K6">
        <v>0</v>
      </c>
      <c r="L6">
        <v>0</v>
      </c>
      <c r="M6">
        <v>15.858000000000001</v>
      </c>
      <c r="N6">
        <v>19.733000000000001</v>
      </c>
      <c r="O6">
        <v>22.882000000000001</v>
      </c>
      <c r="P6">
        <v>24.263999999999999</v>
      </c>
      <c r="Q6">
        <v>25.677</v>
      </c>
      <c r="R6">
        <v>0</v>
      </c>
      <c r="S6">
        <v>0</v>
      </c>
      <c r="T6">
        <v>30.867000000000001</v>
      </c>
      <c r="U6">
        <v>37.746000000000002</v>
      </c>
      <c r="V6">
        <v>42.192999999999998</v>
      </c>
      <c r="W6">
        <v>44.496000000000002</v>
      </c>
      <c r="X6">
        <v>44.496000000000002</v>
      </c>
      <c r="Y6">
        <v>0</v>
      </c>
      <c r="Z6">
        <v>0</v>
      </c>
      <c r="AA6">
        <v>15.858000000000001</v>
      </c>
      <c r="AB6">
        <v>19.733000000000001</v>
      </c>
      <c r="AC6">
        <v>22.882000000000001</v>
      </c>
      <c r="AD6">
        <v>24.263999999999999</v>
      </c>
      <c r="AE6">
        <v>25.677</v>
      </c>
    </row>
    <row r="7" spans="1:31" x14ac:dyDescent="0.25">
      <c r="A7" s="54" t="s">
        <v>1361</v>
      </c>
      <c r="B7" s="54" t="s">
        <v>1362</v>
      </c>
      <c r="C7" s="54" t="s">
        <v>1359</v>
      </c>
      <c r="D7" s="54">
        <v>82.7</v>
      </c>
      <c r="E7" s="54">
        <v>89.953999999999994</v>
      </c>
      <c r="F7" s="54">
        <v>68.347999999999999</v>
      </c>
      <c r="G7" s="54">
        <v>69.796000000000006</v>
      </c>
      <c r="H7" s="54">
        <v>72.790999999999997</v>
      </c>
      <c r="I7" s="54">
        <v>75.989999999999995</v>
      </c>
      <c r="J7" s="54">
        <v>81.754000000000005</v>
      </c>
      <c r="K7" s="54">
        <v>48.927999999999997</v>
      </c>
      <c r="L7" s="54">
        <v>53.219000000000001</v>
      </c>
      <c r="M7" s="54">
        <v>42.84</v>
      </c>
      <c r="N7" s="54">
        <v>43.890999999999998</v>
      </c>
      <c r="O7" s="54">
        <v>45.146000000000001</v>
      </c>
      <c r="P7" s="54">
        <v>47.018999999999998</v>
      </c>
      <c r="Q7" s="54">
        <v>49.015999999999998</v>
      </c>
      <c r="R7" s="54">
        <v>82.7</v>
      </c>
      <c r="S7" s="54">
        <v>93.230999999999995</v>
      </c>
      <c r="T7" s="54">
        <v>71.625</v>
      </c>
      <c r="U7" s="54">
        <v>73.072999999999993</v>
      </c>
      <c r="V7" s="54">
        <v>76.067999999999998</v>
      </c>
      <c r="W7" s="54">
        <v>79.266999999999996</v>
      </c>
      <c r="X7" s="54">
        <v>85.031999999999996</v>
      </c>
      <c r="Y7" s="54">
        <v>49.283000000000001</v>
      </c>
      <c r="Z7" s="54">
        <v>55.158000000000001</v>
      </c>
      <c r="AA7" s="54">
        <v>44.779000000000003</v>
      </c>
      <c r="AB7" s="54">
        <v>45.83</v>
      </c>
      <c r="AC7" s="54">
        <v>47.085000000000001</v>
      </c>
      <c r="AD7" s="54">
        <v>48.957999999999998</v>
      </c>
      <c r="AE7" s="54">
        <v>50.954999999999998</v>
      </c>
    </row>
    <row r="8" spans="1:31" x14ac:dyDescent="0.25">
      <c r="A8" s="394" t="s">
        <v>1363</v>
      </c>
      <c r="B8" s="394" t="s">
        <v>1356</v>
      </c>
      <c r="C8" s="394" t="s">
        <v>1357</v>
      </c>
      <c r="D8" s="394">
        <v>1.97</v>
      </c>
      <c r="E8" s="394">
        <v>2.1419999999999999</v>
      </c>
      <c r="F8" s="394">
        <v>2.3620000000000001</v>
      </c>
      <c r="G8" s="394">
        <v>2.56</v>
      </c>
      <c r="H8" s="394">
        <v>2.7370000000000001</v>
      </c>
      <c r="I8" s="394">
        <v>2.867</v>
      </c>
      <c r="J8" s="394">
        <v>3.004</v>
      </c>
      <c r="K8" s="394">
        <v>1.127</v>
      </c>
      <c r="L8" s="394">
        <v>1.226</v>
      </c>
      <c r="M8" s="394">
        <v>1.3520000000000001</v>
      </c>
      <c r="N8" s="394">
        <v>1.4650000000000001</v>
      </c>
      <c r="O8" s="394">
        <v>1.5660000000000001</v>
      </c>
      <c r="P8" s="394">
        <v>1.625</v>
      </c>
      <c r="Q8" s="394">
        <v>1.6870000000000001</v>
      </c>
      <c r="R8" s="394">
        <v>1.97</v>
      </c>
      <c r="S8" s="394">
        <v>2.2200000000000002</v>
      </c>
      <c r="T8" s="394">
        <v>2.44</v>
      </c>
      <c r="U8" s="394">
        <v>2.6379999999999999</v>
      </c>
      <c r="V8" s="394">
        <v>2.8149999999999999</v>
      </c>
      <c r="W8" s="394">
        <v>2.9449999999999998</v>
      </c>
      <c r="X8" s="394">
        <v>3.0819999999999999</v>
      </c>
      <c r="Y8" s="394">
        <v>1.135</v>
      </c>
      <c r="Z8" s="394">
        <v>1.27</v>
      </c>
      <c r="AA8" s="394">
        <v>1.3959999999999999</v>
      </c>
      <c r="AB8" s="394">
        <v>1.5089999999999999</v>
      </c>
      <c r="AC8" s="394">
        <v>1.61</v>
      </c>
      <c r="AD8" s="394">
        <v>1.669</v>
      </c>
      <c r="AE8" s="394">
        <v>1.73</v>
      </c>
    </row>
    <row r="9" spans="1:31" x14ac:dyDescent="0.25">
      <c r="A9" s="394" t="s">
        <v>1358</v>
      </c>
      <c r="B9" s="394" t="s">
        <v>1359</v>
      </c>
      <c r="C9" s="394" t="s">
        <v>1360</v>
      </c>
      <c r="D9" s="394">
        <v>0</v>
      </c>
      <c r="E9" s="394">
        <v>0</v>
      </c>
      <c r="F9" s="394">
        <v>0</v>
      </c>
      <c r="G9" s="394">
        <v>0.29099999999999998</v>
      </c>
      <c r="H9" s="394">
        <v>0.34499999999999997</v>
      </c>
      <c r="I9" s="394">
        <v>0.35799999999999998</v>
      </c>
      <c r="J9" s="394">
        <v>0.35799999999999998</v>
      </c>
      <c r="K9" s="394">
        <v>0</v>
      </c>
      <c r="L9" s="394">
        <v>0</v>
      </c>
      <c r="M9" s="394">
        <v>0.19600000000000001</v>
      </c>
      <c r="N9" s="394">
        <v>0.23499999999999999</v>
      </c>
      <c r="O9" s="394">
        <v>0.27800000000000002</v>
      </c>
      <c r="P9" s="394">
        <v>0.28499999999999998</v>
      </c>
      <c r="Q9" s="394">
        <v>0.29499999999999998</v>
      </c>
      <c r="R9" s="394">
        <v>0</v>
      </c>
      <c r="S9" s="394">
        <v>0</v>
      </c>
      <c r="T9" s="394">
        <v>0</v>
      </c>
      <c r="U9" s="394">
        <v>0.29099999999999998</v>
      </c>
      <c r="V9" s="394">
        <v>0.34499999999999997</v>
      </c>
      <c r="W9" s="394">
        <v>0.35799999999999998</v>
      </c>
      <c r="X9" s="394">
        <v>0.35799999999999998</v>
      </c>
      <c r="Y9" s="394">
        <v>0</v>
      </c>
      <c r="Z9" s="394">
        <v>0</v>
      </c>
      <c r="AA9" s="394">
        <v>0.19600000000000001</v>
      </c>
      <c r="AB9" s="394">
        <v>0.23499999999999999</v>
      </c>
      <c r="AC9" s="394">
        <v>0.27800000000000002</v>
      </c>
      <c r="AD9" s="394">
        <v>0.28499999999999998</v>
      </c>
      <c r="AE9" s="394">
        <v>0.29499999999999998</v>
      </c>
    </row>
    <row r="10" spans="1:31" s="9" customFormat="1" x14ac:dyDescent="0.25">
      <c r="A10" s="180" t="s">
        <v>1361</v>
      </c>
      <c r="B10" s="180" t="s">
        <v>1362</v>
      </c>
      <c r="C10" s="180" t="s">
        <v>1359</v>
      </c>
      <c r="D10" s="180">
        <v>1.97</v>
      </c>
      <c r="E10" s="180">
        <v>2.1419999999999999</v>
      </c>
      <c r="F10" s="180">
        <v>2.3620000000000001</v>
      </c>
      <c r="G10" s="180">
        <v>2.2690000000000001</v>
      </c>
      <c r="H10" s="180">
        <v>2.3919999999999999</v>
      </c>
      <c r="I10" s="180">
        <v>2.5089999999999999</v>
      </c>
      <c r="J10" s="180">
        <v>2.6459999999999999</v>
      </c>
      <c r="K10" s="180">
        <v>1.127</v>
      </c>
      <c r="L10" s="180">
        <v>1.226</v>
      </c>
      <c r="M10" s="180">
        <v>1.155</v>
      </c>
      <c r="N10" s="180">
        <v>1.2290000000000001</v>
      </c>
      <c r="O10" s="180">
        <v>1.288</v>
      </c>
      <c r="P10" s="180">
        <v>1.34</v>
      </c>
      <c r="Q10" s="180">
        <v>1.391</v>
      </c>
      <c r="R10" s="180">
        <v>1.97</v>
      </c>
      <c r="S10" s="180">
        <v>2.2200000000000002</v>
      </c>
      <c r="T10" s="180">
        <v>2.1989999999999998</v>
      </c>
      <c r="U10" s="180">
        <v>2.347</v>
      </c>
      <c r="V10" s="180">
        <v>2.4700000000000002</v>
      </c>
      <c r="W10" s="180">
        <v>2.5870000000000002</v>
      </c>
      <c r="X10" s="180">
        <v>2.7240000000000002</v>
      </c>
      <c r="Y10" s="180">
        <v>1.135</v>
      </c>
      <c r="Z10" s="180">
        <v>1.27</v>
      </c>
      <c r="AA10" s="180">
        <v>1.2</v>
      </c>
      <c r="AB10" s="180">
        <v>1.274</v>
      </c>
      <c r="AC10" s="180">
        <v>1.333</v>
      </c>
      <c r="AD10" s="180">
        <v>1.385</v>
      </c>
      <c r="AE10" s="180">
        <v>1.4350000000000001</v>
      </c>
    </row>
    <row r="11" spans="1:31" x14ac:dyDescent="0.25">
      <c r="A11" t="s">
        <v>1364</v>
      </c>
      <c r="B11" t="s">
        <v>1356</v>
      </c>
      <c r="C11" t="s">
        <v>1357</v>
      </c>
      <c r="D11">
        <v>51.497</v>
      </c>
      <c r="E11">
        <v>56.011000000000003</v>
      </c>
      <c r="F11">
        <v>61.773000000000003</v>
      </c>
      <c r="G11">
        <v>66.953000000000003</v>
      </c>
      <c r="H11">
        <v>71.582999999999998</v>
      </c>
      <c r="I11">
        <v>75.004999999999995</v>
      </c>
      <c r="J11">
        <v>78.590999999999994</v>
      </c>
      <c r="K11">
        <v>30.28</v>
      </c>
      <c r="L11">
        <v>32.933999999999997</v>
      </c>
      <c r="M11">
        <v>36.322000000000003</v>
      </c>
      <c r="N11">
        <v>39.368000000000002</v>
      </c>
      <c r="O11">
        <v>42.09</v>
      </c>
      <c r="P11">
        <v>44.103000000000002</v>
      </c>
      <c r="Q11">
        <v>46.210999999999999</v>
      </c>
      <c r="R11">
        <v>51.497</v>
      </c>
      <c r="S11">
        <v>58.051000000000002</v>
      </c>
      <c r="T11">
        <v>63.813000000000002</v>
      </c>
      <c r="U11">
        <v>68.992999999999995</v>
      </c>
      <c r="V11">
        <v>73.623000000000005</v>
      </c>
      <c r="W11">
        <v>77.045000000000002</v>
      </c>
      <c r="X11">
        <v>80.631</v>
      </c>
      <c r="Y11">
        <v>30.5</v>
      </c>
      <c r="Z11">
        <v>34.134</v>
      </c>
      <c r="AA11">
        <v>37.521999999999998</v>
      </c>
      <c r="AB11">
        <v>40.567</v>
      </c>
      <c r="AC11">
        <v>43.29</v>
      </c>
      <c r="AD11">
        <v>45.302</v>
      </c>
      <c r="AE11">
        <v>47.411000000000001</v>
      </c>
    </row>
    <row r="12" spans="1:31" x14ac:dyDescent="0.25">
      <c r="A12" t="s">
        <v>1358</v>
      </c>
      <c r="B12" t="s">
        <v>1359</v>
      </c>
      <c r="C12" t="s">
        <v>1360</v>
      </c>
      <c r="D12">
        <v>0</v>
      </c>
      <c r="E12">
        <v>0</v>
      </c>
      <c r="F12">
        <v>2.512</v>
      </c>
      <c r="G12">
        <v>4.25</v>
      </c>
      <c r="H12">
        <v>6.1239999999999997</v>
      </c>
      <c r="I12">
        <v>6.7240000000000002</v>
      </c>
      <c r="J12">
        <v>6.7240000000000002</v>
      </c>
      <c r="K12">
        <v>0</v>
      </c>
      <c r="L12">
        <v>0</v>
      </c>
      <c r="M12">
        <v>1.212</v>
      </c>
      <c r="N12">
        <v>2.3820000000000001</v>
      </c>
      <c r="O12">
        <v>3.5049999999999999</v>
      </c>
      <c r="P12">
        <v>3.8580000000000001</v>
      </c>
      <c r="Q12">
        <v>4.1020000000000003</v>
      </c>
      <c r="R12">
        <v>0</v>
      </c>
      <c r="S12">
        <v>0</v>
      </c>
      <c r="T12">
        <v>2.512</v>
      </c>
      <c r="U12">
        <v>4.25</v>
      </c>
      <c r="V12">
        <v>6.1239999999999997</v>
      </c>
      <c r="W12">
        <v>6.7240000000000002</v>
      </c>
      <c r="X12">
        <v>6.7240000000000002</v>
      </c>
      <c r="Y12">
        <v>0</v>
      </c>
      <c r="Z12">
        <v>0</v>
      </c>
      <c r="AA12">
        <v>1.212</v>
      </c>
      <c r="AB12">
        <v>2.3820000000000001</v>
      </c>
      <c r="AC12">
        <v>3.5049999999999999</v>
      </c>
      <c r="AD12">
        <v>3.8580000000000001</v>
      </c>
      <c r="AE12">
        <v>4.1020000000000003</v>
      </c>
    </row>
    <row r="13" spans="1:31" x14ac:dyDescent="0.25">
      <c r="A13" s="54" t="s">
        <v>1361</v>
      </c>
      <c r="B13" s="54" t="s">
        <v>1362</v>
      </c>
      <c r="C13" s="54" t="s">
        <v>1359</v>
      </c>
      <c r="D13" s="54">
        <v>51.497</v>
      </c>
      <c r="E13" s="54">
        <v>56.011000000000003</v>
      </c>
      <c r="F13" s="54">
        <v>59.26</v>
      </c>
      <c r="G13" s="54">
        <v>62.703000000000003</v>
      </c>
      <c r="H13" s="54">
        <v>65.459000000000003</v>
      </c>
      <c r="I13" s="54">
        <v>68.281999999999996</v>
      </c>
      <c r="J13" s="54">
        <v>71.867999999999995</v>
      </c>
      <c r="K13" s="54">
        <v>30.28</v>
      </c>
      <c r="L13" s="54">
        <v>32.933999999999997</v>
      </c>
      <c r="M13" s="54">
        <v>35.11</v>
      </c>
      <c r="N13" s="54">
        <v>36.985999999999997</v>
      </c>
      <c r="O13" s="54">
        <v>38.585000000000001</v>
      </c>
      <c r="P13" s="54">
        <v>40.244</v>
      </c>
      <c r="Q13" s="54">
        <v>42.109000000000002</v>
      </c>
      <c r="R13" s="54">
        <v>51.497</v>
      </c>
      <c r="S13" s="54">
        <v>58.051000000000002</v>
      </c>
      <c r="T13" s="54">
        <v>61.301000000000002</v>
      </c>
      <c r="U13" s="54">
        <v>64.742999999999995</v>
      </c>
      <c r="V13" s="54">
        <v>67.5</v>
      </c>
      <c r="W13" s="54">
        <v>70.322000000000003</v>
      </c>
      <c r="X13" s="54">
        <v>73.908000000000001</v>
      </c>
      <c r="Y13" s="54">
        <v>30.5</v>
      </c>
      <c r="Z13" s="54">
        <v>34.134</v>
      </c>
      <c r="AA13" s="54">
        <v>36.308999999999997</v>
      </c>
      <c r="AB13" s="54">
        <v>38.185000000000002</v>
      </c>
      <c r="AC13" s="54">
        <v>39.784999999999997</v>
      </c>
      <c r="AD13" s="54">
        <v>41.444000000000003</v>
      </c>
      <c r="AE13" s="54">
        <v>43.308999999999997</v>
      </c>
    </row>
    <row r="14" spans="1:31" x14ac:dyDescent="0.25">
      <c r="A14" t="s">
        <v>1365</v>
      </c>
      <c r="B14" t="s">
        <v>1356</v>
      </c>
      <c r="C14" t="s">
        <v>1357</v>
      </c>
      <c r="D14">
        <v>76.102999999999994</v>
      </c>
      <c r="E14">
        <v>82.768000000000001</v>
      </c>
      <c r="F14">
        <v>91.272000000000006</v>
      </c>
      <c r="G14">
        <v>98.914000000000001</v>
      </c>
      <c r="H14">
        <v>105.742</v>
      </c>
      <c r="I14">
        <v>110.78400000000001</v>
      </c>
      <c r="J14">
        <v>116.066</v>
      </c>
      <c r="K14">
        <v>45.497999999999998</v>
      </c>
      <c r="L14">
        <v>49.482999999999997</v>
      </c>
      <c r="M14">
        <v>54.567</v>
      </c>
      <c r="N14">
        <v>59.136000000000003</v>
      </c>
      <c r="O14">
        <v>63.218000000000004</v>
      </c>
      <c r="P14">
        <v>66.231999999999999</v>
      </c>
      <c r="Q14">
        <v>69.39</v>
      </c>
      <c r="R14">
        <v>76.102999999999994</v>
      </c>
      <c r="S14">
        <v>85.783000000000001</v>
      </c>
      <c r="T14">
        <v>94.287000000000006</v>
      </c>
      <c r="U14">
        <v>101.929</v>
      </c>
      <c r="V14">
        <v>108.756</v>
      </c>
      <c r="W14">
        <v>113.797</v>
      </c>
      <c r="X14">
        <v>119.07899999999999</v>
      </c>
      <c r="Y14">
        <v>45.829000000000001</v>
      </c>
      <c r="Z14">
        <v>51.286000000000001</v>
      </c>
      <c r="AA14">
        <v>56.37</v>
      </c>
      <c r="AB14">
        <v>60.938000000000002</v>
      </c>
      <c r="AC14">
        <v>65.02</v>
      </c>
      <c r="AD14">
        <v>68.034000000000006</v>
      </c>
      <c r="AE14">
        <v>71.191999999999993</v>
      </c>
    </row>
    <row r="15" spans="1:31" x14ac:dyDescent="0.25">
      <c r="A15" t="s">
        <v>1358</v>
      </c>
      <c r="B15" t="s">
        <v>1359</v>
      </c>
      <c r="C15" t="s">
        <v>1360</v>
      </c>
      <c r="D15">
        <v>0</v>
      </c>
      <c r="E15">
        <v>0</v>
      </c>
      <c r="F15">
        <v>43.298999999999999</v>
      </c>
      <c r="G15">
        <v>50.122999999999998</v>
      </c>
      <c r="H15">
        <v>53.024999999999999</v>
      </c>
      <c r="I15">
        <v>55.152999999999999</v>
      </c>
      <c r="J15">
        <v>55.152999999999999</v>
      </c>
      <c r="K15">
        <v>0</v>
      </c>
      <c r="L15">
        <v>0</v>
      </c>
      <c r="M15">
        <v>25.140999999999998</v>
      </c>
      <c r="N15">
        <v>29.481000000000002</v>
      </c>
      <c r="O15">
        <v>31.38</v>
      </c>
      <c r="P15">
        <v>32.68</v>
      </c>
      <c r="Q15">
        <v>34.463999999999999</v>
      </c>
      <c r="R15">
        <v>0</v>
      </c>
      <c r="S15">
        <v>0</v>
      </c>
      <c r="T15">
        <v>43.298999999999999</v>
      </c>
      <c r="U15">
        <v>50.122999999999998</v>
      </c>
      <c r="V15">
        <v>53.024999999999999</v>
      </c>
      <c r="W15">
        <v>55.152999999999999</v>
      </c>
      <c r="X15">
        <v>55.152999999999999</v>
      </c>
      <c r="Y15">
        <v>0</v>
      </c>
      <c r="Z15">
        <v>0</v>
      </c>
      <c r="AA15">
        <v>25.140999999999998</v>
      </c>
      <c r="AB15">
        <v>29.481000000000002</v>
      </c>
      <c r="AC15">
        <v>31.38</v>
      </c>
      <c r="AD15">
        <v>32.68</v>
      </c>
      <c r="AE15">
        <v>34.463999999999999</v>
      </c>
    </row>
    <row r="16" spans="1:31" x14ac:dyDescent="0.25">
      <c r="A16" s="54" t="s">
        <v>1361</v>
      </c>
      <c r="B16" s="54" t="s">
        <v>1362</v>
      </c>
      <c r="C16" s="54" t="s">
        <v>1359</v>
      </c>
      <c r="D16" s="54">
        <v>76.102999999999994</v>
      </c>
      <c r="E16" s="54">
        <v>82.768000000000001</v>
      </c>
      <c r="F16" s="54">
        <v>47.972999999999999</v>
      </c>
      <c r="G16" s="54">
        <v>48.790999999999997</v>
      </c>
      <c r="H16" s="54">
        <v>52.716999999999999</v>
      </c>
      <c r="I16" s="54">
        <v>55.631</v>
      </c>
      <c r="J16" s="54">
        <v>60.914000000000001</v>
      </c>
      <c r="K16" s="54">
        <v>45.497999999999998</v>
      </c>
      <c r="L16" s="54">
        <v>49.482999999999997</v>
      </c>
      <c r="M16" s="54">
        <v>29.425999999999998</v>
      </c>
      <c r="N16" s="54">
        <v>29.655000000000001</v>
      </c>
      <c r="O16" s="54">
        <v>31.838999999999999</v>
      </c>
      <c r="P16" s="54">
        <v>33.552</v>
      </c>
      <c r="Q16" s="54">
        <v>34.926000000000002</v>
      </c>
      <c r="R16" s="54">
        <v>76.102999999999994</v>
      </c>
      <c r="S16" s="54">
        <v>85.783000000000001</v>
      </c>
      <c r="T16" s="54">
        <v>50.987000000000002</v>
      </c>
      <c r="U16" s="54">
        <v>51.805</v>
      </c>
      <c r="V16" s="54">
        <v>55.731000000000002</v>
      </c>
      <c r="W16" s="54">
        <v>58.645000000000003</v>
      </c>
      <c r="X16" s="54">
        <v>63.927</v>
      </c>
      <c r="Y16" s="54">
        <v>45.829000000000001</v>
      </c>
      <c r="Z16" s="54">
        <v>51.286000000000001</v>
      </c>
      <c r="AA16" s="54">
        <v>31.228999999999999</v>
      </c>
      <c r="AB16" s="54">
        <v>31.457000000000001</v>
      </c>
      <c r="AC16" s="54">
        <v>33.64</v>
      </c>
      <c r="AD16" s="54">
        <v>35.353999999999999</v>
      </c>
      <c r="AE16" s="54">
        <v>36.726999999999997</v>
      </c>
    </row>
    <row r="18" spans="31:32" x14ac:dyDescent="0.25">
      <c r="AE18">
        <f>AE16+AE13+AE7</f>
        <v>130.99099999999999</v>
      </c>
      <c r="AF18">
        <f>10%</f>
        <v>0.1</v>
      </c>
    </row>
    <row r="19" spans="31:32" x14ac:dyDescent="0.25">
      <c r="AE19">
        <f>AE18*(1-AF18)</f>
        <v>117.89189999999999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14"/>
  <sheetViews>
    <sheetView workbookViewId="0">
      <selection activeCell="B10" sqref="B10"/>
    </sheetView>
  </sheetViews>
  <sheetFormatPr defaultRowHeight="15" x14ac:dyDescent="0.25"/>
  <cols>
    <col min="1" max="1" width="22.5703125" customWidth="1"/>
    <col min="2" max="2" width="10.42578125" customWidth="1"/>
    <col min="3" max="3" width="12" bestFit="1" customWidth="1"/>
    <col min="4" max="4" width="9.5703125" bestFit="1" customWidth="1"/>
  </cols>
  <sheetData>
    <row r="1" spans="1:16" x14ac:dyDescent="0.25">
      <c r="A1" t="s">
        <v>88</v>
      </c>
      <c r="B1">
        <v>1</v>
      </c>
      <c r="C1" s="3">
        <f xml:space="preserve"> B1*4046.85642</f>
        <v>4046.8564200000001</v>
      </c>
      <c r="N1" t="s">
        <v>308</v>
      </c>
    </row>
    <row r="2" spans="1:16" x14ac:dyDescent="0.25">
      <c r="A2" t="s">
        <v>137</v>
      </c>
      <c r="B2">
        <v>1</v>
      </c>
      <c r="C2">
        <v>158.98729499999999</v>
      </c>
      <c r="N2">
        <v>2.0699999999999998</v>
      </c>
      <c r="O2">
        <v>1.24</v>
      </c>
      <c r="P2">
        <v>5.29</v>
      </c>
    </row>
    <row r="3" spans="1:16" x14ac:dyDescent="0.25">
      <c r="A3" t="s">
        <v>138</v>
      </c>
      <c r="B3">
        <v>283</v>
      </c>
      <c r="C3">
        <f>B3*0.00378541178</f>
        <v>1.0712715337400001</v>
      </c>
      <c r="N3">
        <v>0.95</v>
      </c>
      <c r="O3">
        <v>0.12</v>
      </c>
      <c r="P3">
        <v>6.33</v>
      </c>
    </row>
    <row r="4" spans="1:16" x14ac:dyDescent="0.25">
      <c r="A4" s="4" t="s">
        <v>140</v>
      </c>
      <c r="B4" s="82">
        <v>1</v>
      </c>
      <c r="C4" s="81">
        <f>B4/3.6</f>
        <v>0.27777777777777779</v>
      </c>
      <c r="D4" t="s">
        <v>1412</v>
      </c>
    </row>
    <row r="5" spans="1:16" x14ac:dyDescent="0.25">
      <c r="C5">
        <f>C4*1000000000</f>
        <v>277777777.77777779</v>
      </c>
      <c r="D5" t="s">
        <v>1413</v>
      </c>
      <c r="N5" s="81">
        <f>N2*$C$2*0.001</f>
        <v>0.32910370064999994</v>
      </c>
      <c r="O5" s="81">
        <f t="shared" ref="O5:P6" si="0">O2*$C$2*0.001</f>
        <v>0.19714424580000001</v>
      </c>
      <c r="P5" s="81">
        <f t="shared" si="0"/>
        <v>0.84104279054999997</v>
      </c>
    </row>
    <row r="6" spans="1:16" x14ac:dyDescent="0.25">
      <c r="C6" s="81">
        <f>C5*0.000000001</f>
        <v>0.27777777777777779</v>
      </c>
      <c r="D6" s="81">
        <v>0.27777777777777779</v>
      </c>
      <c r="E6" t="s">
        <v>217</v>
      </c>
      <c r="N6" s="81">
        <f>N3*$C$2*0.001</f>
        <v>0.15103793024999998</v>
      </c>
      <c r="O6" s="81">
        <f t="shared" si="0"/>
        <v>1.9078475399999999E-2</v>
      </c>
      <c r="P6" s="81">
        <f t="shared" si="0"/>
        <v>1.00638957735</v>
      </c>
    </row>
    <row r="8" spans="1:16" x14ac:dyDescent="0.25">
      <c r="A8" t="s">
        <v>141</v>
      </c>
      <c r="B8" s="82">
        <v>1</v>
      </c>
      <c r="C8">
        <f>0.0036*B8</f>
        <v>3.5999999999999999E-3</v>
      </c>
      <c r="D8" s="399">
        <v>3.5999999999999999E-3</v>
      </c>
      <c r="E8" t="s">
        <v>149</v>
      </c>
    </row>
    <row r="10" spans="1:16" x14ac:dyDescent="0.25">
      <c r="A10" s="518" t="s">
        <v>1463</v>
      </c>
    </row>
    <row r="11" spans="1:16" x14ac:dyDescent="0.25">
      <c r="A11" s="518" t="s">
        <v>1744</v>
      </c>
      <c r="B11">
        <v>3.7854000000000001</v>
      </c>
    </row>
    <row r="12" spans="1:16" x14ac:dyDescent="0.25">
      <c r="B12" s="90"/>
    </row>
    <row r="13" spans="1:16" x14ac:dyDescent="0.25">
      <c r="B13" s="90"/>
    </row>
    <row r="14" spans="1:16" x14ac:dyDescent="0.25">
      <c r="B14" s="399"/>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3"/>
  <sheetViews>
    <sheetView workbookViewId="0">
      <selection activeCell="I15" sqref="I15"/>
    </sheetView>
  </sheetViews>
  <sheetFormatPr defaultRowHeight="15" x14ac:dyDescent="0.25"/>
  <sheetData>
    <row r="1" spans="1:4" x14ac:dyDescent="0.25">
      <c r="A1" t="s">
        <v>139</v>
      </c>
    </row>
    <row r="2" spans="1:4" x14ac:dyDescent="0.25">
      <c r="A2" t="s">
        <v>89</v>
      </c>
      <c r="B2">
        <v>115</v>
      </c>
      <c r="C2">
        <f>B2*B3</f>
        <v>20700000</v>
      </c>
      <c r="D2">
        <f>C2*0.000001</f>
        <v>20.7</v>
      </c>
    </row>
    <row r="3" spans="1:4" x14ac:dyDescent="0.25">
      <c r="A3" t="s">
        <v>90</v>
      </c>
      <c r="B3">
        <v>180000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0000"/>
  </sheetPr>
  <dimension ref="A1:AR52"/>
  <sheetViews>
    <sheetView zoomScale="70" zoomScaleNormal="70" workbookViewId="0">
      <pane ySplit="8" topLeftCell="A21" activePane="bottomLeft" state="frozen"/>
      <selection pane="bottomLeft" activeCell="T28" sqref="T28"/>
    </sheetView>
  </sheetViews>
  <sheetFormatPr defaultRowHeight="15" x14ac:dyDescent="0.25"/>
  <cols>
    <col min="1" max="1" width="20.140625" customWidth="1"/>
    <col min="2" max="2" width="16" customWidth="1"/>
    <col min="3" max="3" width="5" customWidth="1"/>
    <col min="4" max="4" width="38.7109375" customWidth="1"/>
    <col min="5" max="5" width="14.85546875" customWidth="1"/>
    <col min="6" max="6" width="14.140625" customWidth="1"/>
    <col min="7" max="7" width="14.5703125" customWidth="1"/>
    <col min="8" max="8" width="17.85546875" style="441" customWidth="1"/>
    <col min="9" max="9" width="15.28515625" style="441" customWidth="1"/>
    <col min="10" max="10" width="11.85546875" style="463" customWidth="1"/>
    <col min="11" max="12" width="11.42578125" customWidth="1"/>
    <col min="13" max="13" width="10" bestFit="1" customWidth="1"/>
    <col min="14" max="14" width="10" customWidth="1"/>
    <col min="15" max="15" width="10" bestFit="1" customWidth="1"/>
    <col min="16" max="16" width="10" customWidth="1"/>
    <col min="21" max="21" width="12.5703125" customWidth="1"/>
    <col min="22" max="23" width="10.7109375" customWidth="1"/>
    <col min="24" max="24" width="10.28515625" customWidth="1"/>
    <col min="25" max="25" width="10" customWidth="1"/>
  </cols>
  <sheetData>
    <row r="1" spans="1:44" x14ac:dyDescent="0.25">
      <c r="A1" s="458" t="s">
        <v>495</v>
      </c>
      <c r="B1" s="459"/>
      <c r="C1" s="459"/>
      <c r="D1" s="439"/>
    </row>
    <row r="3" spans="1:44" s="45" customFormat="1" x14ac:dyDescent="0.25">
      <c r="H3" s="247"/>
      <c r="I3" s="247"/>
      <c r="J3" s="464"/>
    </row>
    <row r="4" spans="1:44" s="45" customFormat="1" x14ac:dyDescent="0.25">
      <c r="B4" s="5"/>
      <c r="C4" s="5"/>
      <c r="H4" s="247"/>
      <c r="I4" s="247"/>
      <c r="J4" s="464"/>
    </row>
    <row r="5" spans="1:44" s="45" customFormat="1" x14ac:dyDescent="0.25">
      <c r="A5" s="5"/>
      <c r="B5" s="5"/>
      <c r="C5" s="5"/>
      <c r="H5" s="247"/>
      <c r="I5" s="247"/>
      <c r="J5" s="464"/>
    </row>
    <row r="6" spans="1:44" s="45" customFormat="1" x14ac:dyDescent="0.25">
      <c r="A6" s="5"/>
      <c r="B6" s="5"/>
      <c r="C6" s="5"/>
      <c r="H6" s="247"/>
      <c r="I6" s="247"/>
      <c r="J6" s="464"/>
    </row>
    <row r="7" spans="1:44" s="45" customFormat="1" x14ac:dyDescent="0.25">
      <c r="A7" s="5"/>
      <c r="B7" s="5"/>
      <c r="C7" s="5"/>
      <c r="H7" s="247"/>
      <c r="I7" s="247"/>
      <c r="J7" s="464"/>
    </row>
    <row r="8" spans="1:44" ht="15.75" thickBot="1" x14ac:dyDescent="0.3">
      <c r="A8" s="5"/>
      <c r="B8" t="s">
        <v>831</v>
      </c>
      <c r="C8" t="s">
        <v>920</v>
      </c>
      <c r="D8" t="s">
        <v>55</v>
      </c>
      <c r="E8" s="567" t="s">
        <v>817</v>
      </c>
      <c r="F8" s="567" t="s">
        <v>818</v>
      </c>
      <c r="G8" s="567" t="s">
        <v>819</v>
      </c>
      <c r="H8" s="567" t="s">
        <v>841</v>
      </c>
      <c r="I8" s="567" t="s">
        <v>840</v>
      </c>
      <c r="J8" s="465">
        <v>2006</v>
      </c>
      <c r="K8" s="388">
        <v>2010</v>
      </c>
      <c r="L8" s="388">
        <v>2011</v>
      </c>
      <c r="M8" s="388">
        <v>2012</v>
      </c>
      <c r="N8" s="388">
        <v>2013</v>
      </c>
      <c r="O8" s="388">
        <v>2014</v>
      </c>
      <c r="P8" s="388">
        <v>2015</v>
      </c>
      <c r="Q8" s="388">
        <v>2016</v>
      </c>
      <c r="R8" s="388">
        <v>2017</v>
      </c>
      <c r="S8" s="388">
        <v>2018</v>
      </c>
      <c r="T8" s="388">
        <v>2019</v>
      </c>
      <c r="U8" s="388">
        <v>2020</v>
      </c>
      <c r="V8" s="388">
        <v>2021</v>
      </c>
      <c r="W8" s="388">
        <v>2022</v>
      </c>
      <c r="X8" s="388">
        <v>2023</v>
      </c>
      <c r="Y8" s="388">
        <v>2024</v>
      </c>
      <c r="Z8" s="388">
        <v>2025</v>
      </c>
      <c r="AA8" s="388">
        <v>2026</v>
      </c>
      <c r="AB8" s="388">
        <v>2027</v>
      </c>
      <c r="AC8" s="388">
        <v>2028</v>
      </c>
      <c r="AD8" s="388">
        <v>2029</v>
      </c>
      <c r="AE8" s="388">
        <v>2030</v>
      </c>
      <c r="AF8" s="388">
        <v>2031</v>
      </c>
      <c r="AG8" s="388">
        <v>2032</v>
      </c>
      <c r="AH8" s="388">
        <v>2033</v>
      </c>
      <c r="AI8" s="388">
        <v>2034</v>
      </c>
      <c r="AJ8" s="388">
        <v>2035</v>
      </c>
      <c r="AK8" s="388">
        <v>2036</v>
      </c>
      <c r="AL8" s="388">
        <v>2037</v>
      </c>
      <c r="AM8" s="388">
        <v>2038</v>
      </c>
      <c r="AN8" s="388">
        <v>2039</v>
      </c>
      <c r="AO8" s="388">
        <v>2040</v>
      </c>
      <c r="AP8" s="388">
        <v>2045</v>
      </c>
      <c r="AQ8" s="388">
        <v>2050</v>
      </c>
      <c r="AR8" s="389"/>
    </row>
    <row r="9" spans="1:44" ht="17.25" x14ac:dyDescent="0.25">
      <c r="A9" s="5" t="s">
        <v>830</v>
      </c>
      <c r="B9" s="5"/>
      <c r="C9" s="5"/>
      <c r="J9" s="464">
        <f>seasonal!$B$4</f>
        <v>21</v>
      </c>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row>
    <row r="10" spans="1:44" x14ac:dyDescent="0.25">
      <c r="E10" s="389"/>
      <c r="F10" s="389"/>
      <c r="G10" s="389"/>
      <c r="H10" s="389"/>
      <c r="I10" s="389"/>
      <c r="J10" s="466"/>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9"/>
      <c r="AO10" s="389"/>
      <c r="AP10" s="389"/>
      <c r="AQ10" s="389"/>
      <c r="AR10" s="389"/>
    </row>
    <row r="11" spans="1:44" x14ac:dyDescent="0.25">
      <c r="A11" s="5" t="s">
        <v>894</v>
      </c>
      <c r="B11" t="s">
        <v>907</v>
      </c>
      <c r="C11" t="s">
        <v>906</v>
      </c>
      <c r="D11" s="5"/>
      <c r="E11" s="389"/>
      <c r="F11" s="389"/>
      <c r="G11" s="389"/>
      <c r="H11" s="389"/>
      <c r="I11" s="389"/>
      <c r="J11" s="466"/>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row>
    <row r="12" spans="1:44" x14ac:dyDescent="0.25">
      <c r="A12" s="5"/>
      <c r="E12" s="389"/>
      <c r="F12" s="389"/>
      <c r="G12" s="389"/>
      <c r="H12" s="389"/>
      <c r="I12" s="389"/>
      <c r="J12" s="466"/>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9"/>
      <c r="AO12" s="389"/>
      <c r="AP12" s="389"/>
      <c r="AQ12" s="389"/>
      <c r="AR12" s="389"/>
    </row>
    <row r="13" spans="1:44" s="193" customFormat="1" x14ac:dyDescent="0.25">
      <c r="A13" s="411" t="s">
        <v>1416</v>
      </c>
      <c r="E13" s="504"/>
      <c r="F13" s="504"/>
      <c r="G13" s="504"/>
      <c r="H13" s="504"/>
      <c r="I13" s="504"/>
      <c r="J13" s="505"/>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504"/>
      <c r="AH13" s="504"/>
      <c r="AI13" s="504"/>
      <c r="AJ13" s="504"/>
      <c r="AK13" s="504"/>
      <c r="AL13" s="504"/>
      <c r="AM13" s="504"/>
      <c r="AN13" s="504"/>
      <c r="AO13" s="504"/>
      <c r="AP13" s="504"/>
      <c r="AQ13" s="504"/>
      <c r="AR13" s="504"/>
    </row>
    <row r="14" spans="1:44" s="59" customFormat="1" x14ac:dyDescent="0.25">
      <c r="A14" s="500"/>
      <c r="E14" s="389"/>
      <c r="F14" s="389"/>
      <c r="G14" s="389"/>
      <c r="H14" s="389"/>
      <c r="I14" s="389"/>
      <c r="J14" s="466"/>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row>
    <row r="15" spans="1:44" s="59" customFormat="1" x14ac:dyDescent="0.25">
      <c r="A15" s="500"/>
      <c r="E15" s="389"/>
      <c r="F15" s="389"/>
      <c r="G15" s="389"/>
      <c r="H15" s="389"/>
      <c r="I15" s="389"/>
      <c r="J15" s="466"/>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c r="AO15" s="389"/>
      <c r="AP15" s="389"/>
      <c r="AQ15" s="389"/>
      <c r="AR15" s="389"/>
    </row>
    <row r="16" spans="1:44" x14ac:dyDescent="0.25">
      <c r="A16" s="5"/>
      <c r="E16" s="389"/>
      <c r="F16" s="389"/>
      <c r="G16" s="389"/>
      <c r="H16" s="389"/>
      <c r="I16" s="389"/>
      <c r="J16" s="466"/>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row>
    <row r="17" spans="1:44" s="193" customFormat="1" x14ac:dyDescent="0.25">
      <c r="A17" s="411" t="s">
        <v>1417</v>
      </c>
      <c r="E17" s="504"/>
      <c r="F17" s="504"/>
      <c r="G17" s="504"/>
      <c r="H17" s="504"/>
      <c r="I17" s="504"/>
      <c r="J17" s="505"/>
      <c r="K17" s="504"/>
      <c r="L17" s="504"/>
      <c r="M17" s="504"/>
      <c r="N17" s="504"/>
      <c r="O17" s="504"/>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row>
    <row r="18" spans="1:44" x14ac:dyDescent="0.25">
      <c r="B18" t="s">
        <v>946</v>
      </c>
      <c r="D18" s="5" t="s">
        <v>944</v>
      </c>
      <c r="F18" t="s">
        <v>821</v>
      </c>
      <c r="G18" s="389"/>
      <c r="H18" s="389"/>
      <c r="I18" t="s">
        <v>730</v>
      </c>
      <c r="K18" s="417">
        <v>15811.371841155233</v>
      </c>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row>
    <row r="19" spans="1:44" x14ac:dyDescent="0.25">
      <c r="A19" s="5"/>
      <c r="G19" s="389"/>
      <c r="H19"/>
      <c r="I19" t="s">
        <v>571</v>
      </c>
      <c r="J19" s="467">
        <f>J25*(1.004)</f>
        <v>0.36254439999999999</v>
      </c>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89"/>
      <c r="AM19" s="389"/>
      <c r="AN19" s="389"/>
      <c r="AO19" s="389"/>
      <c r="AP19" s="389"/>
      <c r="AQ19" s="389"/>
      <c r="AR19" s="389"/>
    </row>
    <row r="20" spans="1:44" x14ac:dyDescent="0.25">
      <c r="A20" s="5"/>
      <c r="E20" t="s">
        <v>820</v>
      </c>
      <c r="G20" s="389"/>
      <c r="H20"/>
      <c r="I20" s="389"/>
      <c r="K20" s="389"/>
      <c r="L20" s="389"/>
      <c r="M20" s="389"/>
      <c r="N20" s="389"/>
      <c r="O20" s="389"/>
      <c r="P20" s="389"/>
      <c r="Q20" s="389"/>
      <c r="R20" s="389"/>
      <c r="S20" s="389"/>
      <c r="T20" s="389"/>
      <c r="U20" s="389"/>
      <c r="V20" s="389"/>
      <c r="W20" s="389"/>
      <c r="X20" s="389"/>
      <c r="Y20" s="389"/>
      <c r="Z20" s="389"/>
      <c r="AA20" s="389"/>
      <c r="AB20" s="389"/>
      <c r="AC20" s="389"/>
      <c r="AD20" s="389"/>
      <c r="AE20" s="389"/>
      <c r="AF20" s="389"/>
      <c r="AG20" s="389"/>
      <c r="AH20" s="389"/>
      <c r="AI20" s="389"/>
      <c r="AJ20" s="389"/>
      <c r="AK20" s="389"/>
      <c r="AL20" s="389"/>
      <c r="AM20" s="389"/>
      <c r="AN20" s="389"/>
      <c r="AO20" s="389"/>
      <c r="AP20" s="389"/>
      <c r="AQ20" s="389"/>
      <c r="AR20" s="389"/>
    </row>
    <row r="21" spans="1:44" x14ac:dyDescent="0.25">
      <c r="A21" s="5"/>
      <c r="D21" s="4" t="s">
        <v>735</v>
      </c>
      <c r="E21" t="s">
        <v>812</v>
      </c>
      <c r="G21" s="389"/>
      <c r="I21" t="s">
        <v>842</v>
      </c>
      <c r="J21" s="468">
        <f>'Eskom coal pwr plants'!I4</f>
        <v>6.3888888888888893E-3</v>
      </c>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row>
    <row r="22" spans="1:44" x14ac:dyDescent="0.25">
      <c r="A22" s="5"/>
      <c r="D22" s="4" t="s">
        <v>734</v>
      </c>
      <c r="E22" t="s">
        <v>811</v>
      </c>
      <c r="G22" s="389"/>
      <c r="I22" t="s">
        <v>842</v>
      </c>
      <c r="J22" s="468">
        <f>'Eskom coal pwr plants'!G4</f>
        <v>2.5000000000000001E-2</v>
      </c>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89"/>
      <c r="AO22" s="389"/>
      <c r="AP22" s="389"/>
      <c r="AQ22" s="389"/>
      <c r="AR22" s="389"/>
    </row>
    <row r="23" spans="1:44" x14ac:dyDescent="0.25">
      <c r="A23" s="5"/>
      <c r="D23" s="4"/>
      <c r="F23" s="389"/>
      <c r="G23" s="389"/>
      <c r="H23"/>
      <c r="I23" s="389"/>
      <c r="J23" s="469"/>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row>
    <row r="24" spans="1:44" x14ac:dyDescent="0.25">
      <c r="A24" s="5"/>
      <c r="B24" s="5" t="s">
        <v>947</v>
      </c>
      <c r="D24" s="5" t="s">
        <v>945</v>
      </c>
      <c r="F24" t="s">
        <v>821</v>
      </c>
      <c r="G24" s="389"/>
      <c r="H24" s="389"/>
      <c r="I24" t="s">
        <v>730</v>
      </c>
      <c r="K24" s="417">
        <v>19469.3141</v>
      </c>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9"/>
      <c r="AO24" s="389"/>
      <c r="AP24" s="389"/>
      <c r="AQ24" s="389"/>
      <c r="AR24" s="389"/>
    </row>
    <row r="25" spans="1:44" x14ac:dyDescent="0.25">
      <c r="A25" s="5"/>
      <c r="F25" t="s">
        <v>822</v>
      </c>
      <c r="G25" s="389"/>
      <c r="H25"/>
      <c r="I25" s="4" t="s">
        <v>571</v>
      </c>
      <c r="J25" s="467">
        <f>0.3761 -0.015</f>
        <v>0.36109999999999998</v>
      </c>
      <c r="K25" s="389"/>
      <c r="L25" s="389"/>
      <c r="M25" s="389"/>
      <c r="N25" s="389"/>
      <c r="O25" s="389"/>
      <c r="P25" s="389"/>
      <c r="Q25" s="389"/>
      <c r="R25" s="389"/>
      <c r="S25" s="389"/>
      <c r="T25" s="389"/>
      <c r="U25" s="389"/>
      <c r="V25" s="389"/>
      <c r="W25" s="389"/>
      <c r="X25" s="389"/>
      <c r="Y25" s="389"/>
      <c r="Z25" s="389"/>
      <c r="AA25" s="389"/>
      <c r="AB25" s="389"/>
      <c r="AC25" s="389"/>
      <c r="AD25" s="389"/>
      <c r="AE25" s="389"/>
      <c r="AF25" s="389"/>
      <c r="AG25" s="389"/>
      <c r="AH25" s="389"/>
      <c r="AI25" s="389"/>
      <c r="AJ25" s="389"/>
      <c r="AK25" s="389"/>
      <c r="AL25" s="389"/>
      <c r="AM25" s="389"/>
      <c r="AN25" s="389"/>
      <c r="AO25" s="389"/>
      <c r="AP25" s="389"/>
      <c r="AQ25" s="389"/>
      <c r="AR25" s="389"/>
    </row>
    <row r="26" spans="1:44" x14ac:dyDescent="0.25">
      <c r="A26" s="5"/>
      <c r="E26" t="s">
        <v>820</v>
      </c>
      <c r="G26" s="389"/>
      <c r="H26"/>
      <c r="I26" s="389"/>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89"/>
      <c r="AM26" s="389"/>
      <c r="AN26" s="389"/>
      <c r="AO26" s="389"/>
      <c r="AP26" s="389"/>
      <c r="AQ26" s="389"/>
      <c r="AR26" s="389"/>
    </row>
    <row r="27" spans="1:44" x14ac:dyDescent="0.25">
      <c r="A27" s="5"/>
      <c r="D27" s="4" t="s">
        <v>735</v>
      </c>
      <c r="E27" t="s">
        <v>812</v>
      </c>
      <c r="G27" s="389"/>
      <c r="I27" t="s">
        <v>842</v>
      </c>
      <c r="J27" s="468">
        <f>J21</f>
        <v>6.3888888888888893E-3</v>
      </c>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c r="AO27" s="389"/>
      <c r="AP27" s="389"/>
      <c r="AQ27" s="389"/>
      <c r="AR27" s="389"/>
    </row>
    <row r="28" spans="1:44" x14ac:dyDescent="0.25">
      <c r="A28" s="5"/>
      <c r="D28" s="4" t="s">
        <v>1835</v>
      </c>
      <c r="E28" t="s">
        <v>811</v>
      </c>
      <c r="F28" s="389"/>
      <c r="G28" s="389"/>
      <c r="I28" t="s">
        <v>842</v>
      </c>
      <c r="J28" s="469">
        <f>'Eskom coal pwr plants'!G4</f>
        <v>2.5000000000000001E-2</v>
      </c>
      <c r="K28" s="389"/>
      <c r="L28" s="389"/>
      <c r="M28" s="389"/>
      <c r="N28" s="389"/>
      <c r="O28" s="389"/>
      <c r="P28" s="389"/>
      <c r="Q28" s="389"/>
      <c r="R28" s="389"/>
      <c r="S28" s="389"/>
      <c r="T28" s="389"/>
      <c r="U28" s="745">
        <f>J28+'Eskom coal pwr plants'!$N$1</f>
        <v>8.0555555555555561E-2</v>
      </c>
      <c r="V28" s="389"/>
      <c r="W28" s="389"/>
      <c r="X28" s="389"/>
      <c r="Y28" s="389"/>
      <c r="Z28" s="389"/>
      <c r="AA28" s="389"/>
      <c r="AB28" s="389"/>
      <c r="AC28" s="389"/>
      <c r="AD28" s="389"/>
      <c r="AE28" s="389"/>
      <c r="AF28" s="389"/>
      <c r="AG28" s="389"/>
      <c r="AH28" s="389"/>
      <c r="AI28" s="389"/>
      <c r="AJ28" s="389"/>
      <c r="AK28" s="389"/>
      <c r="AL28" s="389"/>
      <c r="AM28" s="389"/>
      <c r="AN28" s="389"/>
      <c r="AO28" s="389"/>
      <c r="AP28" s="389"/>
      <c r="AQ28" s="389"/>
      <c r="AR28" s="389"/>
    </row>
    <row r="29" spans="1:44" x14ac:dyDescent="0.25">
      <c r="A29" s="5"/>
      <c r="F29" s="389"/>
      <c r="G29" s="389"/>
      <c r="H29"/>
      <c r="J29" s="466"/>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9"/>
      <c r="AO29" s="389"/>
      <c r="AP29" s="389"/>
      <c r="AQ29" s="389"/>
      <c r="AR29" s="389"/>
    </row>
    <row r="30" spans="1:44" x14ac:dyDescent="0.25">
      <c r="A30" s="5"/>
      <c r="B30" t="s">
        <v>739</v>
      </c>
      <c r="D30" s="5" t="s">
        <v>1345</v>
      </c>
      <c r="F30" s="389"/>
      <c r="G30" s="389"/>
      <c r="H30" s="81"/>
      <c r="I30" s="496"/>
      <c r="J30" s="466"/>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9"/>
      <c r="AO30" s="389"/>
      <c r="AP30" s="389"/>
      <c r="AQ30" s="389"/>
      <c r="AR30" s="389"/>
    </row>
    <row r="31" spans="1:44" x14ac:dyDescent="0.25">
      <c r="A31" s="5"/>
      <c r="F31" t="s">
        <v>821</v>
      </c>
      <c r="G31" s="389"/>
      <c r="H31" s="389"/>
      <c r="I31" t="s">
        <v>730</v>
      </c>
      <c r="K31" s="417">
        <f>0.9*K24</f>
        <v>17522.382689999999</v>
      </c>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9"/>
      <c r="AO31" s="389"/>
      <c r="AP31" s="389"/>
      <c r="AQ31" s="389"/>
      <c r="AR31" s="389"/>
    </row>
    <row r="32" spans="1:44" x14ac:dyDescent="0.25">
      <c r="A32" s="5"/>
      <c r="F32" t="s">
        <v>822</v>
      </c>
      <c r="G32" s="389"/>
      <c r="H32" s="81"/>
      <c r="I32" s="4" t="s">
        <v>571</v>
      </c>
      <c r="J32" s="467">
        <f>0.3761 + 0.005 +'fgd costs'!$C$32</f>
        <v>0.37609999999999999</v>
      </c>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9"/>
      <c r="AO32" s="389"/>
      <c r="AP32" s="389"/>
      <c r="AQ32" s="389"/>
      <c r="AR32" s="389"/>
    </row>
    <row r="33" spans="1:44" x14ac:dyDescent="0.25">
      <c r="A33" s="5"/>
      <c r="E33" t="s">
        <v>820</v>
      </c>
      <c r="G33" s="389"/>
      <c r="H33"/>
      <c r="I33" s="389"/>
      <c r="K33" s="389"/>
      <c r="L33" s="389"/>
      <c r="M33" s="389"/>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89"/>
      <c r="AM33" s="389"/>
      <c r="AN33" s="389"/>
      <c r="AO33" s="389"/>
      <c r="AP33" s="389"/>
      <c r="AQ33" s="389"/>
      <c r="AR33" s="389"/>
    </row>
    <row r="34" spans="1:44" x14ac:dyDescent="0.25">
      <c r="A34" s="5"/>
      <c r="D34" s="4" t="s">
        <v>735</v>
      </c>
      <c r="E34" t="s">
        <v>812</v>
      </c>
      <c r="G34" s="389"/>
      <c r="H34" s="474"/>
      <c r="I34" t="s">
        <v>842</v>
      </c>
      <c r="J34" s="468">
        <f>J21</f>
        <v>6.3888888888888893E-3</v>
      </c>
      <c r="L34" s="389"/>
      <c r="M34" s="389"/>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row>
    <row r="35" spans="1:44" x14ac:dyDescent="0.25">
      <c r="A35" s="5"/>
      <c r="D35" s="4" t="s">
        <v>813</v>
      </c>
      <c r="E35" t="s">
        <v>811</v>
      </c>
      <c r="F35" s="389"/>
      <c r="G35" s="389"/>
      <c r="H35" s="474"/>
      <c r="I35" t="s">
        <v>842</v>
      </c>
      <c r="J35" s="469">
        <f>TechWATv4!$T$4 * (J$9 * 'cooling water'!$W$82 +'cooling water'!$X$82) + 'Eskom coal pwr plants'!$N$1</f>
        <v>0.6423888888888889</v>
      </c>
      <c r="K35" s="389"/>
      <c r="L35" s="389"/>
      <c r="M35" s="389"/>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89"/>
      <c r="AK35" s="389"/>
      <c r="AL35" s="389"/>
      <c r="AM35" s="389"/>
      <c r="AN35" s="389"/>
      <c r="AO35" s="389"/>
      <c r="AP35" s="389"/>
      <c r="AQ35" s="389"/>
      <c r="AR35" s="389"/>
    </row>
    <row r="36" spans="1:44" x14ac:dyDescent="0.25">
      <c r="B36" s="384"/>
      <c r="C36" s="384"/>
      <c r="D36" s="384"/>
      <c r="I36"/>
      <c r="K36" s="377"/>
    </row>
    <row r="37" spans="1:44" x14ac:dyDescent="0.25">
      <c r="B37" s="4" t="s">
        <v>1443</v>
      </c>
      <c r="C37" s="4"/>
      <c r="D37" s="5" t="s">
        <v>1444</v>
      </c>
      <c r="I37" s="441" t="s">
        <v>730</v>
      </c>
      <c r="J37" s="467">
        <f>440.7091+refineries!AA52</f>
        <v>447.68035693829125</v>
      </c>
    </row>
    <row r="38" spans="1:44" x14ac:dyDescent="0.25">
      <c r="B38" s="4"/>
      <c r="C38" s="4"/>
      <c r="D38" s="4"/>
      <c r="H38" s="509"/>
      <c r="I38" s="509" t="s">
        <v>644</v>
      </c>
      <c r="J38" s="467">
        <f>refineries!AA53</f>
        <v>0.20913770814873756</v>
      </c>
    </row>
    <row r="39" spans="1:44" x14ac:dyDescent="0.25">
      <c r="B39" s="4"/>
      <c r="C39" s="4"/>
      <c r="D39" s="4"/>
      <c r="H39" s="509"/>
      <c r="I39" s="509"/>
    </row>
    <row r="40" spans="1:44" x14ac:dyDescent="0.25">
      <c r="D40" s="4"/>
    </row>
    <row r="41" spans="1:44" x14ac:dyDescent="0.25">
      <c r="A41" s="5"/>
      <c r="B41" t="s">
        <v>904</v>
      </c>
      <c r="C41" t="s">
        <v>315</v>
      </c>
      <c r="D41" s="5" t="s">
        <v>1445</v>
      </c>
      <c r="E41" t="s">
        <v>811</v>
      </c>
      <c r="F41" t="s">
        <v>907</v>
      </c>
      <c r="I41" s="441" t="s">
        <v>918</v>
      </c>
      <c r="J41" s="471">
        <f t="array" ref="J41">SUM(('Non-Energy Water Demand'!$B$3:$B$22=$A$1)*('Non-Energy Water Demand'!$N$2:$W$2=J$8)*('Non-Energy Water Demand'!$N$3:$W$22))</f>
        <v>12.300000000000182</v>
      </c>
      <c r="K41" s="460">
        <f t="array" ref="K41">SUM(('Non-Energy Water Demand'!$B$3:$B$22=$A$1)*('Non-Energy Water Demand'!$N$2:$W$2=K$8)*('Non-Energy Water Demand'!$N$3:$W$22))</f>
        <v>13</v>
      </c>
      <c r="L41" s="460">
        <f t="array" ref="L41">SUM(('Non-Energy Water Demand'!$B$3:$B$22=$A$1)*('Non-Energy Water Demand'!$N$2:$W$2=L$8)*('Non-Energy Water Demand'!$N$3:$W$22))</f>
        <v>0</v>
      </c>
      <c r="M41" s="460">
        <f t="array" ref="M41">SUM(('Non-Energy Water Demand'!$B$3:$B$22=$A$1)*('Non-Energy Water Demand'!$N$2:$W$2=M$8)*('Non-Energy Water Demand'!$N$3:$W$22))</f>
        <v>0</v>
      </c>
      <c r="N41" s="460">
        <f t="array" ref="N41">SUM(('Non-Energy Water Demand'!$B$3:$B$22=$A$1)*('Non-Energy Water Demand'!$N$2:$W$2=N$8)*('Non-Energy Water Demand'!$N$3:$W$22))</f>
        <v>0</v>
      </c>
      <c r="O41" s="460">
        <f t="array" ref="O41">SUM(('Non-Energy Water Demand'!$B$3:$B$22=$A$1)*('Non-Energy Water Demand'!$N$2:$W$2=O$8)*('Non-Energy Water Demand'!$N$3:$W$22))</f>
        <v>0</v>
      </c>
      <c r="P41" s="460">
        <f t="array" ref="P41">SUM(('Non-Energy Water Demand'!$B$3:$B$22=$A$1)*('Non-Energy Water Demand'!$N$2:$W$2=P$8)*('Non-Energy Water Demand'!$N$3:$W$22))</f>
        <v>25.405800000000003</v>
      </c>
      <c r="Q41" s="460">
        <f t="array" ref="Q41">SUM(('Non-Energy Water Demand'!$B$3:$B$22=$A$1)*('Non-Energy Water Demand'!$N$2:$W$2=Q$8)*('Non-Energy Water Demand'!$N$3:$W$22))</f>
        <v>0</v>
      </c>
      <c r="R41" s="460">
        <f t="array" ref="R41">SUM(('Non-Energy Water Demand'!$B$3:$B$22=$A$1)*('Non-Energy Water Demand'!$N$2:$W$2=R$8)*('Non-Energy Water Demand'!$N$3:$W$22))</f>
        <v>0</v>
      </c>
      <c r="S41" s="460">
        <f t="array" ref="S41">SUM(('Non-Energy Water Demand'!$B$3:$B$22=$A$1)*('Non-Energy Water Demand'!$N$2:$W$2=S$8)*('Non-Energy Water Demand'!$N$3:$W$22))</f>
        <v>0</v>
      </c>
      <c r="T41" s="460">
        <f t="array" ref="T41">SUM(('Non-Energy Water Demand'!$B$3:$B$22=$A$1)*('Non-Energy Water Demand'!$N$2:$W$2=T$8)*('Non-Energy Water Demand'!$N$3:$W$22))</f>
        <v>0</v>
      </c>
      <c r="U41" s="460">
        <f t="array" ref="U41">SUM(('Non-Energy Water Demand'!$B$3:$B$22=$A$1)*('Non-Energy Water Demand'!$N$2:$W$2=U$8)*('Non-Energy Water Demand'!$N$3:$W$22))</f>
        <v>40.299999999999997</v>
      </c>
      <c r="V41" s="460">
        <f t="array" ref="V41">SUM(('Non-Energy Water Demand'!$B$3:$B$22=$A$1)*('Non-Energy Water Demand'!$N$2:$W$2=V$8)*('Non-Energy Water Demand'!$N$3:$W$22))</f>
        <v>0</v>
      </c>
      <c r="W41" s="460">
        <f t="array" ref="W41">SUM(('Non-Energy Water Demand'!$B$3:$B$22=$A$1)*('Non-Energy Water Demand'!$N$2:$W$2=W$8)*('Non-Energy Water Demand'!$N$3:$W$22))</f>
        <v>0</v>
      </c>
      <c r="X41" s="460">
        <f t="array" ref="X41">SUM(('Non-Energy Water Demand'!$B$3:$B$22=$A$1)*('Non-Energy Water Demand'!$N$2:$W$2=X$8)*('Non-Energy Water Demand'!$N$3:$W$22))</f>
        <v>0</v>
      </c>
      <c r="Y41" s="460">
        <f t="array" ref="Y41">SUM(('Non-Energy Water Demand'!$B$3:$B$22=$A$1)*('Non-Energy Water Demand'!$N$2:$W$2=Y$8)*('Non-Energy Water Demand'!$N$3:$W$22))</f>
        <v>0</v>
      </c>
      <c r="Z41" s="460">
        <f t="array" ref="Z41">SUM(('Non-Energy Water Demand'!$B$3:$B$22=$A$1)*('Non-Energy Water Demand'!$N$2:$W$2=Z$8)*('Non-Energy Water Demand'!$N$3:$W$22))</f>
        <v>40.6</v>
      </c>
      <c r="AA41" s="460">
        <f t="array" ref="AA41">SUM(('Non-Energy Water Demand'!$B$3:$B$22=$A$1)*('Non-Energy Water Demand'!$N$2:$W$2=AA$8)*('Non-Energy Water Demand'!$N$3:$W$22))</f>
        <v>0</v>
      </c>
      <c r="AB41" s="460">
        <f t="array" ref="AB41">SUM(('Non-Energy Water Demand'!$B$3:$B$22=$A$1)*('Non-Energy Water Demand'!$N$2:$W$2=AB$8)*('Non-Energy Water Demand'!$N$3:$W$22))</f>
        <v>0</v>
      </c>
      <c r="AC41" s="460">
        <f t="array" ref="AC41">SUM(('Non-Energy Water Demand'!$B$3:$B$22=$A$1)*('Non-Energy Water Demand'!$N$2:$W$2=AC$8)*('Non-Energy Water Demand'!$N$3:$W$22))</f>
        <v>0</v>
      </c>
      <c r="AD41" s="460">
        <f t="array" ref="AD41">SUM(('Non-Energy Water Demand'!$B$3:$B$22=$A$1)*('Non-Energy Water Demand'!$N$2:$W$2=AD$8)*('Non-Energy Water Demand'!$N$3:$W$22))</f>
        <v>0</v>
      </c>
      <c r="AE41" s="460">
        <f t="array" ref="AE41">SUM(('Non-Energy Water Demand'!$B$3:$B$22=$A$1)*('Non-Energy Water Demand'!$N$2:$W$2=AE$8)*('Non-Energy Water Demand'!$N$3:$W$22))</f>
        <v>43.6</v>
      </c>
      <c r="AF41" s="460">
        <f t="array" ref="AF41">SUM(('Non-Energy Water Demand'!$B$3:$B$22=$A$1)*('Non-Energy Water Demand'!$N$2:$W$2=AF$8)*('Non-Energy Water Demand'!$N$3:$W$22))</f>
        <v>0</v>
      </c>
      <c r="AG41" s="460">
        <f t="array" ref="AG41">SUM(('Non-Energy Water Demand'!$B$3:$B$22=$A$1)*('Non-Energy Water Demand'!$N$2:$W$2=AG$8)*('Non-Energy Water Demand'!$N$3:$W$22))</f>
        <v>0</v>
      </c>
      <c r="AH41" s="460">
        <f t="array" ref="AH41">SUM(('Non-Energy Water Demand'!$B$3:$B$22=$A$1)*('Non-Energy Water Demand'!$N$2:$W$2=AH$8)*('Non-Energy Water Demand'!$N$3:$W$22))</f>
        <v>0</v>
      </c>
      <c r="AI41" s="460">
        <f t="array" ref="AI41">SUM(('Non-Energy Water Demand'!$B$3:$B$22=$A$1)*('Non-Energy Water Demand'!$N$2:$W$2=AI$8)*('Non-Energy Water Demand'!$N$3:$W$22))</f>
        <v>0</v>
      </c>
      <c r="AJ41" s="460">
        <f t="array" ref="AJ41">SUM(('Non-Energy Water Demand'!$B$3:$B$22=$A$1)*('Non-Energy Water Demand'!$N$2:$W$2=AJ$8)*('Non-Energy Water Demand'!$N$3:$W$22))</f>
        <v>44.800000000000068</v>
      </c>
      <c r="AK41" s="460">
        <f t="array" ref="AK41">SUM(('Non-Energy Water Demand'!$B$3:$B$22=$A$1)*('Non-Energy Water Demand'!$N$2:$W$2=AK$8)*('Non-Energy Water Demand'!$N$3:$W$22))</f>
        <v>0</v>
      </c>
      <c r="AL41" s="460">
        <f t="array" ref="AL41">SUM(('Non-Energy Water Demand'!$B$3:$B$22=$A$1)*('Non-Energy Water Demand'!$N$2:$W$2=AL$8)*('Non-Energy Water Demand'!$N$3:$W$22))</f>
        <v>0</v>
      </c>
      <c r="AM41" s="460">
        <f t="array" ref="AM41">SUM(('Non-Energy Water Demand'!$B$3:$B$22=$A$1)*('Non-Energy Water Demand'!$N$2:$W$2=AM$8)*('Non-Energy Water Demand'!$N$3:$W$22))</f>
        <v>0</v>
      </c>
      <c r="AN41" s="460">
        <f t="array" ref="AN41">SUM(('Non-Energy Water Demand'!$B$3:$B$22=$A$1)*('Non-Energy Water Demand'!$N$2:$W$2=AN$8)*('Non-Energy Water Demand'!$N$3:$W$22))</f>
        <v>0</v>
      </c>
      <c r="AO41" s="460">
        <f t="array" ref="AO41">SUM(('Non-Energy Water Demand'!$B$3:$B$22=$A$1)*('Non-Energy Water Demand'!$N$2:$W$2=AO$8)*('Non-Energy Water Demand'!$N$3:$W$22))</f>
        <v>46.4</v>
      </c>
      <c r="AP41" s="460">
        <f t="array" ref="AP41">SUM(('Non-Energy Water Demand'!$B$3:$B$22=$A$1)*('Non-Energy Water Demand'!$N$2:$W$2=AP$8)*('Non-Energy Water Demand'!$N$3:$W$22))</f>
        <v>46.8</v>
      </c>
      <c r="AQ41" s="460">
        <f t="array" ref="AQ41">SUM(('Non-Energy Water Demand'!$B$3:$B$22=$A$1)*('Non-Energy Water Demand'!$N$2:$W$2=AQ$8)*('Non-Energy Water Demand'!$N$3:$W$22))</f>
        <v>47</v>
      </c>
    </row>
    <row r="42" spans="1:44" x14ac:dyDescent="0.25">
      <c r="B42" t="s">
        <v>931</v>
      </c>
      <c r="C42" t="s">
        <v>315</v>
      </c>
      <c r="D42" s="5" t="s">
        <v>932</v>
      </c>
      <c r="E42" t="s">
        <v>933</v>
      </c>
      <c r="F42" t="s">
        <v>934</v>
      </c>
      <c r="G42" t="s">
        <v>94</v>
      </c>
      <c r="I42" s="441" t="s">
        <v>571</v>
      </c>
      <c r="J42" s="471">
        <v>0.99</v>
      </c>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row>
    <row r="52" spans="15:15" x14ac:dyDescent="0.25">
      <c r="O52" s="379"/>
    </row>
  </sheetData>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R76"/>
  <sheetViews>
    <sheetView zoomScale="85" zoomScaleNormal="85" workbookViewId="0">
      <pane ySplit="8" topLeftCell="A31" activePane="bottomLeft" state="frozen"/>
      <selection activeCell="I38" sqref="I38"/>
      <selection pane="bottomLeft" activeCell="J51" sqref="J51"/>
    </sheetView>
  </sheetViews>
  <sheetFormatPr defaultRowHeight="15" x14ac:dyDescent="0.25"/>
  <cols>
    <col min="1" max="1" width="20.140625" customWidth="1"/>
    <col min="2" max="2" width="16" customWidth="1"/>
    <col min="3" max="3" width="5.140625" customWidth="1"/>
    <col min="4" max="4" width="29.5703125" customWidth="1"/>
    <col min="5" max="5" width="14.85546875" customWidth="1"/>
    <col min="6" max="6" width="14.140625" customWidth="1"/>
    <col min="7" max="7" width="14.5703125" customWidth="1"/>
    <col min="8" max="9" width="12.28515625" style="413" customWidth="1"/>
    <col min="10" max="10" width="11.85546875" style="463" customWidth="1"/>
    <col min="11" max="12" width="11.42578125" customWidth="1"/>
    <col min="13" max="13" width="10" bestFit="1" customWidth="1"/>
    <col min="14" max="14" width="10" customWidth="1"/>
    <col min="15" max="15" width="10" bestFit="1" customWidth="1"/>
    <col min="16" max="16" width="10" customWidth="1"/>
    <col min="21" max="21" width="12.5703125" customWidth="1"/>
    <col min="22" max="23" width="10.7109375" customWidth="1"/>
    <col min="24" max="24" width="10.28515625" customWidth="1"/>
    <col min="25" max="25" width="10" customWidth="1"/>
  </cols>
  <sheetData>
    <row r="1" spans="1:44" x14ac:dyDescent="0.25">
      <c r="A1" s="458" t="s">
        <v>474</v>
      </c>
      <c r="D1" s="439" t="s">
        <v>877</v>
      </c>
    </row>
    <row r="3" spans="1:44" s="45" customFormat="1" x14ac:dyDescent="0.25">
      <c r="H3" s="247"/>
      <c r="I3" s="247"/>
      <c r="J3" s="464"/>
    </row>
    <row r="4" spans="1:44" s="45" customFormat="1" x14ac:dyDescent="0.25">
      <c r="A4" s="5" t="s">
        <v>894</v>
      </c>
      <c r="B4" s="5"/>
      <c r="C4" s="5"/>
      <c r="H4" s="247"/>
      <c r="I4" s="247"/>
      <c r="J4" s="464"/>
    </row>
    <row r="5" spans="1:44" s="45" customFormat="1" x14ac:dyDescent="0.25">
      <c r="A5" s="5"/>
      <c r="B5" s="5"/>
      <c r="C5" s="5"/>
      <c r="H5" s="247"/>
      <c r="I5" s="247"/>
      <c r="J5" s="464"/>
    </row>
    <row r="6" spans="1:44" s="45" customFormat="1" x14ac:dyDescent="0.25">
      <c r="A6" s="5"/>
      <c r="B6" s="5"/>
      <c r="C6" s="5"/>
      <c r="H6" s="247"/>
      <c r="I6" s="247"/>
      <c r="J6" s="464"/>
    </row>
    <row r="7" spans="1:44" s="45" customFormat="1" x14ac:dyDescent="0.25">
      <c r="A7" s="5"/>
      <c r="B7" s="5"/>
      <c r="C7" s="5"/>
      <c r="H7" s="247"/>
      <c r="I7" s="247"/>
      <c r="J7" s="464"/>
    </row>
    <row r="8" spans="1:44" ht="15.75" thickBot="1" x14ac:dyDescent="0.3">
      <c r="A8" s="5"/>
      <c r="B8" t="s">
        <v>831</v>
      </c>
      <c r="C8" t="s">
        <v>920</v>
      </c>
      <c r="D8" t="s">
        <v>55</v>
      </c>
      <c r="E8" s="388" t="s">
        <v>817</v>
      </c>
      <c r="F8" s="388" t="s">
        <v>818</v>
      </c>
      <c r="G8" s="388" t="s">
        <v>819</v>
      </c>
      <c r="H8" s="388" t="s">
        <v>841</v>
      </c>
      <c r="I8" s="388" t="s">
        <v>840</v>
      </c>
      <c r="J8" s="465">
        <v>2006</v>
      </c>
      <c r="K8" s="388">
        <v>2010</v>
      </c>
      <c r="L8" s="388">
        <v>2011</v>
      </c>
      <c r="M8" s="388">
        <v>2012</v>
      </c>
      <c r="N8" s="388">
        <v>2013</v>
      </c>
      <c r="O8" s="388">
        <v>2014</v>
      </c>
      <c r="P8" s="388">
        <v>2015</v>
      </c>
      <c r="Q8" s="388">
        <v>2016</v>
      </c>
      <c r="R8" s="388">
        <v>2017</v>
      </c>
      <c r="S8" s="388">
        <v>2018</v>
      </c>
      <c r="T8" s="388">
        <v>2019</v>
      </c>
      <c r="U8" s="388">
        <v>2020</v>
      </c>
      <c r="V8" s="388">
        <v>2021</v>
      </c>
      <c r="W8" s="388">
        <v>2022</v>
      </c>
      <c r="X8" s="388">
        <v>2023</v>
      </c>
      <c r="Y8" s="388">
        <v>2024</v>
      </c>
      <c r="Z8" s="388">
        <v>2025</v>
      </c>
      <c r="AA8" s="388">
        <v>2026</v>
      </c>
      <c r="AB8" s="388">
        <v>2027</v>
      </c>
      <c r="AC8" s="388">
        <v>2028</v>
      </c>
      <c r="AD8" s="388">
        <v>2029</v>
      </c>
      <c r="AE8" s="388">
        <v>2030</v>
      </c>
      <c r="AF8" s="388">
        <v>2031</v>
      </c>
      <c r="AG8" s="388">
        <v>2032</v>
      </c>
      <c r="AH8" s="388">
        <v>2033</v>
      </c>
      <c r="AI8" s="388">
        <v>2034</v>
      </c>
      <c r="AJ8" s="388">
        <v>2035</v>
      </c>
      <c r="AK8" s="388">
        <v>2036</v>
      </c>
      <c r="AL8" s="388">
        <v>2037</v>
      </c>
      <c r="AM8" s="388">
        <v>2038</v>
      </c>
      <c r="AN8" s="388">
        <v>2039</v>
      </c>
      <c r="AO8" s="388">
        <v>2040</v>
      </c>
      <c r="AP8" s="388">
        <v>2045</v>
      </c>
      <c r="AQ8" s="388">
        <v>2050</v>
      </c>
      <c r="AR8" s="389"/>
    </row>
    <row r="9" spans="1:44" ht="17.25" x14ac:dyDescent="0.25">
      <c r="A9" s="5" t="s">
        <v>830</v>
      </c>
      <c r="B9" s="5"/>
      <c r="C9" s="5"/>
      <c r="J9" s="464">
        <f>seasonal!C4</f>
        <v>17</v>
      </c>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row>
    <row r="10" spans="1:44" s="193" customFormat="1" x14ac:dyDescent="0.25">
      <c r="A10" s="411" t="s">
        <v>810</v>
      </c>
      <c r="E10" s="504"/>
      <c r="F10" s="504"/>
      <c r="G10" s="504"/>
      <c r="H10" s="504"/>
      <c r="I10" s="504"/>
      <c r="J10" s="505"/>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row>
    <row r="12" spans="1:44" x14ac:dyDescent="0.25">
      <c r="B12" t="s">
        <v>798</v>
      </c>
      <c r="D12" t="s">
        <v>799</v>
      </c>
    </row>
    <row r="13" spans="1:44" x14ac:dyDescent="0.25">
      <c r="E13" t="s">
        <v>845</v>
      </c>
      <c r="I13" t="s">
        <v>842</v>
      </c>
      <c r="J13" s="545">
        <f>refineries!$C$34*refineries!$B$20</f>
        <v>0.10848610119797585</v>
      </c>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row>
    <row r="14" spans="1:44" x14ac:dyDescent="0.25">
      <c r="E14" t="s">
        <v>835</v>
      </c>
      <c r="H14" s="244"/>
      <c r="I14" t="s">
        <v>842</v>
      </c>
      <c r="J14" s="545">
        <f>refineries!$C$34*refineries!$B$23</f>
        <v>3.4712285344731593E-2</v>
      </c>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row>
    <row r="15" spans="1:44" x14ac:dyDescent="0.25">
      <c r="D15" t="s">
        <v>1722</v>
      </c>
      <c r="E15" t="s">
        <v>835</v>
      </c>
      <c r="H15" s="244"/>
      <c r="I15" t="s">
        <v>842</v>
      </c>
      <c r="J15" s="545">
        <f>J14+refineries!F101</f>
        <v>5.1630805787029152E-2</v>
      </c>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c r="AO15" s="389"/>
      <c r="AP15" s="389"/>
      <c r="AQ15" s="389"/>
      <c r="AR15" s="389"/>
    </row>
    <row r="16" spans="1:44" x14ac:dyDescent="0.25">
      <c r="D16" t="s">
        <v>1722</v>
      </c>
      <c r="H16" s="244"/>
      <c r="I16" t="s">
        <v>730</v>
      </c>
      <c r="J16" s="545" t="s">
        <v>1727</v>
      </c>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row>
    <row r="17" spans="1:44" x14ac:dyDescent="0.25">
      <c r="D17" t="s">
        <v>1722</v>
      </c>
      <c r="E17">
        <f>J15/J14</f>
        <v>1.4873928718399794</v>
      </c>
      <c r="H17" s="244"/>
      <c r="I17" t="s">
        <v>644</v>
      </c>
      <c r="J17" s="545" t="s">
        <v>1727</v>
      </c>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row>
    <row r="18" spans="1:44" s="45" customFormat="1" x14ac:dyDescent="0.25">
      <c r="H18" s="678"/>
      <c r="J18" s="545"/>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row>
    <row r="19" spans="1:44" x14ac:dyDescent="0.25">
      <c r="B19" t="s">
        <v>814</v>
      </c>
      <c r="D19" t="s">
        <v>815</v>
      </c>
      <c r="H19" s="244"/>
      <c r="I19"/>
      <c r="J19" s="545"/>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89"/>
      <c r="AM19" s="389"/>
      <c r="AN19" s="389"/>
      <c r="AO19" s="389"/>
      <c r="AP19" s="389"/>
      <c r="AQ19" s="389"/>
      <c r="AR19" s="389"/>
    </row>
    <row r="20" spans="1:44" x14ac:dyDescent="0.25">
      <c r="E20" t="s">
        <v>845</v>
      </c>
      <c r="I20" t="s">
        <v>842</v>
      </c>
      <c r="J20" s="545">
        <v>6.4000000000000003E-3</v>
      </c>
      <c r="K20" s="389"/>
      <c r="L20" s="389"/>
      <c r="M20" s="389"/>
      <c r="N20" s="389"/>
      <c r="O20" s="389"/>
      <c r="P20" s="389"/>
      <c r="Q20" s="389"/>
      <c r="R20" s="389"/>
      <c r="S20" s="389"/>
      <c r="T20" s="389"/>
      <c r="U20" s="389"/>
      <c r="V20" s="389"/>
      <c r="W20" s="389"/>
      <c r="X20" s="389"/>
      <c r="Y20" s="389"/>
      <c r="Z20" s="389"/>
      <c r="AA20" s="389"/>
      <c r="AB20" s="389"/>
      <c r="AC20" s="389"/>
      <c r="AD20" s="389"/>
      <c r="AE20" s="389"/>
      <c r="AF20" s="389"/>
      <c r="AG20" s="389"/>
      <c r="AH20" s="389"/>
      <c r="AI20" s="389"/>
      <c r="AJ20" s="389"/>
      <c r="AK20" s="389"/>
      <c r="AL20" s="389"/>
      <c r="AM20" s="389"/>
      <c r="AN20" s="389"/>
      <c r="AO20" s="389"/>
      <c r="AP20" s="389"/>
      <c r="AQ20" s="389"/>
      <c r="AR20" s="389"/>
    </row>
    <row r="21" spans="1:44" x14ac:dyDescent="0.25">
      <c r="A21" s="5"/>
      <c r="E21" t="s">
        <v>835</v>
      </c>
      <c r="F21" s="389"/>
      <c r="G21" s="389"/>
      <c r="H21"/>
      <c r="I21" t="s">
        <v>842</v>
      </c>
      <c r="J21" s="545">
        <f>TechWATv4!$T$4 * (J$9 *'cooling water'!$W$78 +'cooling water'!$X$78)</f>
        <v>0.61549999999999994</v>
      </c>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row>
    <row r="22" spans="1:44" x14ac:dyDescent="0.25">
      <c r="B22" t="s">
        <v>1422</v>
      </c>
      <c r="D22" t="s">
        <v>1423</v>
      </c>
      <c r="H22" s="244"/>
      <c r="I22"/>
      <c r="J22" s="545"/>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89"/>
      <c r="AO22" s="389"/>
      <c r="AP22" s="389"/>
      <c r="AQ22" s="389"/>
      <c r="AR22" s="389"/>
    </row>
    <row r="23" spans="1:44" x14ac:dyDescent="0.25">
      <c r="E23" t="s">
        <v>845</v>
      </c>
      <c r="H23" s="507"/>
      <c r="I23" t="s">
        <v>842</v>
      </c>
      <c r="J23" s="545">
        <f>refineries!$C$34*refineries!$B$21</f>
        <v>3.2404939318875906E-2</v>
      </c>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row>
    <row r="24" spans="1:44" x14ac:dyDescent="0.25">
      <c r="A24" s="5"/>
      <c r="E24" t="s">
        <v>835</v>
      </c>
      <c r="F24" s="389"/>
      <c r="G24" s="389"/>
      <c r="H24"/>
      <c r="I24" t="s">
        <v>842</v>
      </c>
      <c r="J24" s="545">
        <f>refineries!$C$34*refineries!$B$22</f>
        <v>0.16062939885013053</v>
      </c>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9"/>
      <c r="AO24" s="389"/>
      <c r="AP24" s="389"/>
      <c r="AQ24" s="389"/>
      <c r="AR24" s="389"/>
    </row>
    <row r="25" spans="1:44" x14ac:dyDescent="0.25">
      <c r="A25" s="5"/>
      <c r="F25" s="389"/>
      <c r="G25" s="389"/>
      <c r="H25"/>
      <c r="I25" s="389"/>
      <c r="J25" s="466"/>
      <c r="K25" s="389"/>
      <c r="L25" s="389"/>
      <c r="M25" s="389"/>
      <c r="N25" s="389"/>
      <c r="O25" s="389"/>
      <c r="P25" s="389"/>
      <c r="Q25" s="389"/>
      <c r="R25" s="389"/>
      <c r="S25" s="389"/>
      <c r="T25" s="389"/>
      <c r="U25" s="389"/>
      <c r="V25" s="389"/>
      <c r="W25" s="389"/>
      <c r="X25" s="389"/>
      <c r="Y25" s="389"/>
      <c r="Z25" s="389"/>
      <c r="AA25" s="389"/>
      <c r="AB25" s="389"/>
      <c r="AC25" s="389"/>
      <c r="AD25" s="389"/>
      <c r="AE25" s="389"/>
      <c r="AF25" s="389"/>
      <c r="AG25" s="389"/>
      <c r="AH25" s="389"/>
      <c r="AI25" s="389"/>
      <c r="AJ25" s="389"/>
      <c r="AK25" s="389"/>
      <c r="AL25" s="389"/>
      <c r="AM25" s="389"/>
      <c r="AN25" s="389"/>
      <c r="AO25" s="389"/>
      <c r="AP25" s="389"/>
      <c r="AQ25" s="389"/>
      <c r="AR25" s="389"/>
    </row>
    <row r="26" spans="1:44" x14ac:dyDescent="0.25">
      <c r="A26" s="5"/>
      <c r="B26" t="s">
        <v>1579</v>
      </c>
      <c r="D26" t="s">
        <v>1580</v>
      </c>
      <c r="F26" s="389"/>
      <c r="G26" s="389"/>
      <c r="H26"/>
      <c r="I26" s="389"/>
      <c r="J26" s="466"/>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89"/>
      <c r="AM26" s="389"/>
      <c r="AN26" s="389"/>
      <c r="AO26" s="389"/>
      <c r="AP26" s="389"/>
      <c r="AQ26" s="389"/>
      <c r="AR26" s="389"/>
    </row>
    <row r="27" spans="1:44" x14ac:dyDescent="0.25">
      <c r="A27" s="5"/>
      <c r="E27" t="s">
        <v>845</v>
      </c>
      <c r="H27" s="544"/>
      <c r="I27" t="s">
        <v>842</v>
      </c>
      <c r="J27" s="545">
        <f>'Existing Plants by Coal Supply'!S34</f>
        <v>1.4945226917057904E-2</v>
      </c>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c r="AO27" s="389"/>
      <c r="AP27" s="389"/>
      <c r="AQ27" s="389"/>
      <c r="AR27" s="389"/>
    </row>
    <row r="28" spans="1:44" x14ac:dyDescent="0.25">
      <c r="A28" s="5"/>
      <c r="E28" t="s">
        <v>835</v>
      </c>
      <c r="F28" s="389"/>
      <c r="G28" s="389"/>
      <c r="H28"/>
      <c r="I28" t="s">
        <v>842</v>
      </c>
      <c r="J28" s="545">
        <f>'Existing Plants by Coal Supply'!R34</f>
        <v>1.8388106416275429E-2</v>
      </c>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89"/>
      <c r="AM28" s="389"/>
      <c r="AN28" s="389"/>
      <c r="AO28" s="389"/>
      <c r="AP28" s="389"/>
      <c r="AQ28" s="389"/>
      <c r="AR28" s="389"/>
    </row>
    <row r="29" spans="1:44" x14ac:dyDescent="0.25">
      <c r="A29" s="5"/>
      <c r="F29" s="389"/>
      <c r="G29" s="389"/>
      <c r="H29"/>
      <c r="I29" s="389"/>
      <c r="J29" s="466"/>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9"/>
      <c r="AO29" s="389"/>
      <c r="AP29" s="389"/>
      <c r="AQ29" s="389"/>
      <c r="AR29" s="389"/>
    </row>
    <row r="30" spans="1:44" x14ac:dyDescent="0.25">
      <c r="A30" s="5"/>
      <c r="E30" s="389"/>
      <c r="F30" s="389"/>
      <c r="G30" s="389"/>
      <c r="H30"/>
      <c r="I30" s="389"/>
      <c r="J30" s="466"/>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9"/>
      <c r="AO30" s="389"/>
      <c r="AP30" s="389"/>
      <c r="AQ30" s="389"/>
      <c r="AR30" s="389"/>
    </row>
    <row r="31" spans="1:44" s="193" customFormat="1" x14ac:dyDescent="0.25">
      <c r="A31" s="411" t="s">
        <v>797</v>
      </c>
      <c r="E31" s="504"/>
      <c r="F31" s="504"/>
      <c r="G31" s="504"/>
      <c r="H31" s="504"/>
      <c r="I31" s="504"/>
      <c r="J31" s="505"/>
      <c r="K31" s="504"/>
      <c r="L31" s="504"/>
      <c r="M31" s="504"/>
      <c r="N31" s="504"/>
      <c r="O31" s="504"/>
      <c r="P31" s="504"/>
      <c r="Q31" s="504"/>
      <c r="R31" s="504"/>
      <c r="S31" s="504"/>
      <c r="T31" s="504"/>
      <c r="U31" s="504"/>
      <c r="V31" s="504"/>
      <c r="W31" s="504"/>
      <c r="X31" s="504"/>
      <c r="Y31" s="504"/>
      <c r="Z31" s="504"/>
      <c r="AA31" s="504"/>
      <c r="AB31" s="504"/>
      <c r="AC31" s="504"/>
      <c r="AD31" s="504"/>
      <c r="AE31" s="504"/>
      <c r="AF31" s="504"/>
      <c r="AG31" s="504"/>
      <c r="AH31" s="504"/>
      <c r="AI31" s="504"/>
      <c r="AJ31" s="504"/>
      <c r="AK31" s="504"/>
      <c r="AL31" s="504"/>
      <c r="AM31" s="504"/>
      <c r="AN31" s="504"/>
      <c r="AO31" s="504"/>
      <c r="AP31" s="504"/>
      <c r="AQ31" s="504"/>
      <c r="AR31" s="504"/>
    </row>
    <row r="32" spans="1:44" s="59" customFormat="1" x14ac:dyDescent="0.25">
      <c r="A32" s="500"/>
      <c r="B32" s="59" t="s">
        <v>1426</v>
      </c>
      <c r="D32" s="59" t="s">
        <v>1427</v>
      </c>
      <c r="E32" s="389"/>
      <c r="F32" s="389"/>
      <c r="G32" s="389"/>
      <c r="H32" s="389"/>
      <c r="I32" s="389"/>
      <c r="J32" s="466"/>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9"/>
      <c r="AO32" s="389"/>
      <c r="AP32" s="389"/>
      <c r="AQ32" s="389"/>
      <c r="AR32" s="389"/>
    </row>
    <row r="33" spans="1:44" s="59" customFormat="1" x14ac:dyDescent="0.25">
      <c r="A33" s="500"/>
      <c r="E33" t="s">
        <v>845</v>
      </c>
      <c r="F33" s="389"/>
      <c r="G33" s="389"/>
      <c r="H33" s="389"/>
      <c r="I33" s="508" t="s">
        <v>842</v>
      </c>
      <c r="J33" s="463">
        <v>2E-3</v>
      </c>
      <c r="K33" s="389"/>
      <c r="L33" s="389"/>
      <c r="M33" s="389"/>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89"/>
      <c r="AM33" s="389"/>
      <c r="AN33" s="389"/>
      <c r="AO33" s="389"/>
      <c r="AP33" s="389"/>
      <c r="AQ33" s="389"/>
      <c r="AR33" s="389"/>
    </row>
    <row r="34" spans="1:44" s="59" customFormat="1" x14ac:dyDescent="0.25">
      <c r="A34" s="500"/>
      <c r="E34" t="s">
        <v>835</v>
      </c>
      <c r="F34" s="389"/>
      <c r="G34" s="389"/>
      <c r="H34" s="389"/>
      <c r="I34" s="508" t="s">
        <v>842</v>
      </c>
      <c r="J34" s="463">
        <v>5.5000000000000005E-3</v>
      </c>
      <c r="K34" s="389"/>
      <c r="L34" s="389"/>
      <c r="M34" s="389"/>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row>
    <row r="35" spans="1:44" s="59" customFormat="1" x14ac:dyDescent="0.25">
      <c r="A35" s="500"/>
      <c r="E35" s="389"/>
      <c r="F35" s="389"/>
      <c r="G35" s="389"/>
      <c r="H35" s="389"/>
      <c r="I35" s="389"/>
      <c r="J35" s="466"/>
      <c r="K35" s="389"/>
      <c r="L35" s="389"/>
      <c r="M35" s="389"/>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89"/>
      <c r="AK35" s="389"/>
      <c r="AL35" s="389"/>
      <c r="AM35" s="389"/>
      <c r="AN35" s="389"/>
      <c r="AO35" s="389"/>
      <c r="AP35" s="389"/>
      <c r="AQ35" s="389"/>
      <c r="AR35" s="389"/>
    </row>
    <row r="36" spans="1:44" s="59" customFormat="1" x14ac:dyDescent="0.25">
      <c r="A36" s="500"/>
      <c r="B36" t="s">
        <v>731</v>
      </c>
      <c r="C36"/>
      <c r="D36" t="s">
        <v>843</v>
      </c>
      <c r="E36" s="389"/>
      <c r="F36" s="389"/>
      <c r="G36" s="389"/>
      <c r="H36" s="389"/>
      <c r="I36" s="389"/>
      <c r="J36" s="466"/>
      <c r="K36" s="389"/>
      <c r="L36" s="389"/>
      <c r="M36" s="389"/>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89"/>
      <c r="AM36" s="389"/>
      <c r="AN36" s="389"/>
      <c r="AO36" s="389"/>
      <c r="AP36" s="389"/>
      <c r="AQ36" s="389"/>
      <c r="AR36" s="389"/>
    </row>
    <row r="37" spans="1:44" x14ac:dyDescent="0.25">
      <c r="F37" t="s">
        <v>821</v>
      </c>
      <c r="G37" s="389"/>
      <c r="H37" s="389"/>
      <c r="I37" t="s">
        <v>730</v>
      </c>
      <c r="K37" s="417">
        <v>19469.3141</v>
      </c>
      <c r="L37" s="389"/>
      <c r="M37" s="389"/>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89"/>
      <c r="AM37" s="389"/>
      <c r="AN37" s="389"/>
      <c r="AO37" s="389"/>
      <c r="AP37" s="389"/>
      <c r="AQ37" s="389"/>
      <c r="AR37" s="389"/>
    </row>
    <row r="38" spans="1:44" x14ac:dyDescent="0.25">
      <c r="A38" s="5"/>
      <c r="F38" t="s">
        <v>822</v>
      </c>
      <c r="G38" s="389"/>
      <c r="H38"/>
      <c r="I38" t="s">
        <v>571</v>
      </c>
      <c r="J38" s="467">
        <v>0.33001408450704228</v>
      </c>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89"/>
      <c r="AO38" s="389"/>
      <c r="AP38" s="389"/>
      <c r="AQ38" s="389"/>
      <c r="AR38" s="389"/>
    </row>
    <row r="39" spans="1:44" x14ac:dyDescent="0.25">
      <c r="A39" s="5"/>
      <c r="E39" t="s">
        <v>846</v>
      </c>
      <c r="G39" s="389"/>
      <c r="H39"/>
      <c r="I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9"/>
      <c r="AO39" s="389"/>
      <c r="AP39" s="389"/>
      <c r="AQ39" s="389"/>
      <c r="AR39" s="389"/>
    </row>
    <row r="40" spans="1:44" x14ac:dyDescent="0.25">
      <c r="A40" s="5"/>
      <c r="D40" s="4" t="s">
        <v>735</v>
      </c>
      <c r="E40" t="s">
        <v>845</v>
      </c>
      <c r="G40" s="389"/>
      <c r="I40" t="s">
        <v>842</v>
      </c>
      <c r="J40" s="468">
        <f>'Eskom coal pwr plants'!I12</f>
        <v>6.3888888888888893E-3</v>
      </c>
      <c r="L40" s="389"/>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9"/>
      <c r="AO40" s="389"/>
      <c r="AP40" s="389"/>
      <c r="AQ40" s="389"/>
      <c r="AR40" s="389"/>
    </row>
    <row r="41" spans="1:44" x14ac:dyDescent="0.25">
      <c r="A41" s="5"/>
      <c r="D41" s="4" t="s">
        <v>734</v>
      </c>
      <c r="E41" t="s">
        <v>835</v>
      </c>
      <c r="G41" s="389"/>
      <c r="I41" t="s">
        <v>842</v>
      </c>
      <c r="J41" s="468">
        <f>'Eskom coal pwr plants'!G12</f>
        <v>2.5000000000000001E-2</v>
      </c>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row>
    <row r="42" spans="1:44" x14ac:dyDescent="0.25">
      <c r="A42" s="5"/>
      <c r="D42" s="4" t="s">
        <v>813</v>
      </c>
      <c r="E42" t="s">
        <v>835</v>
      </c>
      <c r="F42" s="389"/>
      <c r="G42" s="389"/>
      <c r="I42" t="s">
        <v>842</v>
      </c>
      <c r="J42" s="469">
        <f>'Eskom coal pwr plants'!L12</f>
        <v>0</v>
      </c>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9"/>
      <c r="AO42" s="389"/>
      <c r="AP42" s="389"/>
      <c r="AQ42" s="389"/>
      <c r="AR42" s="389"/>
    </row>
    <row r="43" spans="1:44" x14ac:dyDescent="0.25">
      <c r="A43" s="5"/>
      <c r="F43" s="389"/>
      <c r="G43" s="389"/>
      <c r="H43"/>
      <c r="I43" t="s">
        <v>847</v>
      </c>
      <c r="J43" s="470">
        <v>5.67</v>
      </c>
      <c r="K43" s="59">
        <v>5.67</v>
      </c>
      <c r="L43" s="59">
        <v>5.67</v>
      </c>
      <c r="M43" s="59">
        <v>5.67</v>
      </c>
      <c r="N43" s="59">
        <v>5.67</v>
      </c>
      <c r="O43" s="59">
        <v>5.67</v>
      </c>
      <c r="P43" s="59">
        <v>5.67</v>
      </c>
      <c r="Q43" s="59">
        <v>5.67</v>
      </c>
      <c r="R43" s="59">
        <v>5.67</v>
      </c>
      <c r="S43" s="59">
        <v>5.67</v>
      </c>
      <c r="T43" s="59">
        <v>5.67</v>
      </c>
      <c r="U43" s="59">
        <v>5.67</v>
      </c>
      <c r="V43" s="59">
        <v>5.61</v>
      </c>
      <c r="W43" s="59">
        <v>5.61</v>
      </c>
      <c r="X43" s="59">
        <v>5.61</v>
      </c>
      <c r="Y43" s="59">
        <v>5.61</v>
      </c>
      <c r="Z43" s="59">
        <v>5.61</v>
      </c>
      <c r="AA43" s="59">
        <v>5.61</v>
      </c>
      <c r="AB43" s="59">
        <v>5.61</v>
      </c>
      <c r="AC43" s="59">
        <v>5.61</v>
      </c>
      <c r="AD43" s="59">
        <v>5.61</v>
      </c>
      <c r="AE43" s="59">
        <v>5.61</v>
      </c>
      <c r="AF43" s="59">
        <v>5.61</v>
      </c>
      <c r="AG43" s="59">
        <v>4.9800000000000004</v>
      </c>
      <c r="AH43" s="59">
        <v>4.9800000000000004</v>
      </c>
      <c r="AI43" s="59">
        <v>4.9800000000000004</v>
      </c>
      <c r="AJ43" s="59">
        <v>3.09</v>
      </c>
      <c r="AK43" s="59">
        <v>2.46</v>
      </c>
      <c r="AL43" s="59">
        <v>1.83</v>
      </c>
      <c r="AM43" s="59">
        <v>1.83</v>
      </c>
      <c r="AN43" s="59">
        <v>1.83</v>
      </c>
      <c r="AO43" s="59">
        <v>1.22</v>
      </c>
      <c r="AP43" s="59">
        <v>0.61</v>
      </c>
      <c r="AQ43" s="59">
        <v>0</v>
      </c>
    </row>
    <row r="44" spans="1:44" x14ac:dyDescent="0.25">
      <c r="A44" s="5"/>
      <c r="F44" s="389"/>
      <c r="G44" s="389"/>
      <c r="H44"/>
      <c r="I44" s="389"/>
      <c r="J44" s="466"/>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9"/>
      <c r="AO44" s="389"/>
      <c r="AP44" s="389"/>
      <c r="AQ44" s="389"/>
      <c r="AR44" s="389"/>
    </row>
    <row r="45" spans="1:44" x14ac:dyDescent="0.25">
      <c r="A45" s="5"/>
      <c r="B45" t="s">
        <v>729</v>
      </c>
      <c r="D45" t="s">
        <v>844</v>
      </c>
      <c r="F45" s="389"/>
      <c r="G45" s="389"/>
      <c r="H45"/>
      <c r="I45" s="389"/>
      <c r="J45" s="468"/>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9"/>
      <c r="AO45" s="389"/>
      <c r="AP45" s="389"/>
      <c r="AQ45" s="389"/>
      <c r="AR45" s="389"/>
    </row>
    <row r="46" spans="1:44" x14ac:dyDescent="0.25">
      <c r="A46" s="5"/>
      <c r="D46" s="4" t="s">
        <v>735</v>
      </c>
      <c r="E46" t="s">
        <v>845</v>
      </c>
      <c r="F46" s="389"/>
      <c r="G46" s="389"/>
      <c r="H46"/>
      <c r="I46" t="s">
        <v>842</v>
      </c>
      <c r="J46" s="468">
        <f>J40</f>
        <v>6.3888888888888893E-3</v>
      </c>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9"/>
      <c r="AP46" s="389"/>
      <c r="AQ46" s="389"/>
      <c r="AR46" s="389"/>
    </row>
    <row r="47" spans="1:44" x14ac:dyDescent="0.25">
      <c r="A47" s="5"/>
      <c r="D47" s="4" t="s">
        <v>734</v>
      </c>
      <c r="E47" t="s">
        <v>835</v>
      </c>
      <c r="F47" s="389"/>
      <c r="G47" s="389"/>
      <c r="H47"/>
      <c r="I47" t="s">
        <v>842</v>
      </c>
      <c r="J47" s="558">
        <f>('cooling water'!$W$82*'WSR-B'!J$9 +'cooling water'!X82) *TechWATv4!$T$4</f>
        <v>0.55561111111111117</v>
      </c>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9"/>
      <c r="AP47" s="389"/>
      <c r="AQ47" s="389"/>
      <c r="AR47" s="389"/>
    </row>
    <row r="48" spans="1:44" x14ac:dyDescent="0.25">
      <c r="A48" s="5"/>
      <c r="D48" s="4" t="s">
        <v>813</v>
      </c>
      <c r="E48" t="s">
        <v>835</v>
      </c>
      <c r="F48" s="389"/>
      <c r="G48" s="389"/>
      <c r="H48"/>
      <c r="I48" t="s">
        <v>842</v>
      </c>
      <c r="J48" s="467">
        <f>'Eskom coal pwr plants'!$N$1+'WSR-B'!J47</f>
        <v>0.61116666666666675</v>
      </c>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9"/>
      <c r="AP48" s="389"/>
      <c r="AQ48" s="389"/>
      <c r="AR48" s="389"/>
    </row>
    <row r="49" spans="1:44" x14ac:dyDescent="0.25">
      <c r="A49" s="5"/>
      <c r="D49" s="4"/>
      <c r="F49" s="389"/>
      <c r="G49" s="389"/>
      <c r="H49"/>
      <c r="I49" s="389"/>
      <c r="J49" s="466"/>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row>
    <row r="50" spans="1:44" s="59" customFormat="1" x14ac:dyDescent="0.25">
      <c r="A50" s="500"/>
      <c r="B50" s="59" t="s">
        <v>1464</v>
      </c>
      <c r="D50" s="59" t="s">
        <v>1465</v>
      </c>
      <c r="E50" s="389"/>
      <c r="F50" s="389"/>
      <c r="G50" s="389"/>
      <c r="H50" s="389"/>
      <c r="I50" s="389"/>
      <c r="J50" s="466"/>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9"/>
      <c r="AP50" s="389"/>
      <c r="AQ50" s="389"/>
      <c r="AR50" s="389"/>
    </row>
    <row r="51" spans="1:44" s="59" customFormat="1" x14ac:dyDescent="0.25">
      <c r="A51" s="500"/>
      <c r="E51" t="s">
        <v>845</v>
      </c>
      <c r="F51" s="389"/>
      <c r="G51" s="389"/>
      <c r="H51" s="389"/>
      <c r="I51" t="s">
        <v>842</v>
      </c>
      <c r="J51" s="527">
        <f>33.3/1000 *TechWATv4!T4</f>
        <v>9.2499999999999995E-3</v>
      </c>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9"/>
      <c r="AO51" s="389"/>
      <c r="AP51" s="389"/>
      <c r="AQ51" s="389"/>
      <c r="AR51" s="389"/>
    </row>
    <row r="52" spans="1:44" s="59" customFormat="1" x14ac:dyDescent="0.25">
      <c r="A52" s="500"/>
      <c r="E52" t="s">
        <v>835</v>
      </c>
      <c r="F52" s="389"/>
      <c r="G52" s="389"/>
      <c r="H52" s="389"/>
      <c r="I52" t="s">
        <v>842</v>
      </c>
      <c r="J52" s="468">
        <v>0</v>
      </c>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9"/>
      <c r="AP52" s="389"/>
      <c r="AQ52" s="389"/>
      <c r="AR52" s="389"/>
    </row>
    <row r="53" spans="1:44" s="59" customFormat="1" x14ac:dyDescent="0.25">
      <c r="A53" s="500"/>
      <c r="E53" s="389"/>
      <c r="F53" s="389"/>
      <c r="G53" s="389"/>
      <c r="H53" s="389"/>
      <c r="I53" s="389"/>
      <c r="J53" s="466"/>
      <c r="K53" s="389"/>
      <c r="L53" s="389"/>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c r="AK53" s="389"/>
      <c r="AL53" s="389"/>
      <c r="AM53" s="389"/>
      <c r="AN53" s="389"/>
      <c r="AO53" s="389"/>
      <c r="AP53" s="389"/>
      <c r="AQ53" s="389"/>
      <c r="AR53" s="389"/>
    </row>
    <row r="54" spans="1:44" s="59" customFormat="1" x14ac:dyDescent="0.25">
      <c r="A54" s="500"/>
      <c r="E54" s="389"/>
      <c r="F54" s="389"/>
      <c r="G54" s="389"/>
      <c r="H54" s="389"/>
      <c r="I54" s="389"/>
      <c r="J54" s="466"/>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9"/>
      <c r="AI54" s="389"/>
      <c r="AJ54" s="389"/>
      <c r="AK54" s="389"/>
      <c r="AL54" s="389"/>
      <c r="AM54" s="389"/>
      <c r="AN54" s="389"/>
      <c r="AO54" s="389"/>
      <c r="AP54" s="389"/>
      <c r="AQ54" s="389"/>
      <c r="AR54" s="389"/>
    </row>
    <row r="55" spans="1:44" x14ac:dyDescent="0.25">
      <c r="A55" s="500"/>
      <c r="B55" s="384" t="s">
        <v>832</v>
      </c>
      <c r="C55" s="384"/>
      <c r="D55" s="384" t="s">
        <v>833</v>
      </c>
      <c r="F55" t="s">
        <v>837</v>
      </c>
      <c r="G55" t="s">
        <v>162</v>
      </c>
      <c r="I55" t="s">
        <v>636</v>
      </c>
      <c r="J55" s="463">
        <v>29.59</v>
      </c>
      <c r="K55" s="377"/>
    </row>
    <row r="56" spans="1:44" x14ac:dyDescent="0.25">
      <c r="A56" s="500"/>
      <c r="B56" s="4"/>
      <c r="C56" s="4"/>
      <c r="D56" s="4"/>
      <c r="F56" t="s">
        <v>838</v>
      </c>
      <c r="G56" t="s">
        <v>839</v>
      </c>
      <c r="I56" s="413" t="s">
        <v>842</v>
      </c>
    </row>
    <row r="57" spans="1:44" x14ac:dyDescent="0.25">
      <c r="A57" s="500"/>
      <c r="D57" s="4"/>
      <c r="E57" t="s">
        <v>834</v>
      </c>
      <c r="J57" s="463">
        <v>2.5000000000000001E-3</v>
      </c>
    </row>
    <row r="58" spans="1:44" x14ac:dyDescent="0.25">
      <c r="A58" s="500"/>
      <c r="D58" s="4"/>
      <c r="E58" t="s">
        <v>836</v>
      </c>
      <c r="H58"/>
      <c r="J58" s="463">
        <v>2.3E-3</v>
      </c>
    </row>
    <row r="59" spans="1:44" x14ac:dyDescent="0.25">
      <c r="E59" t="s">
        <v>835</v>
      </c>
      <c r="H59"/>
      <c r="J59" s="463">
        <v>2.3999999999999998E-3</v>
      </c>
    </row>
    <row r="60" spans="1:44" x14ac:dyDescent="0.25">
      <c r="H60" s="413" t="s">
        <v>829</v>
      </c>
      <c r="I60" s="413">
        <v>2005</v>
      </c>
    </row>
    <row r="63" spans="1:44" x14ac:dyDescent="0.25">
      <c r="B63" t="s">
        <v>926</v>
      </c>
      <c r="C63" t="s">
        <v>315</v>
      </c>
      <c r="D63" t="s">
        <v>1461</v>
      </c>
      <c r="E63" t="s">
        <v>835</v>
      </c>
      <c r="F63" t="s">
        <v>919</v>
      </c>
      <c r="H63" s="441"/>
      <c r="I63" s="455" t="s">
        <v>918</v>
      </c>
      <c r="J63" s="471">
        <f t="array" ref="J63">SUM(('Non-Energy Water Demand'!$B$3:$B$22=$A$1)*('Non-Energy Water Demand'!$N$2:$W$2=J$8)*('Non-Energy Water Demand'!$N$3:$W$22))</f>
        <v>229.5</v>
      </c>
      <c r="K63" s="460">
        <f t="array" ref="K63">SUM(('Non-Energy Water Demand'!$B$3:$B$22=$A$1)*('Non-Energy Water Demand'!$N$2:$W$2=K$8)*('Non-Energy Water Demand'!$N$3:$W$22))</f>
        <v>255</v>
      </c>
      <c r="L63" s="460">
        <f t="array" ref="L63">SUM(('Non-Energy Water Demand'!$B$3:$B$22=$A$1)*('Non-Energy Water Demand'!$N$2:$W$2=L$8)*('Non-Energy Water Demand'!$N$3:$W$22))</f>
        <v>0</v>
      </c>
      <c r="M63" s="460">
        <f t="array" ref="M63">SUM(('Non-Energy Water Demand'!$B$3:$B$22=$A$1)*('Non-Energy Water Demand'!$N$2:$W$2=M$8)*('Non-Energy Water Demand'!$N$3:$W$22))</f>
        <v>0</v>
      </c>
      <c r="N63" s="460">
        <f t="array" ref="N63">SUM(('Non-Energy Water Demand'!$B$3:$B$22=$A$1)*('Non-Energy Water Demand'!$N$2:$W$2=N$8)*('Non-Energy Water Demand'!$N$3:$W$22))</f>
        <v>0</v>
      </c>
      <c r="O63" s="460">
        <f t="array" ref="O63">SUM(('Non-Energy Water Demand'!$B$3:$B$22=$A$1)*('Non-Energy Water Demand'!$N$2:$W$2=O$8)*('Non-Energy Water Demand'!$N$3:$W$22))</f>
        <v>0</v>
      </c>
      <c r="P63" s="460">
        <f t="array" ref="P63">SUM(('Non-Energy Water Demand'!$B$3:$B$22=$A$1)*('Non-Energy Water Demand'!$N$2:$W$2=P$8)*('Non-Energy Water Demand'!$N$3:$W$22))</f>
        <v>307.71042699816184</v>
      </c>
      <c r="Q63" s="460">
        <f t="array" ref="Q63">SUM(('Non-Energy Water Demand'!$B$3:$B$22=$A$1)*('Non-Energy Water Demand'!$N$2:$W$2=Q$8)*('Non-Energy Water Demand'!$N$3:$W$22))</f>
        <v>0</v>
      </c>
      <c r="R63" s="460">
        <f t="array" ref="R63">SUM(('Non-Energy Water Demand'!$B$3:$B$22=$A$1)*('Non-Energy Water Demand'!$N$2:$W$2=R$8)*('Non-Energy Water Demand'!$N$3:$W$22))</f>
        <v>0</v>
      </c>
      <c r="S63" s="460">
        <f t="array" ref="S63">SUM(('Non-Energy Water Demand'!$B$3:$B$22=$A$1)*('Non-Energy Water Demand'!$N$2:$W$2=S$8)*('Non-Energy Water Demand'!$N$3:$W$22))</f>
        <v>0</v>
      </c>
      <c r="T63" s="460">
        <f t="array" ref="T63">SUM(('Non-Energy Water Demand'!$B$3:$B$22=$A$1)*('Non-Energy Water Demand'!$N$2:$W$2=T$8)*('Non-Energy Water Demand'!$N$3:$W$22))</f>
        <v>0</v>
      </c>
      <c r="U63" s="460">
        <f t="array" ref="U63">SUM(('Non-Energy Water Demand'!$B$3:$B$22=$A$1)*('Non-Energy Water Demand'!$N$2:$W$2=U$8)*('Non-Energy Water Demand'!$N$3:$W$22))</f>
        <v>360.42085399632367</v>
      </c>
      <c r="V63" s="460">
        <f t="array" ref="V63">SUM(('Non-Energy Water Demand'!$B$3:$B$22=$A$1)*('Non-Energy Water Demand'!$N$2:$W$2=V$8)*('Non-Energy Water Demand'!$N$3:$W$22))</f>
        <v>0</v>
      </c>
      <c r="W63" s="460">
        <f t="array" ref="W63">SUM(('Non-Energy Water Demand'!$B$3:$B$22=$A$1)*('Non-Energy Water Demand'!$N$2:$W$2=W$8)*('Non-Energy Water Demand'!$N$3:$W$22))</f>
        <v>0</v>
      </c>
      <c r="X63" s="460">
        <f t="array" ref="X63">SUM(('Non-Energy Water Demand'!$B$3:$B$22=$A$1)*('Non-Energy Water Demand'!$N$2:$W$2=X$8)*('Non-Energy Water Demand'!$N$3:$W$22))</f>
        <v>0</v>
      </c>
      <c r="Y63" s="460">
        <f t="array" ref="Y63">SUM(('Non-Energy Water Demand'!$B$3:$B$22=$A$1)*('Non-Energy Water Demand'!$N$2:$W$2=Y$8)*('Non-Energy Water Demand'!$N$3:$W$22))</f>
        <v>0</v>
      </c>
      <c r="Z63" s="460">
        <f t="array" ref="Z63">SUM(('Non-Energy Water Demand'!$B$3:$B$22=$A$1)*('Non-Energy Water Demand'!$N$2:$W$2=Z$8)*('Non-Energy Water Demand'!$N$3:$W$22))</f>
        <v>363.23437018433657</v>
      </c>
      <c r="AA63" s="460">
        <f t="array" ref="AA63">SUM(('Non-Energy Water Demand'!$B$3:$B$22=$A$1)*('Non-Energy Water Demand'!$N$2:$W$2=AA$8)*('Non-Energy Water Demand'!$N$3:$W$22))</f>
        <v>0</v>
      </c>
      <c r="AB63" s="460">
        <f t="array" ref="AB63">SUM(('Non-Energy Water Demand'!$B$3:$B$22=$A$1)*('Non-Energy Water Demand'!$N$2:$W$2=AB$8)*('Non-Energy Water Demand'!$N$3:$W$22))</f>
        <v>0</v>
      </c>
      <c r="AC63" s="460">
        <f t="array" ref="AC63">SUM(('Non-Energy Water Demand'!$B$3:$B$22=$A$1)*('Non-Energy Water Demand'!$N$2:$W$2=AC$8)*('Non-Energy Water Demand'!$N$3:$W$22))</f>
        <v>0</v>
      </c>
      <c r="AD63" s="460">
        <f t="array" ref="AD63">SUM(('Non-Energy Water Demand'!$B$3:$B$22=$A$1)*('Non-Energy Water Demand'!$N$2:$W$2=AD$8)*('Non-Energy Water Demand'!$N$3:$W$22))</f>
        <v>0</v>
      </c>
      <c r="AE63" s="460">
        <f t="array" ref="AE63">SUM(('Non-Energy Water Demand'!$B$3:$B$22=$A$1)*('Non-Energy Water Demand'!$N$2:$W$2=AE$8)*('Non-Energy Water Demand'!$N$3:$W$22))</f>
        <v>446.11893118179313</v>
      </c>
      <c r="AF63" s="460">
        <f t="array" ref="AF63">SUM(('Non-Energy Water Demand'!$B$3:$B$22=$A$1)*('Non-Energy Water Demand'!$N$2:$W$2=AF$8)*('Non-Energy Water Demand'!$N$3:$W$22))</f>
        <v>0</v>
      </c>
      <c r="AG63" s="460">
        <f t="array" ref="AG63">SUM(('Non-Energy Water Demand'!$B$3:$B$22=$A$1)*('Non-Energy Water Demand'!$N$2:$W$2=AG$8)*('Non-Energy Water Demand'!$N$3:$W$22))</f>
        <v>0</v>
      </c>
      <c r="AH63" s="460">
        <f t="array" ref="AH63">SUM(('Non-Energy Water Demand'!$B$3:$B$22=$A$1)*('Non-Energy Water Demand'!$N$2:$W$2=AH$8)*('Non-Energy Water Demand'!$N$3:$W$22))</f>
        <v>0</v>
      </c>
      <c r="AI63" s="460">
        <f t="array" ref="AI63">SUM(('Non-Energy Water Demand'!$B$3:$B$22=$A$1)*('Non-Energy Water Demand'!$N$2:$W$2=AI$8)*('Non-Energy Water Demand'!$N$3:$W$22))</f>
        <v>0</v>
      </c>
      <c r="AJ63" s="460">
        <f t="array" ref="AJ63">SUM(('Non-Energy Water Demand'!$B$3:$B$22=$A$1)*('Non-Energy Water Demand'!$N$2:$W$2=AJ$8)*('Non-Energy Water Demand'!$N$3:$W$22))</f>
        <v>449.07633095915992</v>
      </c>
      <c r="AK63" s="460">
        <f t="array" ref="AK63">SUM(('Non-Energy Water Demand'!$B$3:$B$22=$A$1)*('Non-Energy Water Demand'!$N$2:$W$2=AK$8)*('Non-Energy Water Demand'!$N$3:$W$22))</f>
        <v>0</v>
      </c>
      <c r="AL63" s="460">
        <f t="array" ref="AL63">SUM(('Non-Energy Water Demand'!$B$3:$B$22=$A$1)*('Non-Energy Water Demand'!$N$2:$W$2=AL$8)*('Non-Energy Water Demand'!$N$3:$W$22))</f>
        <v>0</v>
      </c>
      <c r="AM63" s="460">
        <f t="array" ref="AM63">SUM(('Non-Energy Water Demand'!$B$3:$B$22=$A$1)*('Non-Energy Water Demand'!$N$2:$W$2=AM$8)*('Non-Energy Water Demand'!$N$3:$W$22))</f>
        <v>0</v>
      </c>
      <c r="AN63" s="460">
        <f t="array" ref="AN63">SUM(('Non-Energy Water Demand'!$B$3:$B$22=$A$1)*('Non-Energy Water Demand'!$N$2:$W$2=AN$8)*('Non-Energy Water Demand'!$N$3:$W$22))</f>
        <v>0</v>
      </c>
      <c r="AO63" s="460">
        <f t="array" ref="AO63">SUM(('Non-Energy Water Demand'!$B$3:$B$22=$A$1)*('Non-Energy Water Demand'!$N$2:$W$2=AO$8)*('Non-Energy Water Demand'!$N$3:$W$22))</f>
        <v>452.10840878690612</v>
      </c>
      <c r="AP63" s="460">
        <f t="array" ref="AP63">SUM(('Non-Energy Water Demand'!$B$3:$B$22=$A$1)*('Non-Energy Water Demand'!$N$2:$W$2=AP$8)*('Non-Energy Water Demand'!$N$3:$W$22))</f>
        <v>455.21705037938489</v>
      </c>
      <c r="AQ63" s="460">
        <f t="array" ref="AQ63">SUM(('Non-Energy Water Demand'!$B$3:$B$22=$A$1)*('Non-Energy Water Demand'!$N$2:$W$2=AQ$8)*('Non-Energy Water Demand'!$N$3:$W$22))</f>
        <v>458.40418906759987</v>
      </c>
    </row>
    <row r="69" spans="15:16" x14ac:dyDescent="0.25">
      <c r="O69" s="379"/>
    </row>
    <row r="73" spans="15:16" x14ac:dyDescent="0.25">
      <c r="P73" s="90"/>
    </row>
    <row r="74" spans="15:16" x14ac:dyDescent="0.25">
      <c r="P74" s="90"/>
    </row>
    <row r="75" spans="15:16" x14ac:dyDescent="0.25">
      <c r="P75" s="90"/>
    </row>
    <row r="76" spans="15:16" x14ac:dyDescent="0.25">
      <c r="P76" s="81"/>
    </row>
  </sheetData>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R40"/>
  <sheetViews>
    <sheetView zoomScale="85" zoomScaleNormal="85" workbookViewId="0">
      <pane ySplit="8" topLeftCell="A21" activePane="bottomLeft" state="frozen"/>
      <selection activeCell="I38" sqref="I38"/>
      <selection pane="bottomLeft" activeCell="I38" sqref="I38"/>
    </sheetView>
  </sheetViews>
  <sheetFormatPr defaultRowHeight="15" x14ac:dyDescent="0.25"/>
  <cols>
    <col min="1" max="1" width="20.140625" customWidth="1"/>
    <col min="2" max="2" width="16" customWidth="1"/>
    <col min="3" max="3" width="5.140625" customWidth="1"/>
    <col min="4" max="4" width="29.5703125" customWidth="1"/>
    <col min="5" max="5" width="14.85546875" customWidth="1"/>
    <col min="6" max="6" width="14.140625" customWidth="1"/>
    <col min="7" max="7" width="14.5703125" customWidth="1"/>
    <col min="8" max="9" width="12.28515625" style="455" customWidth="1"/>
    <col min="10" max="10" width="11.85546875" style="463" customWidth="1"/>
    <col min="11" max="12" width="11.42578125" customWidth="1"/>
    <col min="13" max="13" width="10" bestFit="1" customWidth="1"/>
    <col min="14" max="14" width="10" customWidth="1"/>
    <col min="15" max="15" width="10" bestFit="1" customWidth="1"/>
    <col min="16" max="16" width="10" customWidth="1"/>
    <col min="21" max="21" width="12.5703125" customWidth="1"/>
    <col min="22" max="23" width="10.7109375" customWidth="1"/>
    <col min="24" max="24" width="10.28515625" customWidth="1"/>
    <col min="25" max="25" width="10" customWidth="1"/>
    <col min="26" max="26" width="12.5703125" customWidth="1"/>
    <col min="43" max="43" width="14.28515625" customWidth="1"/>
  </cols>
  <sheetData>
    <row r="1" spans="1:44" x14ac:dyDescent="0.25">
      <c r="A1" s="458" t="s">
        <v>885</v>
      </c>
      <c r="D1" s="439" t="s">
        <v>877</v>
      </c>
    </row>
    <row r="3" spans="1:44" s="45" customFormat="1" x14ac:dyDescent="0.25">
      <c r="H3" s="247"/>
      <c r="I3" s="247"/>
      <c r="J3" s="464"/>
    </row>
    <row r="4" spans="1:44" s="45" customFormat="1" x14ac:dyDescent="0.25">
      <c r="A4" s="5" t="s">
        <v>894</v>
      </c>
      <c r="B4" s="5"/>
      <c r="C4" s="5"/>
      <c r="H4" s="247"/>
      <c r="I4" s="247"/>
      <c r="J4" s="464"/>
    </row>
    <row r="5" spans="1:44" s="45" customFormat="1" x14ac:dyDescent="0.25">
      <c r="A5" s="5"/>
      <c r="B5" s="5"/>
      <c r="C5" s="5"/>
      <c r="H5" s="247"/>
      <c r="I5" s="247"/>
      <c r="J5" s="464"/>
    </row>
    <row r="6" spans="1:44" s="45" customFormat="1" x14ac:dyDescent="0.25">
      <c r="A6" s="5"/>
      <c r="B6" s="5"/>
      <c r="C6" s="5"/>
      <c r="H6" s="247"/>
      <c r="I6" s="247"/>
      <c r="J6" s="464"/>
    </row>
    <row r="7" spans="1:44" s="45" customFormat="1" x14ac:dyDescent="0.25">
      <c r="A7" s="5"/>
      <c r="B7" s="5"/>
      <c r="C7" s="5"/>
      <c r="H7" s="247"/>
      <c r="I7" s="247"/>
      <c r="J7" s="464"/>
    </row>
    <row r="8" spans="1:44" ht="15.75" thickBot="1" x14ac:dyDescent="0.3">
      <c r="A8" s="5"/>
      <c r="B8" t="s">
        <v>831</v>
      </c>
      <c r="C8" t="s">
        <v>920</v>
      </c>
      <c r="D8" t="s">
        <v>55</v>
      </c>
      <c r="E8" s="388" t="s">
        <v>817</v>
      </c>
      <c r="F8" s="388" t="s">
        <v>818</v>
      </c>
      <c r="G8" s="388" t="s">
        <v>819</v>
      </c>
      <c r="H8" s="388" t="s">
        <v>841</v>
      </c>
      <c r="I8" s="388" t="s">
        <v>840</v>
      </c>
      <c r="J8" s="465">
        <v>2006</v>
      </c>
      <c r="K8" s="388">
        <v>2010</v>
      </c>
      <c r="L8" s="388">
        <v>2011</v>
      </c>
      <c r="M8" s="388">
        <v>2012</v>
      </c>
      <c r="N8" s="388">
        <v>2013</v>
      </c>
      <c r="O8" s="388">
        <v>2014</v>
      </c>
      <c r="P8" s="388">
        <v>2015</v>
      </c>
      <c r="Q8" s="388">
        <v>2016</v>
      </c>
      <c r="R8" s="388">
        <v>2017</v>
      </c>
      <c r="S8" s="388">
        <v>2018</v>
      </c>
      <c r="T8" s="388">
        <v>2019</v>
      </c>
      <c r="U8" s="388">
        <v>2020</v>
      </c>
      <c r="V8" s="388">
        <v>2021</v>
      </c>
      <c r="W8" s="388">
        <v>2022</v>
      </c>
      <c r="X8" s="388">
        <v>2023</v>
      </c>
      <c r="Y8" s="388">
        <v>2024</v>
      </c>
      <c r="Z8" s="388">
        <v>2025</v>
      </c>
      <c r="AA8" s="388">
        <v>2026</v>
      </c>
      <c r="AB8" s="388">
        <v>2027</v>
      </c>
      <c r="AC8" s="388">
        <v>2028</v>
      </c>
      <c r="AD8" s="388">
        <v>2029</v>
      </c>
      <c r="AE8" s="388">
        <v>2030</v>
      </c>
      <c r="AF8" s="388">
        <v>2031</v>
      </c>
      <c r="AG8" s="388">
        <v>2032</v>
      </c>
      <c r="AH8" s="388">
        <v>2033</v>
      </c>
      <c r="AI8" s="388">
        <v>2034</v>
      </c>
      <c r="AJ8" s="388">
        <v>2035</v>
      </c>
      <c r="AK8" s="388">
        <v>2036</v>
      </c>
      <c r="AL8" s="388">
        <v>2037</v>
      </c>
      <c r="AM8" s="388">
        <v>2038</v>
      </c>
      <c r="AN8" s="388">
        <v>2039</v>
      </c>
      <c r="AO8" s="388">
        <v>2040</v>
      </c>
      <c r="AP8" s="388">
        <v>2045</v>
      </c>
      <c r="AQ8" s="388">
        <v>2050</v>
      </c>
      <c r="AR8" s="389"/>
    </row>
    <row r="9" spans="1:44" ht="17.25" x14ac:dyDescent="0.25">
      <c r="A9" s="5" t="s">
        <v>830</v>
      </c>
      <c r="B9" s="5"/>
      <c r="C9" s="5"/>
      <c r="J9" s="464">
        <f>seasonal!C4</f>
        <v>17</v>
      </c>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row>
    <row r="10" spans="1:44" s="193" customFormat="1" x14ac:dyDescent="0.25">
      <c r="A10" s="411" t="s">
        <v>810</v>
      </c>
      <c r="E10" s="504"/>
      <c r="F10" s="504"/>
      <c r="G10" s="504"/>
      <c r="H10" s="504"/>
      <c r="I10" s="504"/>
      <c r="J10" s="505"/>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row>
    <row r="11" spans="1:44" x14ac:dyDescent="0.25">
      <c r="A11" s="5"/>
      <c r="B11" t="s">
        <v>1414</v>
      </c>
      <c r="D11" t="s">
        <v>1415</v>
      </c>
      <c r="F11" s="389"/>
      <c r="G11" s="389"/>
      <c r="H11"/>
      <c r="I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row>
    <row r="12" spans="1:44" x14ac:dyDescent="0.25">
      <c r="A12" s="5"/>
      <c r="E12" t="s">
        <v>937</v>
      </c>
      <c r="F12" s="389"/>
      <c r="G12" s="389"/>
      <c r="H12"/>
      <c r="I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9"/>
      <c r="AO12" s="389"/>
      <c r="AP12" s="389"/>
      <c r="AQ12" s="389"/>
      <c r="AR12" s="389"/>
    </row>
    <row r="13" spans="1:44" x14ac:dyDescent="0.25">
      <c r="A13" s="5"/>
      <c r="D13" s="4" t="s">
        <v>735</v>
      </c>
      <c r="E13" t="s">
        <v>845</v>
      </c>
      <c r="G13" s="389"/>
      <c r="H13" s="496"/>
      <c r="I13" t="s">
        <v>842</v>
      </c>
      <c r="J13" s="469">
        <v>6.4000000000000003E-3</v>
      </c>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row>
    <row r="14" spans="1:44" x14ac:dyDescent="0.25">
      <c r="A14" s="5"/>
      <c r="D14" s="4" t="s">
        <v>734</v>
      </c>
      <c r="E14" t="s">
        <v>835</v>
      </c>
      <c r="G14" s="389"/>
      <c r="H14" s="496"/>
      <c r="I14" t="s">
        <v>842</v>
      </c>
      <c r="J14" s="469">
        <f>TechWATv4!$T$4 * (J$9 *'cooling water'!$W$78 +'cooling water'!$X$78)</f>
        <v>0.61549999999999994</v>
      </c>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row>
    <row r="15" spans="1:44" x14ac:dyDescent="0.25">
      <c r="A15" s="5"/>
      <c r="B15" t="s">
        <v>1406</v>
      </c>
      <c r="C15" t="s">
        <v>315</v>
      </c>
      <c r="D15" t="s">
        <v>1405</v>
      </c>
      <c r="F15" s="389"/>
      <c r="G15" s="389"/>
      <c r="H15"/>
      <c r="I15" s="389"/>
      <c r="J15" s="466"/>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c r="AO15" s="389"/>
      <c r="AP15" s="389"/>
      <c r="AQ15" s="389"/>
      <c r="AR15" s="389"/>
    </row>
    <row r="16" spans="1:44" x14ac:dyDescent="0.25">
      <c r="E16" t="s">
        <v>924</v>
      </c>
      <c r="I16" s="496" t="s">
        <v>842</v>
      </c>
      <c r="J16" s="502">
        <f>refineries!D38</f>
        <v>1.6155704765338063E-3</v>
      </c>
    </row>
    <row r="17" spans="1:44" x14ac:dyDescent="0.25">
      <c r="A17" s="5"/>
      <c r="E17" t="s">
        <v>940</v>
      </c>
      <c r="F17" s="389"/>
      <c r="G17" s="389"/>
      <c r="H17"/>
      <c r="I17" s="496" t="s">
        <v>842</v>
      </c>
      <c r="J17" s="502">
        <f>refineries!D37</f>
        <v>1.7949133007553585E-3</v>
      </c>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row>
    <row r="18" spans="1:44" x14ac:dyDescent="0.25">
      <c r="A18" s="5"/>
      <c r="B18" t="s">
        <v>936</v>
      </c>
      <c r="C18" t="s">
        <v>315</v>
      </c>
      <c r="D18" t="s">
        <v>935</v>
      </c>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row>
    <row r="19" spans="1:44" x14ac:dyDescent="0.25">
      <c r="A19" s="5"/>
      <c r="E19" t="s">
        <v>937</v>
      </c>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89"/>
      <c r="AM19" s="389"/>
      <c r="AN19" s="389"/>
      <c r="AO19" s="389"/>
      <c r="AP19" s="389"/>
      <c r="AQ19" s="389"/>
      <c r="AR19" s="389"/>
    </row>
    <row r="20" spans="1:44" x14ac:dyDescent="0.25">
      <c r="A20" s="5"/>
      <c r="F20" t="s">
        <v>821</v>
      </c>
      <c r="G20" s="389"/>
      <c r="H20"/>
      <c r="I20" s="389"/>
      <c r="J20" s="466"/>
      <c r="K20" s="389"/>
      <c r="L20" s="389"/>
      <c r="M20" s="389"/>
      <c r="N20" s="389"/>
      <c r="O20" s="389"/>
      <c r="P20" s="389"/>
      <c r="Q20" s="389"/>
      <c r="R20" s="389"/>
      <c r="S20" s="389"/>
      <c r="T20" s="389"/>
      <c r="U20" s="389"/>
      <c r="V20" s="389"/>
      <c r="W20" s="389"/>
      <c r="X20" s="389"/>
      <c r="Y20" s="389"/>
      <c r="Z20" s="389"/>
      <c r="AA20" s="389"/>
      <c r="AB20" s="389"/>
      <c r="AC20" s="389"/>
      <c r="AD20" s="389"/>
      <c r="AE20" s="389"/>
      <c r="AF20" s="389"/>
      <c r="AG20" s="389"/>
      <c r="AH20" s="389"/>
      <c r="AI20" s="389"/>
      <c r="AJ20" s="389"/>
      <c r="AK20" s="389"/>
      <c r="AL20" s="389"/>
      <c r="AM20" s="389"/>
      <c r="AN20" s="389"/>
      <c r="AO20" s="389"/>
      <c r="AP20" s="389"/>
      <c r="AQ20" s="389"/>
      <c r="AR20" s="389"/>
    </row>
    <row r="21" spans="1:44" x14ac:dyDescent="0.25">
      <c r="A21" s="5"/>
      <c r="E21" t="s">
        <v>924</v>
      </c>
      <c r="G21" s="389"/>
      <c r="H21"/>
      <c r="I21" s="496" t="s">
        <v>842</v>
      </c>
      <c r="J21" s="502">
        <f>refineries!$E$46</f>
        <v>1.1111111111111111E-3</v>
      </c>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row>
    <row r="22" spans="1:44" x14ac:dyDescent="0.25">
      <c r="A22" s="5"/>
      <c r="B22" t="s">
        <v>1424</v>
      </c>
      <c r="C22" t="s">
        <v>315</v>
      </c>
      <c r="D22" t="s">
        <v>1425</v>
      </c>
      <c r="H22" s="507"/>
      <c r="I22" s="507"/>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89"/>
      <c r="AO22" s="389"/>
      <c r="AP22" s="389"/>
      <c r="AQ22" s="389"/>
      <c r="AR22" s="389"/>
    </row>
    <row r="23" spans="1:44" x14ac:dyDescent="0.25">
      <c r="A23" s="5"/>
      <c r="F23" t="s">
        <v>821</v>
      </c>
      <c r="G23" s="389"/>
      <c r="H23"/>
      <c r="I23" s="389"/>
      <c r="J23" s="466"/>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row>
    <row r="24" spans="1:44" x14ac:dyDescent="0.25">
      <c r="A24" s="5"/>
      <c r="E24" t="s">
        <v>924</v>
      </c>
      <c r="G24" s="389"/>
      <c r="H24"/>
      <c r="I24" s="507" t="s">
        <v>842</v>
      </c>
      <c r="J24" s="502">
        <f>TechWATv4!$T$4 * (J$9 *'cooling water'!$W$78 +'cooling water'!$X$78)</f>
        <v>0.61549999999999994</v>
      </c>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9"/>
      <c r="AO24" s="389"/>
      <c r="AP24" s="389"/>
      <c r="AQ24" s="389"/>
      <c r="AR24" s="389"/>
    </row>
    <row r="25" spans="1:44" s="59" customFormat="1" x14ac:dyDescent="0.25">
      <c r="A25" s="500"/>
      <c r="E25" t="s">
        <v>940</v>
      </c>
      <c r="F25" s="389"/>
      <c r="G25" s="389"/>
      <c r="H25" s="389"/>
      <c r="I25" s="507" t="s">
        <v>842</v>
      </c>
      <c r="J25" s="469">
        <v>6.4000000000000003E-3</v>
      </c>
      <c r="K25" s="389"/>
      <c r="L25" s="389"/>
      <c r="M25" s="389"/>
      <c r="N25" s="389"/>
      <c r="O25" s="389"/>
      <c r="P25" s="389"/>
      <c r="Q25" s="389"/>
      <c r="R25" s="389"/>
      <c r="S25" s="389"/>
      <c r="T25" s="389"/>
      <c r="U25" s="389"/>
      <c r="V25" s="389"/>
      <c r="W25" s="389"/>
      <c r="X25" s="389"/>
      <c r="Y25" s="389"/>
      <c r="Z25" s="389"/>
      <c r="AA25" s="389"/>
      <c r="AB25" s="389"/>
      <c r="AC25" s="389"/>
      <c r="AD25" s="389"/>
      <c r="AE25" s="389"/>
      <c r="AF25" s="389"/>
      <c r="AG25" s="389"/>
      <c r="AH25" s="389"/>
      <c r="AI25" s="389"/>
      <c r="AJ25" s="389"/>
      <c r="AK25" s="389"/>
      <c r="AL25" s="389"/>
      <c r="AM25" s="389"/>
      <c r="AN25" s="389"/>
      <c r="AO25" s="389"/>
      <c r="AP25" s="389"/>
      <c r="AQ25" s="389"/>
      <c r="AR25" s="389"/>
    </row>
    <row r="26" spans="1:44" s="59" customFormat="1" x14ac:dyDescent="0.25">
      <c r="A26" s="500"/>
      <c r="E26" s="389"/>
      <c r="F26" s="389"/>
      <c r="G26" s="389"/>
      <c r="H26" s="389"/>
      <c r="I26" s="389"/>
      <c r="J26" s="466"/>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89"/>
      <c r="AM26" s="389"/>
      <c r="AN26" s="389"/>
      <c r="AO26" s="389"/>
      <c r="AP26" s="389"/>
      <c r="AQ26" s="389"/>
      <c r="AR26" s="389"/>
    </row>
    <row r="27" spans="1:44" x14ac:dyDescent="0.25">
      <c r="G27" s="389"/>
      <c r="H27" s="389"/>
      <c r="I27"/>
      <c r="K27" s="417"/>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c r="AO27" s="389"/>
      <c r="AP27" s="389"/>
      <c r="AQ27" s="389"/>
      <c r="AR27" s="389"/>
    </row>
    <row r="28" spans="1:44" s="193" customFormat="1" x14ac:dyDescent="0.25">
      <c r="A28" s="411" t="s">
        <v>797</v>
      </c>
      <c r="F28" s="504"/>
      <c r="G28" s="504"/>
      <c r="J28" s="506"/>
    </row>
    <row r="29" spans="1:44" ht="18.75" customHeight="1" x14ac:dyDescent="0.25">
      <c r="B29" t="s">
        <v>925</v>
      </c>
      <c r="C29" t="s">
        <v>315</v>
      </c>
      <c r="D29" t="s">
        <v>905</v>
      </c>
      <c r="E29" t="s">
        <v>924</v>
      </c>
    </row>
    <row r="30" spans="1:44" x14ac:dyDescent="0.25">
      <c r="F30" t="s">
        <v>923</v>
      </c>
      <c r="H30" s="472"/>
      <c r="I30" s="455" t="s">
        <v>918</v>
      </c>
      <c r="J30" s="471">
        <f t="array" ref="J30">SUM(('Non-Energy Water Demand'!$B$3:$B$22=$A$1)*('Non-Energy Water Demand'!$N$2:$W$2=J$8)*('Non-Energy Water Demand'!$N$3:$W$22))</f>
        <v>2665.0799999999981</v>
      </c>
      <c r="K30" s="460">
        <f t="array" ref="K30">SUM(('Non-Energy Water Demand'!$B$3:$B$22=$A$1)*('Non-Energy Water Demand'!$N$2:$W$2=K$8)*('Non-Energy Water Demand'!$N$3:$W$22))</f>
        <v>2717.7999999999993</v>
      </c>
      <c r="L30" s="460"/>
      <c r="M30" s="460"/>
      <c r="N30" s="460"/>
      <c r="O30" s="460"/>
      <c r="P30" s="460">
        <f t="array" ref="P30">SUM(('Non-Energy Water Demand'!$B$3:$B$22=$A$1)*('Non-Energy Water Demand'!$N$2:$W$2=P$8)*('Non-Energy Water Demand'!$N$3:$W$22))</f>
        <v>2783.7000000000007</v>
      </c>
      <c r="Q30" s="460"/>
      <c r="R30" s="460"/>
      <c r="S30" s="460"/>
      <c r="T30" s="460"/>
      <c r="U30" s="460">
        <f t="array" ref="U30">SUM(('Non-Energy Water Demand'!$B$3:$B$22=$A$1)*('Non-Energy Water Demand'!$N$2:$W$2=U$8)*('Non-Energy Water Demand'!$N$3:$W$22))</f>
        <v>2849.5999999999985</v>
      </c>
      <c r="V30" s="460"/>
      <c r="W30" s="460"/>
      <c r="X30" s="460"/>
      <c r="Y30" s="460"/>
      <c r="Z30" s="460">
        <f t="array" ref="Z30">SUM(('Non-Energy Water Demand'!$B$3:$B$22=$A$1)*('Non-Energy Water Demand'!$N$2:$W$2=Z$8)*('Non-Energy Water Demand'!$N$3:$W$22))</f>
        <v>2915.5</v>
      </c>
      <c r="AA30" s="460"/>
      <c r="AB30" s="460"/>
      <c r="AC30" s="460"/>
      <c r="AD30" s="460"/>
      <c r="AE30" s="460">
        <f t="array" ref="AE30">SUM(('Non-Energy Water Demand'!$B$3:$B$22=$A$1)*('Non-Energy Water Demand'!$N$2:$W$2=AE$8)*('Non-Energy Water Demand'!$N$3:$W$22))</f>
        <v>2981.3999999999978</v>
      </c>
      <c r="AF30" s="460"/>
      <c r="AG30" s="460"/>
      <c r="AH30" s="460"/>
      <c r="AI30" s="460"/>
      <c r="AJ30" s="460">
        <f t="array" ref="AJ30">SUM(('Non-Energy Water Demand'!$B$3:$B$22=$A$1)*('Non-Energy Water Demand'!$N$2:$W$2=AJ$8)*('Non-Energy Water Demand'!$N$3:$W$22))</f>
        <v>3047.2999999999993</v>
      </c>
      <c r="AK30" s="460"/>
      <c r="AL30" s="460"/>
      <c r="AM30" s="460"/>
      <c r="AN30" s="460"/>
      <c r="AO30" s="460">
        <f t="array" ref="AO30">SUM(('Non-Energy Water Demand'!$B$3:$B$22=$A$1)*('Non-Energy Water Demand'!$N$2:$W$2=AO$8)*('Non-Energy Water Demand'!$N$3:$W$22))</f>
        <v>3113.2000000000007</v>
      </c>
      <c r="AP30" s="460">
        <f t="array" ref="AP30">SUM(('Non-Energy Water Demand'!$B$3:$B$22=$A$1)*('Non-Energy Water Demand'!$N$2:$W$2=AP$8)*('Non-Energy Water Demand'!$N$3:$W$22))</f>
        <v>3179.0999999999985</v>
      </c>
      <c r="AQ30" s="460">
        <f t="array" ref="AQ30">SUM(('Non-Energy Water Demand'!$B$3:$B$22=$A$1)*('Non-Energy Water Demand'!$N$2:$W$2=AQ$8)*('Non-Energy Water Demand'!$N$3:$W$22))</f>
        <v>3245</v>
      </c>
    </row>
    <row r="31" spans="1:44" x14ac:dyDescent="0.25">
      <c r="H31" s="496"/>
      <c r="I31" s="496"/>
    </row>
    <row r="32" spans="1:44" x14ac:dyDescent="0.25">
      <c r="A32" s="5"/>
      <c r="B32" s="384" t="s">
        <v>1419</v>
      </c>
      <c r="E32" s="389"/>
      <c r="G32" s="389"/>
      <c r="H32"/>
      <c r="I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9"/>
      <c r="AO32" s="389"/>
      <c r="AP32" s="389"/>
      <c r="AQ32" s="389"/>
      <c r="AR32" s="389"/>
    </row>
    <row r="33" spans="2:15" x14ac:dyDescent="0.25">
      <c r="B33" s="384" t="s">
        <v>1418</v>
      </c>
      <c r="C33" s="384"/>
      <c r="D33" s="384" t="s">
        <v>833</v>
      </c>
      <c r="E33" t="s">
        <v>834</v>
      </c>
      <c r="I33" s="472" t="s">
        <v>842</v>
      </c>
      <c r="J33" s="463">
        <v>2.5000000000000001E-3</v>
      </c>
      <c r="K33" s="377"/>
    </row>
    <row r="34" spans="2:15" x14ac:dyDescent="0.25">
      <c r="B34" s="384"/>
      <c r="C34" s="384"/>
      <c r="D34" s="384"/>
      <c r="H34" s="496"/>
      <c r="I34" s="496"/>
      <c r="K34" s="377"/>
    </row>
    <row r="35" spans="2:15" x14ac:dyDescent="0.25">
      <c r="B35" t="s">
        <v>938</v>
      </c>
      <c r="C35" t="s">
        <v>315</v>
      </c>
      <c r="D35" t="s">
        <v>939</v>
      </c>
      <c r="H35" s="472"/>
    </row>
    <row r="36" spans="2:15" x14ac:dyDescent="0.25">
      <c r="E36" t="s">
        <v>924</v>
      </c>
      <c r="I36" s="472" t="s">
        <v>842</v>
      </c>
      <c r="J36" s="468">
        <v>5.3333333333333332E-3</v>
      </c>
    </row>
    <row r="38" spans="2:15" x14ac:dyDescent="0.25">
      <c r="B38" t="s">
        <v>942</v>
      </c>
      <c r="D38" t="s">
        <v>941</v>
      </c>
      <c r="H38" s="472"/>
      <c r="I38" s="472"/>
    </row>
    <row r="39" spans="2:15" x14ac:dyDescent="0.25">
      <c r="E39" t="s">
        <v>940</v>
      </c>
      <c r="I39" s="508" t="s">
        <v>842</v>
      </c>
      <c r="J39" s="463">
        <v>2E-3</v>
      </c>
    </row>
    <row r="40" spans="2:15" x14ac:dyDescent="0.25">
      <c r="E40" t="s">
        <v>924</v>
      </c>
      <c r="I40" s="508" t="s">
        <v>842</v>
      </c>
      <c r="J40" s="463">
        <v>5.5000000000000005E-3</v>
      </c>
      <c r="O40" s="379"/>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R29"/>
  <sheetViews>
    <sheetView zoomScaleNormal="100" workbookViewId="0">
      <pane ySplit="8" topLeftCell="A12" activePane="bottomLeft" state="frozen"/>
      <selection activeCell="I38" sqref="I38"/>
      <selection pane="bottomLeft" activeCell="I38" sqref="I38"/>
    </sheetView>
  </sheetViews>
  <sheetFormatPr defaultRowHeight="15" x14ac:dyDescent="0.25"/>
  <cols>
    <col min="1" max="1" width="20.140625" customWidth="1"/>
    <col min="2" max="2" width="16" customWidth="1"/>
    <col min="3" max="3" width="5.140625" customWidth="1"/>
    <col min="4" max="4" width="29.5703125" customWidth="1"/>
    <col min="5" max="5" width="14.85546875" customWidth="1"/>
    <col min="6" max="6" width="14.140625" customWidth="1"/>
    <col min="7" max="7" width="14.5703125" customWidth="1"/>
    <col min="8" max="9" width="12.28515625" style="455" customWidth="1"/>
    <col min="10" max="10" width="11.85546875" style="463" customWidth="1"/>
    <col min="11" max="12" width="11.42578125" customWidth="1"/>
    <col min="13" max="13" width="10" bestFit="1" customWidth="1"/>
    <col min="14" max="14" width="10" customWidth="1"/>
    <col min="15" max="15" width="10" bestFit="1" customWidth="1"/>
    <col min="16" max="16" width="10" customWidth="1"/>
    <col min="21" max="21" width="12.5703125" customWidth="1"/>
    <col min="22" max="23" width="10.7109375" customWidth="1"/>
    <col min="24" max="24" width="10.28515625" customWidth="1"/>
    <col min="25" max="25" width="10" customWidth="1"/>
    <col min="36" max="36" width="10.7109375" customWidth="1"/>
    <col min="40" max="40" width="6.28515625" customWidth="1"/>
    <col min="41" max="41" width="11.5703125" customWidth="1"/>
    <col min="42" max="43" width="14.28515625" customWidth="1"/>
  </cols>
  <sheetData>
    <row r="1" spans="1:44" x14ac:dyDescent="0.25">
      <c r="A1" s="458" t="s">
        <v>886</v>
      </c>
      <c r="D1" s="439"/>
    </row>
    <row r="2" spans="1:44" x14ac:dyDescent="0.25">
      <c r="B2" s="5"/>
      <c r="C2" s="5"/>
      <c r="J2" s="464"/>
    </row>
    <row r="3" spans="1:44" s="45" customFormat="1" x14ac:dyDescent="0.25">
      <c r="H3" s="247"/>
      <c r="I3" s="247"/>
      <c r="J3" s="464"/>
    </row>
    <row r="4" spans="1:44" s="45" customFormat="1" x14ac:dyDescent="0.25">
      <c r="A4" s="5" t="s">
        <v>894</v>
      </c>
      <c r="B4" s="5"/>
      <c r="C4" s="5"/>
      <c r="H4" s="247"/>
      <c r="I4" s="247"/>
      <c r="J4" s="464"/>
    </row>
    <row r="5" spans="1:44" s="45" customFormat="1" x14ac:dyDescent="0.25">
      <c r="A5" s="5"/>
      <c r="B5" s="5"/>
      <c r="C5" s="5"/>
      <c r="H5" s="247"/>
      <c r="I5" s="247"/>
      <c r="J5" s="464"/>
    </row>
    <row r="6" spans="1:44" s="45" customFormat="1" x14ac:dyDescent="0.25">
      <c r="A6" s="5"/>
      <c r="B6" s="5"/>
      <c r="C6" s="5"/>
      <c r="H6" s="247"/>
      <c r="I6" s="247"/>
      <c r="J6" s="464"/>
    </row>
    <row r="7" spans="1:44" s="45" customFormat="1" x14ac:dyDescent="0.25">
      <c r="A7" s="5"/>
      <c r="B7" s="5"/>
      <c r="C7" s="5"/>
      <c r="H7" s="247"/>
      <c r="I7" s="247"/>
      <c r="J7" s="464"/>
    </row>
    <row r="8" spans="1:44" ht="15.75" thickBot="1" x14ac:dyDescent="0.3">
      <c r="A8" s="5"/>
      <c r="B8" t="s">
        <v>831</v>
      </c>
      <c r="C8" t="s">
        <v>920</v>
      </c>
      <c r="D8" t="s">
        <v>55</v>
      </c>
      <c r="E8" s="388" t="s">
        <v>817</v>
      </c>
      <c r="F8" s="388" t="s">
        <v>818</v>
      </c>
      <c r="G8" s="388" t="s">
        <v>819</v>
      </c>
      <c r="H8" s="388" t="s">
        <v>841</v>
      </c>
      <c r="I8" s="388" t="s">
        <v>840</v>
      </c>
      <c r="J8" s="465">
        <v>2006</v>
      </c>
      <c r="K8" s="388">
        <v>2010</v>
      </c>
      <c r="L8" s="388">
        <v>2011</v>
      </c>
      <c r="M8" s="388">
        <v>2012</v>
      </c>
      <c r="N8" s="388">
        <v>2013</v>
      </c>
      <c r="O8" s="388">
        <v>2014</v>
      </c>
      <c r="P8" s="388">
        <v>2015</v>
      </c>
      <c r="Q8" s="388">
        <v>2016</v>
      </c>
      <c r="R8" s="388">
        <v>2017</v>
      </c>
      <c r="S8" s="388">
        <v>2018</v>
      </c>
      <c r="T8" s="388">
        <v>2019</v>
      </c>
      <c r="U8" s="388">
        <v>2020</v>
      </c>
      <c r="V8" s="388">
        <v>2021</v>
      </c>
      <c r="W8" s="388">
        <v>2022</v>
      </c>
      <c r="X8" s="388">
        <v>2023</v>
      </c>
      <c r="Y8" s="388">
        <v>2024</v>
      </c>
      <c r="Z8" s="388">
        <v>2025</v>
      </c>
      <c r="AA8" s="388">
        <v>2026</v>
      </c>
      <c r="AB8" s="388">
        <v>2027</v>
      </c>
      <c r="AC8" s="388">
        <v>2028</v>
      </c>
      <c r="AD8" s="388">
        <v>2029</v>
      </c>
      <c r="AE8" s="388">
        <v>2030</v>
      </c>
      <c r="AF8" s="388">
        <v>2031</v>
      </c>
      <c r="AG8" s="388">
        <v>2032</v>
      </c>
      <c r="AH8" s="388">
        <v>2033</v>
      </c>
      <c r="AI8" s="388">
        <v>2034</v>
      </c>
      <c r="AJ8" s="388">
        <v>2035</v>
      </c>
      <c r="AK8" s="388">
        <v>2036</v>
      </c>
      <c r="AL8" s="388">
        <v>2037</v>
      </c>
      <c r="AM8" s="388">
        <v>2038</v>
      </c>
      <c r="AN8" s="388">
        <v>2039</v>
      </c>
      <c r="AO8" s="388">
        <v>2040</v>
      </c>
      <c r="AP8" s="388">
        <v>2045</v>
      </c>
      <c r="AQ8" s="388">
        <v>2050</v>
      </c>
      <c r="AR8" s="389"/>
    </row>
    <row r="9" spans="1:44" ht="17.25" x14ac:dyDescent="0.25">
      <c r="A9" s="5" t="s">
        <v>830</v>
      </c>
      <c r="E9" s="389"/>
      <c r="F9" s="389"/>
      <c r="G9" s="389"/>
      <c r="H9" s="389"/>
      <c r="I9" s="389"/>
      <c r="J9" s="466"/>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row>
    <row r="10" spans="1:44" x14ac:dyDescent="0.25">
      <c r="A10" s="5"/>
      <c r="E10" s="389"/>
      <c r="F10" s="389"/>
      <c r="G10" s="389"/>
      <c r="H10" s="389"/>
      <c r="I10" s="389"/>
      <c r="J10" s="466"/>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9"/>
      <c r="AO10" s="389"/>
      <c r="AP10" s="389"/>
      <c r="AQ10" s="389"/>
      <c r="AR10" s="389"/>
    </row>
    <row r="11" spans="1:44" x14ac:dyDescent="0.25">
      <c r="A11" s="5" t="s">
        <v>810</v>
      </c>
      <c r="G11" s="389"/>
      <c r="H11" s="389"/>
      <c r="I11"/>
      <c r="K11" s="417"/>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row>
    <row r="12" spans="1:44" x14ac:dyDescent="0.25">
      <c r="G12" s="389"/>
      <c r="H12"/>
      <c r="I12"/>
      <c r="J12" s="467"/>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9"/>
      <c r="AO12" s="389"/>
      <c r="AP12" s="389"/>
      <c r="AQ12" s="389"/>
      <c r="AR12" s="389"/>
    </row>
    <row r="13" spans="1:44" x14ac:dyDescent="0.25">
      <c r="A13" s="5"/>
      <c r="G13" s="389"/>
      <c r="H13"/>
      <c r="I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row>
    <row r="14" spans="1:44" x14ac:dyDescent="0.25">
      <c r="A14" s="5" t="s">
        <v>797</v>
      </c>
      <c r="B14" t="s">
        <v>1386</v>
      </c>
      <c r="D14" t="s">
        <v>1387</v>
      </c>
      <c r="G14" s="389"/>
      <c r="H14" s="389" t="s">
        <v>1390</v>
      </c>
      <c r="I14"/>
      <c r="J14" s="463">
        <v>30000</v>
      </c>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row>
    <row r="15" spans="1:44" x14ac:dyDescent="0.25">
      <c r="A15" s="5" t="s">
        <v>911</v>
      </c>
      <c r="F15" t="s">
        <v>1389</v>
      </c>
      <c r="G15" s="389"/>
      <c r="H15"/>
      <c r="I15" s="4"/>
      <c r="J15" s="467"/>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c r="AO15" s="389"/>
      <c r="AP15" s="389"/>
      <c r="AQ15" s="389"/>
      <c r="AR15" s="389"/>
    </row>
    <row r="16" spans="1:44" x14ac:dyDescent="0.25">
      <c r="A16" s="5" t="s">
        <v>911</v>
      </c>
      <c r="E16" t="s">
        <v>1388</v>
      </c>
      <c r="G16" s="389"/>
      <c r="H16"/>
      <c r="I16" t="s">
        <v>842</v>
      </c>
      <c r="J16" s="463">
        <v>1.7000000000000001E-2</v>
      </c>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row>
    <row r="17" spans="1:44" x14ac:dyDescent="0.25">
      <c r="A17" s="5" t="s">
        <v>911</v>
      </c>
      <c r="D17" s="4"/>
      <c r="G17" s="389"/>
      <c r="H17" s="495"/>
      <c r="J17" s="468"/>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row>
    <row r="18" spans="1:44" x14ac:dyDescent="0.25">
      <c r="A18" s="5" t="s">
        <v>911</v>
      </c>
      <c r="D18" s="4"/>
      <c r="F18" s="389"/>
      <c r="G18" s="389"/>
      <c r="H18" s="495"/>
      <c r="I18"/>
      <c r="J18" s="469"/>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row>
    <row r="19" spans="1:44" x14ac:dyDescent="0.25">
      <c r="A19" s="5"/>
      <c r="F19" s="389"/>
      <c r="G19" s="389"/>
      <c r="H19"/>
      <c r="I19" s="389"/>
      <c r="J19" s="466"/>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89"/>
      <c r="AM19" s="389"/>
      <c r="AN19" s="389"/>
      <c r="AO19" s="389"/>
      <c r="AP19" s="389"/>
      <c r="AQ19" s="389"/>
      <c r="AR19" s="389"/>
    </row>
    <row r="23" spans="1:44" x14ac:dyDescent="0.25">
      <c r="B23" t="s">
        <v>925</v>
      </c>
      <c r="C23" t="s">
        <v>315</v>
      </c>
      <c r="D23" t="s">
        <v>905</v>
      </c>
      <c r="E23" t="s">
        <v>928</v>
      </c>
      <c r="F23" t="s">
        <v>927</v>
      </c>
      <c r="I23" s="455" t="s">
        <v>918</v>
      </c>
      <c r="J23" s="471">
        <f t="array" ref="J23">SUM(('Non-Energy Water Demand'!$B$3:$B$22=$A$1)*('Non-Energy Water Demand'!$N$2:$W$2=J$8)*('Non-Energy Water Demand'!$N$3:$W$22))</f>
        <v>3492.4259999999995</v>
      </c>
      <c r="K23" s="460">
        <f t="array" ref="K23">SUM(('Non-Energy Water Demand'!$B$3:$B$22=$A$1)*('Non-Energy Water Demand'!$N$2:$W$2=K$8)*('Non-Energy Water Demand'!$N$3:$W$22))</f>
        <v>3608.7100000000064</v>
      </c>
      <c r="L23" s="460">
        <f t="array" ref="L23">SUM(('Non-Energy Water Demand'!$B$3:$B$22=$A$1)*('Non-Energy Water Demand'!$N$2:$W$2=L$8)*('Non-Energy Water Demand'!$N$3:$W$22))</f>
        <v>0</v>
      </c>
      <c r="M23" s="460">
        <f t="array" ref="M23">SUM(('Non-Energy Water Demand'!$B$3:$B$22=$A$1)*('Non-Energy Water Demand'!$N$2:$W$2=M$8)*('Non-Energy Water Demand'!$N$3:$W$22))</f>
        <v>0</v>
      </c>
      <c r="N23" s="460">
        <f t="array" ref="N23">SUM(('Non-Energy Water Demand'!$B$3:$B$22=$A$1)*('Non-Energy Water Demand'!$N$2:$W$2=N$8)*('Non-Energy Water Demand'!$N$3:$W$22))</f>
        <v>0</v>
      </c>
      <c r="O23" s="460">
        <f t="array" ref="O23">SUM(('Non-Energy Water Demand'!$B$3:$B$22=$A$1)*('Non-Energy Water Demand'!$N$2:$W$2=O$8)*('Non-Energy Water Demand'!$N$3:$W$22))</f>
        <v>0</v>
      </c>
      <c r="P23" s="460">
        <f t="array" ref="P23">SUM(('Non-Energy Water Demand'!$B$3:$B$22=$A$1)*('Non-Energy Water Demand'!$N$2:$W$2=P$8)*('Non-Energy Water Demand'!$N$3:$W$22))</f>
        <v>3754.0650000000023</v>
      </c>
      <c r="Q23" s="460">
        <f t="array" ref="Q23">SUM(('Non-Energy Water Demand'!$B$3:$B$22=$A$1)*('Non-Energy Water Demand'!$N$2:$W$2=Q$8)*('Non-Energy Water Demand'!$N$3:$W$22))</f>
        <v>0</v>
      </c>
      <c r="R23" s="460">
        <f t="array" ref="R23">SUM(('Non-Energy Water Demand'!$B$3:$B$22=$A$1)*('Non-Energy Water Demand'!$N$2:$W$2=R$8)*('Non-Energy Water Demand'!$N$3:$W$22))</f>
        <v>0</v>
      </c>
      <c r="S23" s="460">
        <f t="array" ref="S23">SUM(('Non-Energy Water Demand'!$B$3:$B$22=$A$1)*('Non-Energy Water Demand'!$N$2:$W$2=S$8)*('Non-Energy Water Demand'!$N$3:$W$22))</f>
        <v>0</v>
      </c>
      <c r="T23" s="460">
        <f t="array" ref="T23">SUM(('Non-Energy Water Demand'!$B$3:$B$22=$A$1)*('Non-Energy Water Demand'!$N$2:$W$2=T$8)*('Non-Energy Water Demand'!$N$3:$W$22))</f>
        <v>0</v>
      </c>
      <c r="U23" s="460">
        <f t="array" ref="U23">SUM(('Non-Energy Water Demand'!$B$3:$B$22=$A$1)*('Non-Energy Water Demand'!$N$2:$W$2=U$8)*('Non-Energy Water Demand'!$N$3:$W$22))</f>
        <v>3899.4200000000055</v>
      </c>
      <c r="V23" s="460">
        <f t="array" ref="V23">SUM(('Non-Energy Water Demand'!$B$3:$B$22=$A$1)*('Non-Energy Water Demand'!$N$2:$W$2=V$8)*('Non-Energy Water Demand'!$N$3:$W$22))</f>
        <v>0</v>
      </c>
      <c r="W23" s="460">
        <f t="array" ref="W23">SUM(('Non-Energy Water Demand'!$B$3:$B$22=$A$1)*('Non-Energy Water Demand'!$N$2:$W$2=W$8)*('Non-Energy Water Demand'!$N$3:$W$22))</f>
        <v>0</v>
      </c>
      <c r="X23" s="460">
        <f t="array" ref="X23">SUM(('Non-Energy Water Demand'!$B$3:$B$22=$A$1)*('Non-Energy Water Demand'!$N$2:$W$2=X$8)*('Non-Energy Water Demand'!$N$3:$W$22))</f>
        <v>0</v>
      </c>
      <c r="Y23" s="460">
        <f t="array" ref="Y23">SUM(('Non-Energy Water Demand'!$B$3:$B$22=$A$1)*('Non-Energy Water Demand'!$N$2:$W$2=Y$8)*('Non-Energy Water Demand'!$N$3:$W$22))</f>
        <v>0</v>
      </c>
      <c r="Z23" s="460">
        <f t="array" ref="Z23">SUM(('Non-Energy Water Demand'!$B$3:$B$22=$A$1)*('Non-Energy Water Demand'!$N$2:$W$2=Z$8)*('Non-Energy Water Demand'!$N$3:$W$22))</f>
        <v>4044.7750000000015</v>
      </c>
      <c r="AA23" s="460">
        <f t="array" ref="AA23">SUM(('Non-Energy Water Demand'!$B$3:$B$22=$A$1)*('Non-Energy Water Demand'!$N$2:$W$2=AA$8)*('Non-Energy Water Demand'!$N$3:$W$22))</f>
        <v>0</v>
      </c>
      <c r="AB23" s="460">
        <f t="array" ref="AB23">SUM(('Non-Energy Water Demand'!$B$3:$B$22=$A$1)*('Non-Energy Water Demand'!$N$2:$W$2=AB$8)*('Non-Energy Water Demand'!$N$3:$W$22))</f>
        <v>0</v>
      </c>
      <c r="AC23" s="460">
        <f t="array" ref="AC23">SUM(('Non-Energy Water Demand'!$B$3:$B$22=$A$1)*('Non-Energy Water Demand'!$N$2:$W$2=AC$8)*('Non-Energy Water Demand'!$N$3:$W$22))</f>
        <v>0</v>
      </c>
      <c r="AD23" s="460">
        <f t="array" ref="AD23">SUM(('Non-Energy Water Demand'!$B$3:$B$22=$A$1)*('Non-Energy Water Demand'!$N$2:$W$2=AD$8)*('Non-Energy Water Demand'!$N$3:$W$22))</f>
        <v>0</v>
      </c>
      <c r="AE23" s="460">
        <f t="array" ref="AE23">SUM(('Non-Energy Water Demand'!$B$3:$B$22=$A$1)*('Non-Energy Water Demand'!$N$2:$W$2=AE$8)*('Non-Energy Water Demand'!$N$3:$W$22))</f>
        <v>4190.1300000000047</v>
      </c>
      <c r="AF23" s="460">
        <f t="array" ref="AF23">SUM(('Non-Energy Water Demand'!$B$3:$B$22=$A$1)*('Non-Energy Water Demand'!$N$2:$W$2=AF$8)*('Non-Energy Water Demand'!$N$3:$W$22))</f>
        <v>0</v>
      </c>
      <c r="AG23" s="460">
        <f t="array" ref="AG23">SUM(('Non-Energy Water Demand'!$B$3:$B$22=$A$1)*('Non-Energy Water Demand'!$N$2:$W$2=AG$8)*('Non-Energy Water Demand'!$N$3:$W$22))</f>
        <v>0</v>
      </c>
      <c r="AH23" s="460">
        <f t="array" ref="AH23">SUM(('Non-Energy Water Demand'!$B$3:$B$22=$A$1)*('Non-Energy Water Demand'!$N$2:$W$2=AH$8)*('Non-Energy Water Demand'!$N$3:$W$22))</f>
        <v>0</v>
      </c>
      <c r="AI23" s="460">
        <f t="array" ref="AI23">SUM(('Non-Energy Water Demand'!$B$3:$B$22=$A$1)*('Non-Energy Water Demand'!$N$2:$W$2=AI$8)*('Non-Energy Water Demand'!$N$3:$W$22))</f>
        <v>0</v>
      </c>
      <c r="AJ23" s="460">
        <f t="array" ref="AJ23">SUM(('Non-Energy Water Demand'!$B$3:$B$22=$A$1)*('Non-Energy Water Demand'!$N$2:$W$2=AJ$8)*('Non-Energy Water Demand'!$N$3:$W$22))</f>
        <v>4335.4850000000006</v>
      </c>
      <c r="AK23" s="460">
        <f t="array" ref="AK23">SUM(('Non-Energy Water Demand'!$B$3:$B$22=$A$1)*('Non-Energy Water Demand'!$N$2:$W$2=AK$8)*('Non-Energy Water Demand'!$N$3:$W$22))</f>
        <v>0</v>
      </c>
      <c r="AL23" s="460">
        <f t="array" ref="AL23">SUM(('Non-Energy Water Demand'!$B$3:$B$22=$A$1)*('Non-Energy Water Demand'!$N$2:$W$2=AL$8)*('Non-Energy Water Demand'!$N$3:$W$22))</f>
        <v>0</v>
      </c>
      <c r="AM23" s="460">
        <f t="array" ref="AM23">SUM(('Non-Energy Water Demand'!$B$3:$B$22=$A$1)*('Non-Energy Water Demand'!$N$2:$W$2=AM$8)*('Non-Energy Water Demand'!$N$3:$W$22))</f>
        <v>0</v>
      </c>
      <c r="AN23" s="460">
        <f t="array" ref="AN23">SUM(('Non-Energy Water Demand'!$B$3:$B$22=$A$1)*('Non-Energy Water Demand'!$N$2:$W$2=AN$8)*('Non-Energy Water Demand'!$N$3:$W$22))</f>
        <v>0</v>
      </c>
      <c r="AO23" s="460">
        <f t="array" ref="AO23">SUM(('Non-Energy Water Demand'!$B$3:$B$22=$A$1)*('Non-Energy Water Demand'!$N$2:$W$2=AO$8)*('Non-Energy Water Demand'!$N$3:$W$22))</f>
        <v>4480.8400000000038</v>
      </c>
      <c r="AP23" s="460">
        <f t="array" ref="AP23">SUM(('Non-Energy Water Demand'!$B$3:$B$22=$A$1)*('Non-Energy Water Demand'!$N$2:$W$2=AP$8)*('Non-Energy Water Demand'!$N$3:$W$22))</f>
        <v>4626.1949999999997</v>
      </c>
      <c r="AQ23" s="460">
        <f t="array" ref="AQ23">SUM(('Non-Energy Water Demand'!$B$3:$B$22=$A$1)*('Non-Energy Water Demand'!$N$2:$W$2=AQ$8)*('Non-Energy Water Demand'!$N$3:$W$22))</f>
        <v>4771.5500000000029</v>
      </c>
    </row>
    <row r="29" spans="1:44" x14ac:dyDescent="0.25">
      <c r="O29" s="379"/>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Q11"/>
  <sheetViews>
    <sheetView zoomScaleNormal="100" workbookViewId="0">
      <selection activeCell="C8" sqref="C8"/>
    </sheetView>
  </sheetViews>
  <sheetFormatPr defaultRowHeight="15" x14ac:dyDescent="0.25"/>
  <cols>
    <col min="1" max="1" width="22" customWidth="1"/>
    <col min="2" max="2" width="14.42578125" customWidth="1"/>
    <col min="3" max="3" width="49.5703125" customWidth="1"/>
    <col min="4" max="4" width="14.85546875" customWidth="1"/>
    <col min="5" max="5" width="14.140625" customWidth="1"/>
    <col min="6" max="6" width="14.5703125" customWidth="1"/>
    <col min="7" max="7" width="12.28515625" style="405" customWidth="1"/>
    <col min="8" max="8" width="12.28515625" style="413" customWidth="1"/>
    <col min="9" max="9" width="11.85546875" customWidth="1"/>
    <col min="10" max="11" width="11.42578125" customWidth="1"/>
    <col min="12" max="12" width="10" bestFit="1" customWidth="1"/>
    <col min="13" max="13" width="10" customWidth="1"/>
    <col min="14" max="14" width="10" bestFit="1" customWidth="1"/>
    <col min="15" max="15" width="10" customWidth="1"/>
    <col min="20" max="20" width="12.5703125" customWidth="1"/>
    <col min="21" max="22" width="10.7109375" customWidth="1"/>
    <col min="23" max="23" width="10.28515625" customWidth="1"/>
    <col min="24" max="24" width="10" customWidth="1"/>
  </cols>
  <sheetData>
    <row r="1" spans="1:43" x14ac:dyDescent="0.25">
      <c r="A1" s="458" t="s">
        <v>909</v>
      </c>
    </row>
    <row r="2" spans="1:43" x14ac:dyDescent="0.25">
      <c r="A2" s="5"/>
      <c r="B2" s="5"/>
    </row>
    <row r="3" spans="1:43" ht="15.75" thickBot="1" x14ac:dyDescent="0.3">
      <c r="A3" s="5"/>
      <c r="B3" t="s">
        <v>831</v>
      </c>
      <c r="C3" t="s">
        <v>55</v>
      </c>
      <c r="D3" s="388" t="s">
        <v>817</v>
      </c>
      <c r="E3" s="388" t="s">
        <v>818</v>
      </c>
      <c r="F3" s="388" t="s">
        <v>819</v>
      </c>
      <c r="G3" s="388"/>
      <c r="H3" s="388"/>
      <c r="I3" s="388">
        <v>2006</v>
      </c>
      <c r="J3" s="388">
        <v>2010</v>
      </c>
      <c r="K3" s="388"/>
      <c r="L3" s="388">
        <v>2012</v>
      </c>
      <c r="M3" s="388"/>
      <c r="N3" s="388">
        <v>2014</v>
      </c>
      <c r="O3" s="388"/>
      <c r="P3" s="388">
        <v>2016</v>
      </c>
      <c r="Q3" s="388"/>
      <c r="R3" s="388">
        <v>2018</v>
      </c>
      <c r="S3" s="388"/>
      <c r="T3" s="388">
        <v>2020</v>
      </c>
      <c r="U3" s="388">
        <v>2021</v>
      </c>
      <c r="V3" s="388">
        <v>2022</v>
      </c>
      <c r="W3" s="388">
        <v>2023</v>
      </c>
      <c r="X3" s="388">
        <v>2024</v>
      </c>
      <c r="Y3" s="388">
        <v>2025</v>
      </c>
      <c r="Z3" s="388">
        <v>2026</v>
      </c>
      <c r="AA3" s="388">
        <v>2027</v>
      </c>
      <c r="AB3" s="388">
        <v>2028</v>
      </c>
      <c r="AC3" s="388">
        <v>2029</v>
      </c>
      <c r="AD3" s="388">
        <v>2030</v>
      </c>
      <c r="AE3" s="388">
        <v>2031</v>
      </c>
      <c r="AF3" s="388">
        <v>2032</v>
      </c>
      <c r="AG3" s="388">
        <v>2033</v>
      </c>
      <c r="AH3" s="388">
        <v>2034</v>
      </c>
      <c r="AI3" s="388">
        <v>2035</v>
      </c>
      <c r="AJ3" s="388">
        <v>2036</v>
      </c>
      <c r="AK3" s="388">
        <v>2037</v>
      </c>
      <c r="AL3" s="388">
        <v>2038</v>
      </c>
      <c r="AM3" s="388">
        <v>2039</v>
      </c>
      <c r="AN3" s="388">
        <v>2040</v>
      </c>
      <c r="AO3" s="388">
        <v>2045</v>
      </c>
      <c r="AP3" s="388">
        <v>2050</v>
      </c>
      <c r="AQ3" s="389"/>
    </row>
    <row r="4" spans="1:43" ht="17.25" x14ac:dyDescent="0.25">
      <c r="A4" s="5" t="s">
        <v>830</v>
      </c>
      <c r="I4" s="416">
        <f>seasonal!B4</f>
        <v>21</v>
      </c>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89"/>
      <c r="AP4" s="389"/>
      <c r="AQ4" s="389"/>
    </row>
    <row r="5" spans="1:43" x14ac:dyDescent="0.25">
      <c r="A5" s="5" t="s">
        <v>797</v>
      </c>
      <c r="B5" s="384" t="s">
        <v>828</v>
      </c>
      <c r="C5" s="384" t="s">
        <v>827</v>
      </c>
    </row>
    <row r="6" spans="1:43" x14ac:dyDescent="0.25">
      <c r="B6" s="4"/>
      <c r="D6" t="s">
        <v>824</v>
      </c>
      <c r="E6" t="s">
        <v>821</v>
      </c>
      <c r="F6" t="s">
        <v>162</v>
      </c>
      <c r="G6" t="s">
        <v>730</v>
      </c>
      <c r="H6"/>
      <c r="J6" s="377">
        <v>17522.382689999999</v>
      </c>
    </row>
    <row r="7" spans="1:43" x14ac:dyDescent="0.25">
      <c r="C7" s="4" t="s">
        <v>825</v>
      </c>
      <c r="D7" t="s">
        <v>811</v>
      </c>
      <c r="E7" t="s">
        <v>822</v>
      </c>
      <c r="F7" t="s">
        <v>217</v>
      </c>
      <c r="I7" s="405">
        <v>0</v>
      </c>
    </row>
    <row r="8" spans="1:43" x14ac:dyDescent="0.25">
      <c r="C8" s="4" t="s">
        <v>735</v>
      </c>
      <c r="D8" t="s">
        <v>812</v>
      </c>
      <c r="F8" t="s">
        <v>217</v>
      </c>
      <c r="I8" s="379">
        <v>6.4000000000000003E-3</v>
      </c>
    </row>
    <row r="9" spans="1:43" x14ac:dyDescent="0.25">
      <c r="C9" s="4" t="s">
        <v>826</v>
      </c>
      <c r="D9" s="4" t="s">
        <v>811</v>
      </c>
      <c r="F9" t="s">
        <v>217</v>
      </c>
      <c r="I9" s="376">
        <v>0</v>
      </c>
    </row>
    <row r="10" spans="1:43" x14ac:dyDescent="0.25">
      <c r="G10" s="4" t="s">
        <v>571</v>
      </c>
      <c r="H10" s="413">
        <v>0.3911</v>
      </c>
    </row>
    <row r="11" spans="1:43" x14ac:dyDescent="0.25">
      <c r="G11" s="405" t="s">
        <v>829</v>
      </c>
      <c r="H11" s="413">
        <v>2010</v>
      </c>
    </row>
  </sheetData>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BC79"/>
  <sheetViews>
    <sheetView topLeftCell="A4" zoomScaleNormal="100" workbookViewId="0">
      <selection activeCell="O23" sqref="O23"/>
    </sheetView>
  </sheetViews>
  <sheetFormatPr defaultRowHeight="15" x14ac:dyDescent="0.25"/>
  <cols>
    <col min="1" max="1" width="14.5703125" customWidth="1"/>
    <col min="2" max="2" width="19.5703125" customWidth="1"/>
    <col min="3" max="3" width="8.85546875" customWidth="1"/>
    <col min="4" max="4" width="49.5703125" customWidth="1"/>
    <col min="5" max="5" width="15.28515625" customWidth="1"/>
    <col min="6" max="6" width="7.42578125" customWidth="1"/>
    <col min="7" max="7" width="14.5703125" customWidth="1"/>
    <col min="8" max="10" width="12.140625" customWidth="1"/>
    <col min="11" max="11" width="12.28515625" style="404" customWidth="1"/>
    <col min="12" max="12" width="11.85546875" customWidth="1"/>
    <col min="13" max="14" width="11.42578125" customWidth="1"/>
    <col min="15" max="15" width="10" bestFit="1" customWidth="1"/>
    <col min="16" max="16" width="10" customWidth="1"/>
    <col min="17" max="17" width="10" bestFit="1" customWidth="1"/>
    <col min="18" max="18" width="10" customWidth="1"/>
    <col min="23" max="23" width="12.5703125" customWidth="1"/>
    <col min="24" max="25" width="10.7109375" customWidth="1"/>
    <col min="26" max="26" width="10.28515625" customWidth="1"/>
    <col min="27" max="27" width="10" customWidth="1"/>
    <col min="47" max="47" width="20" customWidth="1"/>
    <col min="48" max="48" width="13.5703125" customWidth="1"/>
    <col min="49" max="49" width="16.5703125" customWidth="1"/>
  </cols>
  <sheetData>
    <row r="1" spans="1:46" x14ac:dyDescent="0.25">
      <c r="B1" t="s">
        <v>895</v>
      </c>
      <c r="C1" t="s">
        <v>920</v>
      </c>
      <c r="D1" t="s">
        <v>55</v>
      </c>
      <c r="K1" t="s">
        <v>930</v>
      </c>
      <c r="L1" s="404" t="s">
        <v>847</v>
      </c>
      <c r="N1" t="s">
        <v>913</v>
      </c>
      <c r="O1" t="s">
        <v>929</v>
      </c>
      <c r="P1" s="404" t="s">
        <v>915</v>
      </c>
      <c r="Q1" t="s">
        <v>917</v>
      </c>
      <c r="R1" t="s">
        <v>916</v>
      </c>
    </row>
    <row r="2" spans="1:46" x14ac:dyDescent="0.25">
      <c r="A2" s="5" t="s">
        <v>894</v>
      </c>
      <c r="B2" t="s">
        <v>896</v>
      </c>
      <c r="D2" t="s">
        <v>897</v>
      </c>
      <c r="E2" t="s">
        <v>900</v>
      </c>
      <c r="K2"/>
      <c r="N2">
        <v>0.9119771214891641</v>
      </c>
      <c r="O2">
        <v>3.5474874826051397</v>
      </c>
      <c r="P2" s="404">
        <v>15.466495212635959</v>
      </c>
      <c r="Q2">
        <v>9.9384899206621569</v>
      </c>
      <c r="R2">
        <v>9.9384899206621569</v>
      </c>
    </row>
    <row r="3" spans="1:46" x14ac:dyDescent="0.25">
      <c r="B3" t="s">
        <v>899</v>
      </c>
      <c r="D3" t="s">
        <v>898</v>
      </c>
      <c r="E3" t="s">
        <v>901</v>
      </c>
      <c r="K3" s="441"/>
    </row>
    <row r="4" spans="1:46" x14ac:dyDescent="0.25">
      <c r="K4" s="441"/>
    </row>
    <row r="5" spans="1:46" x14ac:dyDescent="0.25">
      <c r="G5" t="s">
        <v>742</v>
      </c>
      <c r="H5" t="s">
        <v>217</v>
      </c>
      <c r="I5" t="s">
        <v>217</v>
      </c>
      <c r="J5" t="s">
        <v>217</v>
      </c>
      <c r="K5" s="404" t="s">
        <v>217</v>
      </c>
      <c r="M5" t="s">
        <v>730</v>
      </c>
    </row>
    <row r="6" spans="1:46" ht="15.75" thickBot="1" x14ac:dyDescent="0.3">
      <c r="A6" s="5" t="s">
        <v>797</v>
      </c>
      <c r="G6" t="s">
        <v>741</v>
      </c>
      <c r="H6" s="275" t="s">
        <v>734</v>
      </c>
      <c r="I6" s="244" t="s">
        <v>1670</v>
      </c>
      <c r="J6" s="382" t="s">
        <v>787</v>
      </c>
      <c r="K6" s="404" t="s">
        <v>735</v>
      </c>
      <c r="L6" s="275"/>
      <c r="M6" s="388">
        <v>2010</v>
      </c>
      <c r="N6" s="388"/>
      <c r="O6" s="388">
        <v>2012</v>
      </c>
      <c r="P6" s="388"/>
      <c r="Q6" s="388">
        <v>2014</v>
      </c>
      <c r="R6" s="388"/>
      <c r="S6" s="388">
        <v>2016</v>
      </c>
      <c r="T6" s="388"/>
      <c r="U6" s="388">
        <v>2018</v>
      </c>
      <c r="V6" s="388"/>
      <c r="W6" s="388">
        <v>2020</v>
      </c>
      <c r="X6" s="388">
        <v>2021</v>
      </c>
      <c r="Y6" s="388">
        <v>2022</v>
      </c>
      <c r="Z6" s="388">
        <v>2023</v>
      </c>
      <c r="AA6" s="388">
        <v>2024</v>
      </c>
      <c r="AB6" s="388">
        <v>2025</v>
      </c>
      <c r="AC6" s="388">
        <v>2026</v>
      </c>
      <c r="AD6" s="388">
        <v>2027</v>
      </c>
      <c r="AE6" s="388">
        <v>2028</v>
      </c>
      <c r="AF6" s="388">
        <v>2029</v>
      </c>
      <c r="AG6" s="388">
        <v>2030</v>
      </c>
      <c r="AH6" s="388">
        <v>2031</v>
      </c>
      <c r="AI6" s="388">
        <v>2032</v>
      </c>
      <c r="AJ6" s="388">
        <v>2033</v>
      </c>
      <c r="AK6" s="388">
        <v>2034</v>
      </c>
      <c r="AL6" s="388">
        <v>2035</v>
      </c>
      <c r="AM6" s="388">
        <v>2036</v>
      </c>
      <c r="AN6" s="388">
        <v>2037</v>
      </c>
      <c r="AO6" s="388">
        <v>2038</v>
      </c>
      <c r="AP6" s="388">
        <v>2039</v>
      </c>
      <c r="AQ6" s="388">
        <v>2040</v>
      </c>
      <c r="AR6" s="388">
        <v>2045</v>
      </c>
      <c r="AS6" s="388">
        <v>2050</v>
      </c>
      <c r="AT6" s="389"/>
    </row>
    <row r="7" spans="1:46" x14ac:dyDescent="0.25">
      <c r="A7" s="5"/>
      <c r="H7" s="441"/>
      <c r="I7" s="605"/>
      <c r="J7" s="441"/>
      <c r="K7" s="441"/>
      <c r="L7" s="441"/>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389"/>
      <c r="AP7" s="389"/>
      <c r="AQ7" s="389"/>
      <c r="AR7" s="389"/>
      <c r="AS7" s="389"/>
      <c r="AT7" s="389"/>
    </row>
    <row r="8" spans="1:46" x14ac:dyDescent="0.25">
      <c r="A8" t="s">
        <v>476</v>
      </c>
      <c r="F8" s="275"/>
      <c r="G8" s="373"/>
      <c r="H8" s="375" t="s">
        <v>788</v>
      </c>
      <c r="I8" s="375"/>
      <c r="J8" s="375" t="s">
        <v>788</v>
      </c>
      <c r="K8" s="375" t="s">
        <v>789</v>
      </c>
      <c r="L8" s="275" t="s">
        <v>571</v>
      </c>
    </row>
    <row r="9" spans="1:46" x14ac:dyDescent="0.25">
      <c r="A9" t="s">
        <v>477</v>
      </c>
      <c r="B9" s="383" t="s">
        <v>731</v>
      </c>
      <c r="C9" s="383"/>
      <c r="D9" s="383" t="s">
        <v>733</v>
      </c>
      <c r="E9" s="383"/>
      <c r="G9" s="378" t="s">
        <v>744</v>
      </c>
      <c r="H9" s="379">
        <f>'Eskom coal pwr plants'!G12</f>
        <v>2.5000000000000001E-2</v>
      </c>
      <c r="I9" s="379"/>
      <c r="J9" s="376">
        <f>TechWATv4!$T$4*'fgd costs'!$B$32 +H9</f>
        <v>8.0555555555555561E-2</v>
      </c>
      <c r="K9" s="379">
        <v>6.4000000000000003E-3</v>
      </c>
      <c r="L9" s="379">
        <v>0.36699999999999999</v>
      </c>
      <c r="M9" s="378">
        <v>19469.3141</v>
      </c>
    </row>
    <row r="10" spans="1:46" x14ac:dyDescent="0.25">
      <c r="A10" t="s">
        <v>477</v>
      </c>
      <c r="B10" s="384" t="s">
        <v>729</v>
      </c>
      <c r="C10" s="384"/>
      <c r="D10" s="384" t="s">
        <v>732</v>
      </c>
      <c r="E10" s="384"/>
      <c r="G10" s="377">
        <f>seasonal!C4</f>
        <v>17</v>
      </c>
      <c r="H10" s="376">
        <f>'cooling water'!X85*TechWATv4!$T$4</f>
        <v>0.55561111111111117</v>
      </c>
      <c r="I10" s="376"/>
      <c r="J10" s="376">
        <f>TechWATv4!$T$4*'fgd costs'!$B$32 +H10</f>
        <v>0.61116666666666675</v>
      </c>
      <c r="K10" s="404">
        <f>K9</f>
        <v>6.4000000000000003E-3</v>
      </c>
      <c r="L10" s="275">
        <f>0.015+L9</f>
        <v>0.38200000000000001</v>
      </c>
      <c r="M10" s="377">
        <f>0.9*M9</f>
        <v>17522.382689999999</v>
      </c>
    </row>
    <row r="11" spans="1:46" x14ac:dyDescent="0.25">
      <c r="B11" s="4"/>
      <c r="C11" s="4"/>
      <c r="D11" s="4"/>
      <c r="E11" s="4"/>
      <c r="H11" s="382"/>
      <c r="I11" s="605"/>
      <c r="J11" s="376"/>
    </row>
    <row r="12" spans="1:46" x14ac:dyDescent="0.25">
      <c r="A12" t="s">
        <v>478</v>
      </c>
      <c r="B12" s="385" t="s">
        <v>736</v>
      </c>
      <c r="C12" s="385"/>
      <c r="D12" s="385" t="s">
        <v>733</v>
      </c>
      <c r="E12" s="385"/>
      <c r="G12" s="380">
        <f>G10</f>
        <v>17</v>
      </c>
      <c r="H12" s="381">
        <f>'Eskom coal pwr plants'!G12</f>
        <v>2.5000000000000001E-2</v>
      </c>
      <c r="I12" s="381"/>
      <c r="J12" s="376">
        <f>TechWATv4!$T$4*'fgd costs'!$B$32 +H12</f>
        <v>8.0555555555555561E-2</v>
      </c>
      <c r="K12" s="381">
        <v>6.4000000000000003E-3</v>
      </c>
      <c r="L12" s="381">
        <f>L9</f>
        <v>0.36699999999999999</v>
      </c>
      <c r="M12" s="380">
        <v>19469.3141</v>
      </c>
    </row>
    <row r="13" spans="1:46" x14ac:dyDescent="0.25">
      <c r="A13" t="s">
        <v>478</v>
      </c>
      <c r="B13" s="384" t="s">
        <v>743</v>
      </c>
      <c r="C13" s="384"/>
      <c r="D13" s="384" t="s">
        <v>732</v>
      </c>
      <c r="E13" s="384"/>
      <c r="G13" s="377">
        <f>G10</f>
        <v>17</v>
      </c>
      <c r="H13" s="376">
        <f>H10</f>
        <v>0.55561111111111117</v>
      </c>
      <c r="I13" s="376"/>
      <c r="J13" s="376">
        <f>TechWATv4!$T$4*'fgd costs'!$B$32 +H13</f>
        <v>0.61116666666666675</v>
      </c>
      <c r="K13" s="404">
        <f>K12</f>
        <v>6.4000000000000003E-3</v>
      </c>
      <c r="L13" s="275">
        <f>0.015+L12</f>
        <v>0.38200000000000001</v>
      </c>
      <c r="M13" s="377">
        <f>0.9*M12</f>
        <v>17522.382689999999</v>
      </c>
    </row>
    <row r="14" spans="1:46" x14ac:dyDescent="0.25">
      <c r="B14" s="4"/>
      <c r="C14" s="4"/>
      <c r="D14" s="4"/>
      <c r="E14" s="4"/>
      <c r="H14" s="382"/>
      <c r="I14" s="605"/>
      <c r="J14" s="376"/>
    </row>
    <row r="15" spans="1:46" x14ac:dyDescent="0.25">
      <c r="A15" t="s">
        <v>331</v>
      </c>
      <c r="B15" s="384" t="s">
        <v>739</v>
      </c>
      <c r="C15" s="384"/>
      <c r="D15" s="384" t="s">
        <v>740</v>
      </c>
      <c r="E15" s="384"/>
      <c r="G15" s="377">
        <f>seasonal!B4</f>
        <v>21</v>
      </c>
      <c r="H15" s="382">
        <f>2.1078*TechWATv4!$T$4</f>
        <v>0.58550000000000002</v>
      </c>
      <c r="I15" s="605"/>
      <c r="J15" s="376">
        <f>TechWATv4!$T$4*'fgd costs'!$B$32 +H15</f>
        <v>0.6410555555555556</v>
      </c>
      <c r="K15" s="404">
        <f>K9</f>
        <v>6.4000000000000003E-3</v>
      </c>
      <c r="L15" s="373">
        <f>L13</f>
        <v>0.38200000000000001</v>
      </c>
      <c r="M15" s="377">
        <f>M13</f>
        <v>17522.382689999999</v>
      </c>
    </row>
    <row r="16" spans="1:46" x14ac:dyDescent="0.25">
      <c r="B16" s="4"/>
      <c r="C16" s="4"/>
      <c r="D16" s="4"/>
      <c r="E16" s="4"/>
      <c r="H16" s="382"/>
      <c r="I16" s="605"/>
      <c r="J16" s="382"/>
    </row>
    <row r="17" spans="1:55" x14ac:dyDescent="0.25">
      <c r="A17" t="s">
        <v>526</v>
      </c>
      <c r="B17" s="4" t="s">
        <v>747</v>
      </c>
      <c r="C17" s="4"/>
      <c r="D17" s="4" t="s">
        <v>771</v>
      </c>
      <c r="E17" s="4"/>
      <c r="H17" s="382"/>
      <c r="I17" s="605"/>
      <c r="J17" s="382"/>
      <c r="K17" s="404">
        <f>K9</f>
        <v>6.4000000000000003E-3</v>
      </c>
      <c r="M17" s="386"/>
      <c r="N17" s="386"/>
    </row>
    <row r="18" spans="1:55" x14ac:dyDescent="0.25">
      <c r="H18" s="382"/>
      <c r="I18" s="605"/>
      <c r="J18" s="382"/>
    </row>
    <row r="19" spans="1:55" x14ac:dyDescent="0.25">
      <c r="A19" t="s">
        <v>526</v>
      </c>
      <c r="B19" s="387" t="s">
        <v>748</v>
      </c>
      <c r="C19" s="387"/>
      <c r="D19" t="s">
        <v>772</v>
      </c>
      <c r="H19" s="244">
        <f>AU$23/1000*TechWATv4!$T$4</f>
        <v>8.1852777777777788E-2</v>
      </c>
      <c r="I19" s="399">
        <f>H19-K19</f>
        <v>7.5452777777777785E-2</v>
      </c>
      <c r="J19" s="244"/>
      <c r="K19" s="404">
        <f>K9</f>
        <v>6.4000000000000003E-3</v>
      </c>
      <c r="M19" s="390"/>
      <c r="O19" s="390"/>
      <c r="Q19" s="390"/>
      <c r="S19" s="390"/>
      <c r="U19" s="390"/>
      <c r="W19" s="390"/>
      <c r="AB19" s="390"/>
      <c r="AG19" s="390"/>
      <c r="AQ19" s="390"/>
      <c r="AS19" s="390"/>
    </row>
    <row r="20" spans="1:55" x14ac:dyDescent="0.25">
      <c r="A20" t="s">
        <v>526</v>
      </c>
      <c r="B20" s="387" t="s">
        <v>749</v>
      </c>
      <c r="C20" s="387"/>
      <c r="D20" t="s">
        <v>773</v>
      </c>
      <c r="H20" s="244">
        <f>AV$23/1000 * TechWATv4!$T$4</f>
        <v>8.3055555555555549E-2</v>
      </c>
      <c r="I20" s="399">
        <f t="shared" ref="I20:I34" si="0">H20-K20</f>
        <v>7.6655555555555546E-2</v>
      </c>
      <c r="J20" s="244"/>
      <c r="K20" s="404">
        <f>$K$19</f>
        <v>6.4000000000000003E-3</v>
      </c>
      <c r="AU20" t="s">
        <v>745</v>
      </c>
      <c r="AZ20" t="s">
        <v>746</v>
      </c>
    </row>
    <row r="21" spans="1:55" s="394" customFormat="1" x14ac:dyDescent="0.25">
      <c r="A21" t="s">
        <v>526</v>
      </c>
      <c r="B21" s="392" t="s">
        <v>767</v>
      </c>
      <c r="C21" s="392"/>
      <c r="D21" s="394" t="s">
        <v>774</v>
      </c>
      <c r="H21" s="395">
        <f>AW$23/1000 * TechWATv4!$T$4</f>
        <v>8.4444444444444447E-2</v>
      </c>
      <c r="I21" s="399">
        <f t="shared" si="0"/>
        <v>7.8044444444444444E-2</v>
      </c>
      <c r="J21" s="395"/>
      <c r="K21" s="400">
        <f>$K$19</f>
        <v>6.4000000000000003E-3</v>
      </c>
      <c r="AU21" s="394" t="s">
        <v>745</v>
      </c>
      <c r="AZ21" s="394" t="s">
        <v>746</v>
      </c>
    </row>
    <row r="22" spans="1:55" x14ac:dyDescent="0.25">
      <c r="A22" t="s">
        <v>526</v>
      </c>
      <c r="B22" s="387" t="s">
        <v>750</v>
      </c>
      <c r="C22" s="387"/>
      <c r="D22" t="s">
        <v>775</v>
      </c>
      <c r="H22" s="244">
        <f>AX$23/1000 * TechWATv4!$T$4</f>
        <v>8.5555555555555551E-2</v>
      </c>
      <c r="I22" s="399">
        <f t="shared" si="0"/>
        <v>7.9155555555555548E-2</v>
      </c>
      <c r="J22" s="244"/>
      <c r="K22" s="404">
        <f t="shared" ref="K22:K34" si="1">$K$19</f>
        <v>6.4000000000000003E-3</v>
      </c>
      <c r="AU22" s="397">
        <v>0</v>
      </c>
      <c r="AV22">
        <v>3</v>
      </c>
      <c r="AW22">
        <v>6</v>
      </c>
      <c r="AX22">
        <v>9</v>
      </c>
      <c r="AZ22">
        <v>3</v>
      </c>
      <c r="BA22">
        <v>6</v>
      </c>
      <c r="BB22">
        <v>9</v>
      </c>
      <c r="BC22" s="397">
        <v>12</v>
      </c>
    </row>
    <row r="23" spans="1:55" x14ac:dyDescent="0.25">
      <c r="A23" t="s">
        <v>526</v>
      </c>
      <c r="B23" s="387" t="s">
        <v>751</v>
      </c>
      <c r="C23" s="387"/>
      <c r="D23" t="s">
        <v>754</v>
      </c>
      <c r="H23" s="244">
        <f>$AV$33 *$H19</f>
        <v>0.81852777777777785</v>
      </c>
      <c r="I23" s="399">
        <f t="shared" si="0"/>
        <v>0.81212777777777789</v>
      </c>
      <c r="J23" s="244"/>
      <c r="K23" s="404">
        <f t="shared" si="1"/>
        <v>6.4000000000000003E-3</v>
      </c>
      <c r="M23" s="390">
        <v>30765.353210490099</v>
      </c>
      <c r="N23" s="390"/>
      <c r="O23" s="390">
        <v>25430.450431549012</v>
      </c>
      <c r="P23" s="390"/>
      <c r="Q23" s="390">
        <v>22135.093329186126</v>
      </c>
      <c r="R23" s="390"/>
      <c r="S23" s="390">
        <v>19028.942639681001</v>
      </c>
      <c r="T23" s="390"/>
      <c r="U23" s="390">
        <v>17592.281849274998</v>
      </c>
      <c r="V23" s="390"/>
      <c r="W23" s="390">
        <v>16668.694246391642</v>
      </c>
      <c r="X23" s="390"/>
      <c r="Y23" s="390"/>
      <c r="Z23" s="390"/>
      <c r="AA23" s="390"/>
      <c r="AB23" s="390">
        <v>15738.852163206344</v>
      </c>
      <c r="AC23" s="390"/>
      <c r="AD23" s="390"/>
      <c r="AE23" s="390"/>
      <c r="AF23" s="390"/>
      <c r="AG23" s="390">
        <v>15178.452418894794</v>
      </c>
      <c r="AH23" s="390"/>
      <c r="AI23" s="390"/>
      <c r="AJ23" s="390"/>
      <c r="AK23" s="390"/>
      <c r="AL23" s="390"/>
      <c r="AM23" s="390"/>
      <c r="AN23" s="390"/>
      <c r="AO23" s="390"/>
      <c r="AP23" s="390"/>
      <c r="AQ23" s="390">
        <v>14116.803469247183</v>
      </c>
      <c r="AR23" s="390"/>
      <c r="AS23" s="390">
        <v>13129.411002486115</v>
      </c>
      <c r="AU23" s="397">
        <v>294.67</v>
      </c>
      <c r="AV23">
        <v>299</v>
      </c>
      <c r="AW23">
        <v>304</v>
      </c>
      <c r="AX23">
        <v>308</v>
      </c>
      <c r="AZ23">
        <v>310</v>
      </c>
      <c r="BA23">
        <v>302</v>
      </c>
      <c r="BB23">
        <v>300</v>
      </c>
      <c r="BC23" s="398">
        <f>BC22*$AZ$24+$BA$24</f>
        <v>293.99959999999999</v>
      </c>
    </row>
    <row r="24" spans="1:55" x14ac:dyDescent="0.25">
      <c r="A24" t="s">
        <v>526</v>
      </c>
      <c r="B24" s="387" t="s">
        <v>752</v>
      </c>
      <c r="C24" s="387"/>
      <c r="D24" t="s">
        <v>755</v>
      </c>
      <c r="H24" s="244">
        <f t="shared" ref="H24" si="2">$AV$33 *$H20</f>
        <v>0.83055555555555549</v>
      </c>
      <c r="I24" s="399">
        <f t="shared" si="0"/>
        <v>0.82415555555555553</v>
      </c>
      <c r="J24" s="244"/>
      <c r="K24" s="404">
        <f t="shared" si="1"/>
        <v>6.4000000000000003E-3</v>
      </c>
      <c r="M24" s="390">
        <v>41945.11271047694</v>
      </c>
      <c r="N24" s="390"/>
      <c r="O24" s="390">
        <v>34671.570397111907</v>
      </c>
      <c r="P24" s="390"/>
      <c r="Q24" s="390">
        <v>30178.720140065241</v>
      </c>
      <c r="R24" s="390"/>
      <c r="S24" s="390">
        <v>25943.831631696234</v>
      </c>
      <c r="T24" s="390"/>
      <c r="U24" s="390">
        <v>23985.105581388591</v>
      </c>
      <c r="V24" s="390"/>
      <c r="W24" s="390">
        <v>22725.897346856364</v>
      </c>
      <c r="X24" s="390"/>
      <c r="Y24" s="390"/>
      <c r="Z24" s="390"/>
      <c r="AA24" s="390"/>
      <c r="AB24" s="390">
        <v>21458.161829070945</v>
      </c>
      <c r="AC24" s="390"/>
      <c r="AD24" s="390"/>
      <c r="AE24" s="390"/>
      <c r="AF24" s="390"/>
      <c r="AG24" s="390">
        <v>20694.119554722685</v>
      </c>
      <c r="AH24" s="390"/>
      <c r="AI24" s="390"/>
      <c r="AJ24" s="390"/>
      <c r="AK24" s="390"/>
      <c r="AL24" s="390"/>
      <c r="AM24" s="390"/>
      <c r="AN24" s="390"/>
      <c r="AO24" s="390"/>
      <c r="AP24" s="390"/>
      <c r="AQ24" s="390">
        <v>19246.680139765969</v>
      </c>
      <c r="AR24" s="390"/>
      <c r="AS24" s="390">
        <v>17900.48112087588</v>
      </c>
      <c r="AZ24">
        <v>-1.6667000000000001</v>
      </c>
      <c r="BA24">
        <v>314</v>
      </c>
    </row>
    <row r="25" spans="1:55" s="180" customFormat="1" x14ac:dyDescent="0.25">
      <c r="A25" t="s">
        <v>526</v>
      </c>
      <c r="B25" s="392" t="s">
        <v>765</v>
      </c>
      <c r="C25" s="392"/>
      <c r="D25" s="180" t="s">
        <v>756</v>
      </c>
      <c r="H25" s="244">
        <f>$AV$33 *$H21</f>
        <v>0.84444444444444444</v>
      </c>
      <c r="I25" s="399">
        <f t="shared" si="0"/>
        <v>0.83804444444444448</v>
      </c>
      <c r="J25" s="244"/>
      <c r="K25" s="185">
        <f t="shared" si="1"/>
        <v>6.4000000000000003E-3</v>
      </c>
      <c r="M25" s="391">
        <v>52994.109708152406</v>
      </c>
      <c r="N25" s="391"/>
      <c r="O25" s="391">
        <v>43804.602888086636</v>
      </c>
      <c r="P25" s="391"/>
      <c r="Q25" s="391">
        <v>38128.265788514102</v>
      </c>
      <c r="R25" s="391"/>
      <c r="S25" s="391">
        <v>32777.841586214963</v>
      </c>
      <c r="T25" s="391"/>
      <c r="U25" s="391">
        <v>30303.156539718657</v>
      </c>
      <c r="V25" s="391"/>
      <c r="W25" s="391">
        <v>28712.253213583554</v>
      </c>
      <c r="X25" s="391"/>
      <c r="Y25" s="391"/>
      <c r="Z25" s="391"/>
      <c r="AA25" s="391"/>
      <c r="AB25" s="391">
        <v>27110.576384767661</v>
      </c>
      <c r="AC25" s="391"/>
      <c r="AD25" s="391"/>
      <c r="AE25" s="391"/>
      <c r="AF25" s="391"/>
      <c r="AG25" s="391">
        <v>26145.273456916319</v>
      </c>
      <c r="AH25" s="391"/>
      <c r="AI25" s="391"/>
      <c r="AJ25" s="391"/>
      <c r="AK25" s="391"/>
      <c r="AL25" s="391"/>
      <c r="AM25" s="391"/>
      <c r="AN25" s="391"/>
      <c r="AO25" s="391"/>
      <c r="AP25" s="391"/>
      <c r="AQ25" s="391">
        <v>24316.555921179173</v>
      </c>
      <c r="AR25" s="391"/>
      <c r="AS25" s="391">
        <v>22615.747081100664</v>
      </c>
    </row>
    <row r="26" spans="1:55" x14ac:dyDescent="0.25">
      <c r="A26" t="s">
        <v>526</v>
      </c>
      <c r="B26" s="387" t="s">
        <v>753</v>
      </c>
      <c r="C26" s="387"/>
      <c r="D26" t="s">
        <v>757</v>
      </c>
      <c r="H26" s="244">
        <f>$AV$33 *$H22</f>
        <v>0.85555555555555551</v>
      </c>
      <c r="I26" s="399">
        <f t="shared" si="0"/>
        <v>0.84915555555555555</v>
      </c>
      <c r="J26" s="244"/>
      <c r="K26" s="404">
        <f t="shared" si="1"/>
        <v>6.4000000000000003E-3</v>
      </c>
      <c r="M26" s="390">
        <v>63456.012047483484</v>
      </c>
      <c r="N26" s="390"/>
      <c r="O26" s="390">
        <v>52452.346570397101</v>
      </c>
      <c r="P26" s="390"/>
      <c r="Q26" s="390">
        <v>45655.407866082176</v>
      </c>
      <c r="R26" s="390"/>
      <c r="S26" s="390">
        <v>39248.722585208183</v>
      </c>
      <c r="T26" s="390"/>
      <c r="U26" s="390">
        <v>36285.494313443502</v>
      </c>
      <c r="V26" s="390"/>
      <c r="W26" s="390">
        <v>34380.520700610439</v>
      </c>
      <c r="X26" s="390"/>
      <c r="Y26" s="390"/>
      <c r="Z26" s="390"/>
      <c r="AA26" s="390"/>
      <c r="AB26" s="390">
        <v>32462.646719799301</v>
      </c>
      <c r="AC26" s="390"/>
      <c r="AD26" s="390"/>
      <c r="AE26" s="390"/>
      <c r="AF26" s="390"/>
      <c r="AG26" s="390">
        <v>31306.777236255872</v>
      </c>
      <c r="AH26" s="390"/>
      <c r="AI26" s="390"/>
      <c r="AJ26" s="390"/>
      <c r="AK26" s="390"/>
      <c r="AL26" s="390"/>
      <c r="AM26" s="390"/>
      <c r="AN26" s="390"/>
      <c r="AO26" s="390"/>
      <c r="AP26" s="390"/>
      <c r="AQ26" s="390">
        <v>29117.041006734329</v>
      </c>
      <c r="AR26" s="390"/>
      <c r="AS26" s="390">
        <v>27080.464737393111</v>
      </c>
    </row>
    <row r="27" spans="1:55" x14ac:dyDescent="0.25">
      <c r="A27" t="s">
        <v>526</v>
      </c>
      <c r="B27" s="4" t="s">
        <v>747</v>
      </c>
      <c r="C27" s="4"/>
      <c r="D27" t="s">
        <v>771</v>
      </c>
      <c r="H27" s="244">
        <f>AZ$23/1000* TechWATv4!$T$4</f>
        <v>8.611111111111111E-2</v>
      </c>
      <c r="I27" s="399">
        <f t="shared" si="0"/>
        <v>7.9711111111111108E-2</v>
      </c>
      <c r="J27" s="244"/>
      <c r="K27" s="404">
        <f t="shared" si="1"/>
        <v>6.4000000000000003E-3</v>
      </c>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c r="AO27" s="390"/>
      <c r="AP27" s="390"/>
      <c r="AQ27" s="390"/>
      <c r="AR27" s="390"/>
      <c r="AS27" s="390"/>
    </row>
    <row r="28" spans="1:55" s="394" customFormat="1" x14ac:dyDescent="0.25">
      <c r="A28" t="s">
        <v>526</v>
      </c>
      <c r="B28" s="393" t="s">
        <v>768</v>
      </c>
      <c r="C28" s="393"/>
      <c r="D28" s="180" t="s">
        <v>776</v>
      </c>
      <c r="E28" s="180"/>
      <c r="H28" s="395">
        <f>BA$23/1000* TechWATv4!$T$4</f>
        <v>8.3888888888888888E-2</v>
      </c>
      <c r="I28" s="399">
        <f t="shared" si="0"/>
        <v>7.7488888888888885E-2</v>
      </c>
      <c r="J28" s="395"/>
      <c r="K28" s="400">
        <f t="shared" si="1"/>
        <v>6.4000000000000003E-3</v>
      </c>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6"/>
      <c r="AN28" s="396"/>
      <c r="AO28" s="396"/>
      <c r="AP28" s="396"/>
      <c r="AQ28" s="396"/>
      <c r="AR28" s="396"/>
      <c r="AS28" s="396"/>
    </row>
    <row r="29" spans="1:55" x14ac:dyDescent="0.25">
      <c r="A29" t="s">
        <v>526</v>
      </c>
      <c r="B29" s="4" t="s">
        <v>769</v>
      </c>
      <c r="C29" s="4"/>
      <c r="D29" t="s">
        <v>777</v>
      </c>
      <c r="H29" s="244">
        <f>BB$23/1000* TechWATv4!$T$4</f>
        <v>8.3333333333333329E-2</v>
      </c>
      <c r="I29" s="399">
        <f t="shared" si="0"/>
        <v>7.6933333333333326E-2</v>
      </c>
      <c r="J29" s="244"/>
      <c r="K29" s="404">
        <f t="shared" si="1"/>
        <v>6.4000000000000003E-3</v>
      </c>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90"/>
      <c r="AO29" s="390"/>
      <c r="AP29" s="390"/>
      <c r="AQ29" s="390"/>
      <c r="AR29" s="390"/>
      <c r="AS29" s="390"/>
    </row>
    <row r="30" spans="1:55" x14ac:dyDescent="0.25">
      <c r="A30" t="s">
        <v>526</v>
      </c>
      <c r="B30" s="4" t="s">
        <v>770</v>
      </c>
      <c r="C30" s="4"/>
      <c r="D30" t="s">
        <v>778</v>
      </c>
      <c r="H30" s="244">
        <f>BC$23/1000* TechWATv4!$T$4</f>
        <v>8.1666555555555548E-2</v>
      </c>
      <c r="I30" s="399">
        <f t="shared" si="0"/>
        <v>7.5266555555555545E-2</v>
      </c>
      <c r="J30" s="244"/>
      <c r="K30" s="404">
        <f t="shared" si="1"/>
        <v>6.4000000000000003E-3</v>
      </c>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row>
    <row r="31" spans="1:55" x14ac:dyDescent="0.25">
      <c r="A31" t="s">
        <v>526</v>
      </c>
      <c r="B31" s="4" t="s">
        <v>762</v>
      </c>
      <c r="C31" s="4"/>
      <c r="D31" t="s">
        <v>758</v>
      </c>
      <c r="H31" s="244">
        <f>$AV$34*$H27</f>
        <v>0.59897875816993462</v>
      </c>
      <c r="I31" s="399">
        <f t="shared" si="0"/>
        <v>0.59257875816993466</v>
      </c>
      <c r="J31" s="244"/>
      <c r="K31" s="404">
        <f t="shared" si="1"/>
        <v>6.4000000000000003E-3</v>
      </c>
      <c r="M31" s="390">
        <v>38977.484057608985</v>
      </c>
      <c r="N31" s="390"/>
      <c r="O31" s="390">
        <v>32218.546931407938</v>
      </c>
      <c r="P31" s="390"/>
      <c r="Q31" s="390">
        <v>28043.567107750918</v>
      </c>
      <c r="R31" s="390"/>
      <c r="S31" s="390">
        <v>24108.298165691907</v>
      </c>
      <c r="T31" s="390"/>
      <c r="U31" s="390">
        <v>22288.152540477746</v>
      </c>
      <c r="V31" s="390"/>
      <c r="W31" s="390">
        <v>21118.033646639837</v>
      </c>
      <c r="X31" s="390"/>
      <c r="Y31" s="390"/>
      <c r="Z31" s="390"/>
      <c r="AA31" s="390"/>
      <c r="AB31" s="390">
        <v>19939.990777263934</v>
      </c>
      <c r="AC31" s="390"/>
      <c r="AD31" s="390"/>
      <c r="AE31" s="390"/>
      <c r="AF31" s="390"/>
      <c r="AG31" s="390">
        <v>19230.004711108719</v>
      </c>
      <c r="AH31" s="390"/>
      <c r="AI31" s="390"/>
      <c r="AJ31" s="390"/>
      <c r="AK31" s="390"/>
      <c r="AL31" s="390"/>
      <c r="AM31" s="390"/>
      <c r="AN31" s="390"/>
      <c r="AO31" s="390"/>
      <c r="AP31" s="390"/>
      <c r="AQ31" s="390">
        <v>17884.97204639166</v>
      </c>
      <c r="AR31" s="390"/>
      <c r="AS31" s="390">
        <v>16634.016990928161</v>
      </c>
    </row>
    <row r="32" spans="1:55" s="180" customFormat="1" x14ac:dyDescent="0.25">
      <c r="A32" t="s">
        <v>526</v>
      </c>
      <c r="B32" s="393" t="s">
        <v>766</v>
      </c>
      <c r="C32" s="393"/>
      <c r="D32" s="180" t="s">
        <v>759</v>
      </c>
      <c r="H32" s="238">
        <f t="shared" ref="H32:H33" si="3">$AV$34*$H28</f>
        <v>0.58352124183006537</v>
      </c>
      <c r="I32" s="399">
        <f t="shared" si="0"/>
        <v>0.57712124183006541</v>
      </c>
      <c r="J32" s="238"/>
      <c r="K32" s="185">
        <f t="shared" si="1"/>
        <v>6.4000000000000003E-3</v>
      </c>
      <c r="M32" s="391">
        <v>46538.143005793027</v>
      </c>
      <c r="N32" s="391"/>
      <c r="O32" s="391">
        <v>38468.140794223822</v>
      </c>
      <c r="P32" s="391"/>
      <c r="Q32" s="391">
        <v>33483.319100948785</v>
      </c>
      <c r="R32" s="391"/>
      <c r="S32" s="391">
        <v>28784.706216620089</v>
      </c>
      <c r="T32" s="391"/>
      <c r="U32" s="391">
        <v>26611.497774731204</v>
      </c>
      <c r="V32" s="391"/>
      <c r="W32" s="391">
        <v>25214.405024087682</v>
      </c>
      <c r="X32" s="391"/>
      <c r="Y32" s="391"/>
      <c r="Z32" s="391"/>
      <c r="AA32" s="391"/>
      <c r="AB32" s="391">
        <v>23807.851244450692</v>
      </c>
      <c r="AC32" s="391"/>
      <c r="AD32" s="391"/>
      <c r="AE32" s="391"/>
      <c r="AF32" s="391"/>
      <c r="AG32" s="391">
        <v>22960.145604188834</v>
      </c>
      <c r="AH32" s="391"/>
      <c r="AI32" s="391"/>
      <c r="AJ32" s="391"/>
      <c r="AK32" s="391"/>
      <c r="AL32" s="391"/>
      <c r="AM32" s="391"/>
      <c r="AN32" s="391"/>
      <c r="AO32" s="391"/>
      <c r="AP32" s="391"/>
      <c r="AQ32" s="391">
        <v>21354.210177326771</v>
      </c>
      <c r="AR32" s="391"/>
      <c r="AS32" s="391">
        <v>19860.601067540858</v>
      </c>
    </row>
    <row r="33" spans="1:54" x14ac:dyDescent="0.25">
      <c r="A33" t="s">
        <v>526</v>
      </c>
      <c r="B33" s="4" t="s">
        <v>763</v>
      </c>
      <c r="C33" s="4"/>
      <c r="D33" t="s">
        <v>760</v>
      </c>
      <c r="H33" s="244">
        <f t="shared" si="3"/>
        <v>0.57965686274509798</v>
      </c>
      <c r="I33" s="399">
        <f t="shared" si="0"/>
        <v>0.57325686274509802</v>
      </c>
      <c r="J33" s="244"/>
      <c r="K33" s="404">
        <f t="shared" si="1"/>
        <v>6.4000000000000003E-3</v>
      </c>
      <c r="M33" s="390">
        <v>53527.266341348535</v>
      </c>
      <c r="N33" s="390"/>
      <c r="O33" s="390">
        <v>44245.306859205768</v>
      </c>
      <c r="P33" s="390"/>
      <c r="Q33" s="390">
        <v>38511.861964190284</v>
      </c>
      <c r="R33" s="390"/>
      <c r="S33" s="390">
        <v>33107.608870914795</v>
      </c>
      <c r="T33" s="390"/>
      <c r="U33" s="390">
        <v>30608.026816904316</v>
      </c>
      <c r="V33" s="390"/>
      <c r="W33" s="390">
        <v>29001.117925890892</v>
      </c>
      <c r="X33" s="390"/>
      <c r="Y33" s="390"/>
      <c r="Z33" s="390"/>
      <c r="AA33" s="390"/>
      <c r="AB33" s="390">
        <v>27383.327143463503</v>
      </c>
      <c r="AC33" s="390"/>
      <c r="AD33" s="390"/>
      <c r="AE33" s="390"/>
      <c r="AF33" s="390"/>
      <c r="AG33" s="390">
        <v>26408.31261441984</v>
      </c>
      <c r="AH33" s="390"/>
      <c r="AI33" s="390"/>
      <c r="AJ33" s="390"/>
      <c r="AK33" s="390"/>
      <c r="AL33" s="390"/>
      <c r="AM33" s="390"/>
      <c r="AN33" s="390"/>
      <c r="AO33" s="390"/>
      <c r="AP33" s="390"/>
      <c r="AQ33" s="390">
        <v>24561.196941799375</v>
      </c>
      <c r="AR33" s="390"/>
      <c r="AS33" s="390">
        <v>22843.276812940276</v>
      </c>
      <c r="AU33" t="s">
        <v>1745</v>
      </c>
      <c r="AV33">
        <f>3030/303</f>
        <v>10</v>
      </c>
      <c r="BB33" t="s">
        <v>1743</v>
      </c>
    </row>
    <row r="34" spans="1:54" x14ac:dyDescent="0.25">
      <c r="A34" t="s">
        <v>526</v>
      </c>
      <c r="B34" s="4" t="s">
        <v>764</v>
      </c>
      <c r="C34" s="4"/>
      <c r="D34" t="s">
        <v>761</v>
      </c>
      <c r="H34" s="244">
        <f>$AV$34*$H30</f>
        <v>0.568062952614379</v>
      </c>
      <c r="I34" s="399">
        <f t="shared" si="0"/>
        <v>0.56166295261437904</v>
      </c>
      <c r="J34" s="244"/>
      <c r="K34" s="404">
        <f t="shared" si="1"/>
        <v>6.4000000000000003E-3</v>
      </c>
      <c r="M34" s="390">
        <v>57664.639585124256</v>
      </c>
      <c r="N34" s="390"/>
      <c r="O34" s="390">
        <v>47665.233959434227</v>
      </c>
      <c r="P34" s="390"/>
      <c r="Q34" s="390">
        <v>41488.624241615609</v>
      </c>
      <c r="R34" s="390"/>
      <c r="S34" s="390">
        <v>35666.651102483076</v>
      </c>
      <c r="T34" s="390"/>
      <c r="U34" s="390">
        <v>32973.864638500781</v>
      </c>
      <c r="V34" s="390"/>
      <c r="W34" s="390">
        <v>31242.750229341389</v>
      </c>
      <c r="X34" s="390"/>
      <c r="Y34" s="390"/>
      <c r="Z34" s="390"/>
      <c r="AA34" s="390"/>
      <c r="AB34" s="390">
        <v>29499.912816388212</v>
      </c>
      <c r="AC34" s="390"/>
      <c r="AD34" s="390"/>
      <c r="AE34" s="390"/>
      <c r="AF34" s="390"/>
      <c r="AG34" s="390">
        <v>28449.534845486101</v>
      </c>
      <c r="AH34" s="390"/>
      <c r="AI34" s="390"/>
      <c r="AJ34" s="390"/>
      <c r="AK34" s="390"/>
      <c r="AL34" s="390"/>
      <c r="AM34" s="390"/>
      <c r="AN34" s="390"/>
      <c r="AO34" s="390"/>
      <c r="AP34" s="390"/>
      <c r="AQ34" s="390">
        <v>26459.646946962606</v>
      </c>
      <c r="AR34" s="390"/>
      <c r="AS34" s="390">
        <v>24608.94072118686</v>
      </c>
      <c r="AU34" t="s">
        <v>1746</v>
      </c>
      <c r="AV34" s="3">
        <f>AVERAGE(2840,1890)/340</f>
        <v>6.9558823529411766</v>
      </c>
    </row>
    <row r="35" spans="1:54" x14ac:dyDescent="0.25">
      <c r="H35" s="382"/>
      <c r="I35" s="399"/>
      <c r="J35" s="382"/>
    </row>
    <row r="36" spans="1:54" x14ac:dyDescent="0.25">
      <c r="A36" t="s">
        <v>527</v>
      </c>
      <c r="B36" t="s">
        <v>779</v>
      </c>
      <c r="D36" t="s">
        <v>785</v>
      </c>
      <c r="H36" s="244">
        <f>TechWATv4!$T$4*AV60</f>
        <v>5.3333333333333332E-3</v>
      </c>
      <c r="I36" s="399">
        <f>H36</f>
        <v>5.3333333333333332E-3</v>
      </c>
      <c r="J36" s="244"/>
      <c r="K36" s="244">
        <f>TechWATv4!$T$4*AW60</f>
        <v>1.9978562172222221E-3</v>
      </c>
      <c r="AU36" t="s">
        <v>1747</v>
      </c>
      <c r="AV36" t="s">
        <v>1748</v>
      </c>
      <c r="AW36" t="s">
        <v>1673</v>
      </c>
    </row>
    <row r="37" spans="1:54" x14ac:dyDescent="0.25">
      <c r="A37" t="s">
        <v>527</v>
      </c>
      <c r="B37" t="s">
        <v>1669</v>
      </c>
      <c r="D37" t="s">
        <v>786</v>
      </c>
      <c r="H37" s="244">
        <f>TechWATv4!$T$4*AV61</f>
        <v>5.5000000000000005E-3</v>
      </c>
      <c r="I37" s="399">
        <f>H37</f>
        <v>5.5000000000000005E-3</v>
      </c>
      <c r="J37" s="244"/>
      <c r="K37" s="244">
        <f>TechWATv4!$T$4*AW61</f>
        <v>0</v>
      </c>
    </row>
    <row r="38" spans="1:54" x14ac:dyDescent="0.25">
      <c r="H38" s="244"/>
      <c r="I38" s="399"/>
      <c r="J38" s="244"/>
      <c r="K38" s="244"/>
    </row>
    <row r="39" spans="1:54" x14ac:dyDescent="0.25">
      <c r="A39" t="s">
        <v>902</v>
      </c>
      <c r="B39" t="s">
        <v>903</v>
      </c>
      <c r="C39" t="s">
        <v>315</v>
      </c>
      <c r="D39" t="s">
        <v>908</v>
      </c>
      <c r="E39" s="455" t="s">
        <v>847</v>
      </c>
      <c r="H39" s="244"/>
      <c r="I39" s="244"/>
      <c r="J39" s="244"/>
      <c r="K39" s="244"/>
      <c r="M39">
        <f>SUM(N2:R2)</f>
        <v>39.802939658054576</v>
      </c>
    </row>
    <row r="40" spans="1:54" x14ac:dyDescent="0.25">
      <c r="H40" s="244"/>
      <c r="I40" s="244"/>
      <c r="J40" s="244"/>
      <c r="K40" s="244"/>
    </row>
    <row r="41" spans="1:54" x14ac:dyDescent="0.25">
      <c r="H41" s="244"/>
      <c r="I41" s="244"/>
      <c r="J41" s="244"/>
      <c r="K41" s="244"/>
    </row>
    <row r="42" spans="1:54" x14ac:dyDescent="0.25">
      <c r="H42" s="244"/>
      <c r="I42" s="244"/>
      <c r="J42" s="244"/>
      <c r="K42" s="244"/>
    </row>
    <row r="43" spans="1:54" x14ac:dyDescent="0.25">
      <c r="A43" s="5" t="s">
        <v>800</v>
      </c>
      <c r="H43" s="382"/>
      <c r="I43" s="605"/>
      <c r="J43" s="382"/>
    </row>
    <row r="44" spans="1:54" x14ac:dyDescent="0.25">
      <c r="A44" t="s">
        <v>477</v>
      </c>
      <c r="B44" t="s">
        <v>798</v>
      </c>
      <c r="D44" t="s">
        <v>799</v>
      </c>
      <c r="H44" s="244">
        <f>refineries!$C$34*refineries!$B$23</f>
        <v>3.4712285344731593E-2</v>
      </c>
      <c r="I44" s="244"/>
      <c r="J44" s="244"/>
      <c r="K44" s="244">
        <f>refineries!$C$34*refineries!$B$20</f>
        <v>0.10848610119797585</v>
      </c>
    </row>
    <row r="45" spans="1:54" x14ac:dyDescent="0.25">
      <c r="B45" t="s">
        <v>814</v>
      </c>
      <c r="D45" t="s">
        <v>815</v>
      </c>
      <c r="H45" s="244">
        <f>refineries!$C$34*refineries!$B$22</f>
        <v>0.16062939885013053</v>
      </c>
      <c r="I45" s="244"/>
      <c r="J45" s="244"/>
      <c r="K45" s="244">
        <f>refineries!$C$34*refineries!$B$21</f>
        <v>3.2404939318875906E-2</v>
      </c>
    </row>
    <row r="46" spans="1:54" x14ac:dyDescent="0.25">
      <c r="H46" s="244"/>
      <c r="I46" s="244"/>
      <c r="J46" s="244"/>
      <c r="K46" s="244"/>
    </row>
    <row r="47" spans="1:54" x14ac:dyDescent="0.25">
      <c r="H47" s="244"/>
      <c r="I47" s="244"/>
      <c r="J47" s="382"/>
      <c r="K47" s="244"/>
    </row>
    <row r="48" spans="1:54" x14ac:dyDescent="0.25">
      <c r="B48" t="s">
        <v>1668</v>
      </c>
    </row>
    <row r="49" spans="2:49" x14ac:dyDescent="0.25">
      <c r="B49" t="s">
        <v>747</v>
      </c>
      <c r="I49" s="399">
        <f t="shared" ref="I49:I62" si="4">INDEX($I$19:$I$37,MATCH($B49,$B$19:$B$37,0))</f>
        <v>7.9711111111111108E-2</v>
      </c>
    </row>
    <row r="50" spans="2:49" x14ac:dyDescent="0.25">
      <c r="B50" t="s">
        <v>762</v>
      </c>
      <c r="I50" s="399">
        <f t="shared" si="4"/>
        <v>0.59257875816993466</v>
      </c>
    </row>
    <row r="51" spans="2:49" x14ac:dyDescent="0.25">
      <c r="B51" t="s">
        <v>769</v>
      </c>
      <c r="I51" s="399">
        <f t="shared" si="4"/>
        <v>7.6933333333333326E-2</v>
      </c>
    </row>
    <row r="52" spans="2:49" x14ac:dyDescent="0.25">
      <c r="B52" t="s">
        <v>763</v>
      </c>
      <c r="I52" s="399">
        <f t="shared" si="4"/>
        <v>0.57325686274509802</v>
      </c>
    </row>
    <row r="53" spans="2:49" x14ac:dyDescent="0.25">
      <c r="B53" t="s">
        <v>770</v>
      </c>
      <c r="I53" s="399">
        <f t="shared" si="4"/>
        <v>7.5266555555555545E-2</v>
      </c>
    </row>
    <row r="54" spans="2:49" x14ac:dyDescent="0.25">
      <c r="B54" t="s">
        <v>764</v>
      </c>
      <c r="I54" s="399">
        <f t="shared" si="4"/>
        <v>0.56166295261437904</v>
      </c>
    </row>
    <row r="55" spans="2:49" x14ac:dyDescent="0.25">
      <c r="B55" t="s">
        <v>748</v>
      </c>
      <c r="I55" s="399">
        <f t="shared" si="4"/>
        <v>7.5452777777777785E-2</v>
      </c>
    </row>
    <row r="56" spans="2:49" x14ac:dyDescent="0.25">
      <c r="B56" t="s">
        <v>751</v>
      </c>
      <c r="I56" s="399">
        <f t="shared" si="4"/>
        <v>0.81212777777777789</v>
      </c>
    </row>
    <row r="57" spans="2:49" x14ac:dyDescent="0.25">
      <c r="B57" t="s">
        <v>749</v>
      </c>
      <c r="I57" s="399">
        <f t="shared" si="4"/>
        <v>7.6655555555555546E-2</v>
      </c>
      <c r="AU57" t="s">
        <v>780</v>
      </c>
      <c r="AV57" t="s">
        <v>781</v>
      </c>
      <c r="AW57" t="s">
        <v>735</v>
      </c>
    </row>
    <row r="58" spans="2:49" x14ac:dyDescent="0.25">
      <c r="B58" t="s">
        <v>752</v>
      </c>
      <c r="I58" s="399">
        <f t="shared" si="4"/>
        <v>0.82415555555555553</v>
      </c>
      <c r="AV58" t="s">
        <v>395</v>
      </c>
      <c r="AW58" t="s">
        <v>395</v>
      </c>
    </row>
    <row r="59" spans="2:49" x14ac:dyDescent="0.25">
      <c r="B59" t="s">
        <v>750</v>
      </c>
      <c r="I59" s="399">
        <f t="shared" si="4"/>
        <v>7.9155555555555548E-2</v>
      </c>
      <c r="AU59" t="s">
        <v>784</v>
      </c>
      <c r="AV59" s="81">
        <v>1.0712715337400001</v>
      </c>
      <c r="AW59" s="81">
        <v>7.1922823819999997E-3</v>
      </c>
    </row>
    <row r="60" spans="2:49" x14ac:dyDescent="0.25">
      <c r="B60" t="s">
        <v>753</v>
      </c>
      <c r="I60" s="399">
        <f t="shared" si="4"/>
        <v>0.84915555555555555</v>
      </c>
      <c r="AU60" t="s">
        <v>783</v>
      </c>
      <c r="AV60">
        <f>19.2/1000</f>
        <v>1.9199999999999998E-2</v>
      </c>
      <c r="AW60" s="81">
        <f>AW59</f>
        <v>7.1922823819999997E-3</v>
      </c>
    </row>
    <row r="61" spans="2:49" x14ac:dyDescent="0.25">
      <c r="B61" t="s">
        <v>779</v>
      </c>
      <c r="I61" s="399">
        <f t="shared" si="4"/>
        <v>5.3333333333333332E-3</v>
      </c>
      <c r="AU61" t="s">
        <v>782</v>
      </c>
      <c r="AV61">
        <f>19.8/1000</f>
        <v>1.9800000000000002E-2</v>
      </c>
      <c r="AW61">
        <v>0</v>
      </c>
    </row>
    <row r="62" spans="2:49" x14ac:dyDescent="0.25">
      <c r="B62" t="s">
        <v>1669</v>
      </c>
      <c r="I62" s="399">
        <f t="shared" si="4"/>
        <v>5.5000000000000005E-3</v>
      </c>
    </row>
    <row r="63" spans="2:49" x14ac:dyDescent="0.25">
      <c r="I63" s="399"/>
    </row>
    <row r="64" spans="2:49" x14ac:dyDescent="0.25">
      <c r="I64" s="399"/>
    </row>
    <row r="65" spans="9:54" x14ac:dyDescent="0.25">
      <c r="I65" s="399"/>
    </row>
    <row r="67" spans="9:54" x14ac:dyDescent="0.25">
      <c r="AU67" t="s">
        <v>1749</v>
      </c>
    </row>
    <row r="68" spans="9:54" x14ac:dyDescent="0.25">
      <c r="AU68" t="s">
        <v>1751</v>
      </c>
      <c r="AV68">
        <v>50</v>
      </c>
      <c r="AW68" t="s">
        <v>1750</v>
      </c>
    </row>
    <row r="69" spans="9:54" x14ac:dyDescent="0.25">
      <c r="K69" s="686"/>
      <c r="AU69" t="s">
        <v>1776</v>
      </c>
      <c r="AV69" s="3">
        <f>AV70/(AV68*8760)</f>
        <v>0.46472146118721464</v>
      </c>
    </row>
    <row r="70" spans="9:54" x14ac:dyDescent="0.25">
      <c r="AV70" s="80">
        <v>203548</v>
      </c>
      <c r="AW70" t="s">
        <v>1752</v>
      </c>
    </row>
    <row r="71" spans="9:54" x14ac:dyDescent="0.25">
      <c r="AV71">
        <f>AV68*8760</f>
        <v>438000</v>
      </c>
      <c r="AY71" t="s">
        <v>1759</v>
      </c>
      <c r="AZ71" t="s">
        <v>1775</v>
      </c>
    </row>
    <row r="72" spans="9:54" x14ac:dyDescent="0.25">
      <c r="AU72" t="s">
        <v>1753</v>
      </c>
      <c r="AV72">
        <f>2*AY72</f>
        <v>230</v>
      </c>
      <c r="AW72" t="s">
        <v>1755</v>
      </c>
      <c r="AY72">
        <v>115</v>
      </c>
      <c r="AZ72">
        <f>13.6*8760/AV73 * 1000</f>
        <v>212.74285714285716</v>
      </c>
      <c r="BB72">
        <f>AZ72/AY72</f>
        <v>1.8499378881987578</v>
      </c>
    </row>
    <row r="73" spans="9:54" x14ac:dyDescent="0.25">
      <c r="AT73" t="s">
        <v>1758</v>
      </c>
      <c r="AU73" t="s">
        <v>1754</v>
      </c>
      <c r="AV73">
        <v>560000</v>
      </c>
    </row>
    <row r="74" spans="9:54" x14ac:dyDescent="0.25">
      <c r="AT74" t="s">
        <v>1757</v>
      </c>
      <c r="AU74" t="s">
        <v>1754</v>
      </c>
      <c r="AV74">
        <v>576800</v>
      </c>
    </row>
    <row r="76" spans="9:54" x14ac:dyDescent="0.25">
      <c r="AU76" t="s">
        <v>1753</v>
      </c>
      <c r="AV76">
        <f>$AV$72*AV73*0.000000001</f>
        <v>0.1288</v>
      </c>
      <c r="AW76" t="s">
        <v>160</v>
      </c>
    </row>
    <row r="77" spans="9:54" x14ac:dyDescent="0.25">
      <c r="AU77" t="s">
        <v>1753</v>
      </c>
      <c r="AV77">
        <f>$AV$72*AV73 / AV70 /1000</f>
        <v>0.63277457896908829</v>
      </c>
      <c r="AW77" t="s">
        <v>395</v>
      </c>
    </row>
    <row r="78" spans="9:54" x14ac:dyDescent="0.25">
      <c r="AU78" t="s">
        <v>1756</v>
      </c>
      <c r="AV78">
        <v>2.3E-2</v>
      </c>
      <c r="AW78" t="s">
        <v>395</v>
      </c>
    </row>
    <row r="79" spans="9:54" x14ac:dyDescent="0.25">
      <c r="AU79" t="s">
        <v>115</v>
      </c>
      <c r="AV79" s="3">
        <f>AV78+AV77</f>
        <v>0.65577457896908831</v>
      </c>
    </row>
  </sheetData>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58"/>
  <sheetViews>
    <sheetView topLeftCell="A43" zoomScale="85" zoomScaleNormal="85" workbookViewId="0">
      <selection activeCell="B2" sqref="B2"/>
    </sheetView>
  </sheetViews>
  <sheetFormatPr defaultRowHeight="15" x14ac:dyDescent="0.25"/>
  <cols>
    <col min="1" max="1" width="28.5703125" bestFit="1" customWidth="1"/>
    <col min="2" max="2" width="28.5703125" customWidth="1"/>
    <col min="3" max="3" width="21" bestFit="1" customWidth="1"/>
    <col min="4" max="4" width="16.28515625" customWidth="1"/>
    <col min="5" max="5" width="12.42578125" bestFit="1" customWidth="1"/>
    <col min="6" max="6" width="14" customWidth="1"/>
    <col min="7" max="9" width="12.42578125" bestFit="1" customWidth="1"/>
    <col min="10" max="11" width="12.42578125" customWidth="1"/>
    <col min="12" max="23" width="12.42578125" bestFit="1" customWidth="1"/>
  </cols>
  <sheetData>
    <row r="1" spans="1:17" ht="15.75" thickBot="1" x14ac:dyDescent="0.3">
      <c r="A1" s="5" t="s">
        <v>52</v>
      </c>
      <c r="B1" t="s">
        <v>1667</v>
      </c>
    </row>
    <row r="2" spans="1:17" x14ac:dyDescent="0.25">
      <c r="A2" t="s">
        <v>12</v>
      </c>
      <c r="C2" t="s">
        <v>18</v>
      </c>
      <c r="F2" t="s">
        <v>17</v>
      </c>
      <c r="I2" t="s">
        <v>232</v>
      </c>
      <c r="L2" s="55"/>
      <c r="M2" s="56"/>
      <c r="N2" s="56"/>
      <c r="O2" s="56"/>
      <c r="P2" s="56"/>
      <c r="Q2" s="57"/>
    </row>
    <row r="3" spans="1:17" x14ac:dyDescent="0.25">
      <c r="C3" t="s">
        <v>19</v>
      </c>
      <c r="D3" t="s">
        <v>15</v>
      </c>
      <c r="E3" t="s">
        <v>14</v>
      </c>
      <c r="F3" t="s">
        <v>16</v>
      </c>
      <c r="G3" t="s">
        <v>15</v>
      </c>
      <c r="H3" t="s">
        <v>14</v>
      </c>
      <c r="I3" t="s">
        <v>15</v>
      </c>
      <c r="J3" t="s">
        <v>14</v>
      </c>
      <c r="L3" s="58" t="s">
        <v>157</v>
      </c>
      <c r="M3" s="59"/>
      <c r="N3" s="59"/>
      <c r="O3" s="59"/>
      <c r="P3" s="59" t="s">
        <v>168</v>
      </c>
      <c r="Q3" s="60"/>
    </row>
    <row r="4" spans="1:17" x14ac:dyDescent="0.25">
      <c r="B4" t="s">
        <v>11</v>
      </c>
      <c r="C4" t="s">
        <v>10</v>
      </c>
      <c r="D4" t="s">
        <v>13</v>
      </c>
      <c r="E4" t="s">
        <v>13</v>
      </c>
      <c r="F4" t="s">
        <v>10</v>
      </c>
      <c r="G4" t="s">
        <v>13</v>
      </c>
      <c r="H4" t="s">
        <v>13</v>
      </c>
      <c r="I4" t="s">
        <v>26</v>
      </c>
      <c r="L4" s="58" t="s">
        <v>158</v>
      </c>
      <c r="M4" s="59">
        <v>100</v>
      </c>
      <c r="N4" s="59"/>
      <c r="O4" s="59"/>
      <c r="P4" s="59" t="s">
        <v>169</v>
      </c>
      <c r="Q4" s="60"/>
    </row>
    <row r="5" spans="1:17" x14ac:dyDescent="0.25">
      <c r="A5" t="s">
        <v>0</v>
      </c>
      <c r="B5">
        <v>6</v>
      </c>
      <c r="C5" s="1">
        <v>151600000</v>
      </c>
      <c r="D5" s="1">
        <v>27747300</v>
      </c>
      <c r="E5">
        <v>12.7</v>
      </c>
      <c r="F5" s="1">
        <v>7894129</v>
      </c>
      <c r="G5" s="1">
        <v>294400</v>
      </c>
      <c r="H5">
        <v>0.13</v>
      </c>
      <c r="I5" s="1">
        <v>438000</v>
      </c>
      <c r="J5">
        <v>0.2</v>
      </c>
      <c r="L5" s="58" t="s">
        <v>159</v>
      </c>
      <c r="M5">
        <v>21593</v>
      </c>
      <c r="N5" s="59" t="s">
        <v>162</v>
      </c>
      <c r="O5" s="59"/>
      <c r="P5" s="59"/>
      <c r="Q5" s="60"/>
    </row>
    <row r="6" spans="1:17" x14ac:dyDescent="0.25">
      <c r="A6" t="s">
        <v>1</v>
      </c>
      <c r="B6">
        <v>14</v>
      </c>
      <c r="C6" s="1">
        <v>287500000</v>
      </c>
      <c r="D6" s="1">
        <v>47829600</v>
      </c>
      <c r="E6">
        <v>9.4</v>
      </c>
      <c r="F6" s="1">
        <v>27762106</v>
      </c>
      <c r="G6" s="1">
        <v>686935</v>
      </c>
      <c r="H6">
        <v>0.13</v>
      </c>
      <c r="I6" s="1">
        <v>1022000</v>
      </c>
      <c r="J6">
        <v>0.2</v>
      </c>
      <c r="L6" s="58" t="s">
        <v>161</v>
      </c>
      <c r="M6" s="59">
        <f>B16*0.365</f>
        <v>53.472499999999997</v>
      </c>
      <c r="N6" s="59" t="s">
        <v>160</v>
      </c>
      <c r="O6" s="59"/>
      <c r="P6" s="59"/>
      <c r="Q6" s="60"/>
    </row>
    <row r="7" spans="1:17" x14ac:dyDescent="0.25">
      <c r="A7" t="s">
        <v>2</v>
      </c>
      <c r="B7">
        <v>12</v>
      </c>
      <c r="C7" s="1">
        <v>257700000</v>
      </c>
      <c r="D7" s="1">
        <v>43143000</v>
      </c>
      <c r="E7">
        <v>9.9</v>
      </c>
      <c r="F7" s="1">
        <v>33864241</v>
      </c>
      <c r="G7" s="1">
        <v>588801</v>
      </c>
      <c r="H7">
        <v>0.13</v>
      </c>
      <c r="I7" s="1">
        <v>876000</v>
      </c>
      <c r="J7">
        <v>0.2</v>
      </c>
      <c r="L7" s="58" t="s">
        <v>167</v>
      </c>
      <c r="M7" s="59">
        <f>M6*M4</f>
        <v>5347.25</v>
      </c>
      <c r="N7" s="59"/>
      <c r="O7" s="59"/>
      <c r="P7" s="59"/>
      <c r="Q7" s="60"/>
    </row>
    <row r="8" spans="1:17" x14ac:dyDescent="0.25">
      <c r="A8" t="s">
        <v>3</v>
      </c>
      <c r="B8">
        <v>15</v>
      </c>
      <c r="C8" s="1">
        <v>302000000</v>
      </c>
      <c r="D8" s="1">
        <v>50151000</v>
      </c>
      <c r="E8">
        <v>9.1999999999999993</v>
      </c>
      <c r="F8" s="1">
        <v>49609332</v>
      </c>
      <c r="G8" s="1">
        <v>736002</v>
      </c>
      <c r="H8">
        <v>0.13</v>
      </c>
      <c r="I8" s="1">
        <v>1095000</v>
      </c>
      <c r="J8">
        <v>0.2</v>
      </c>
      <c r="L8" s="58"/>
      <c r="M8" s="59"/>
      <c r="N8" s="59"/>
      <c r="O8" s="59"/>
      <c r="P8" s="59"/>
      <c r="Q8" s="60"/>
    </row>
    <row r="9" spans="1:17" x14ac:dyDescent="0.25">
      <c r="A9" t="s">
        <v>4</v>
      </c>
      <c r="B9">
        <v>25</v>
      </c>
      <c r="D9" s="1">
        <v>73547500</v>
      </c>
      <c r="E9">
        <v>8.1</v>
      </c>
      <c r="F9" s="1">
        <v>1226670</v>
      </c>
      <c r="H9">
        <v>0.13</v>
      </c>
      <c r="I9" s="1">
        <v>1825000</v>
      </c>
      <c r="J9">
        <v>0.2</v>
      </c>
      <c r="L9" s="58" t="s">
        <v>166</v>
      </c>
      <c r="M9" s="64">
        <v>3721156.3034000001</v>
      </c>
      <c r="N9" s="59" t="s">
        <v>165</v>
      </c>
      <c r="O9" s="59"/>
      <c r="P9" s="59"/>
      <c r="Q9" s="60"/>
    </row>
    <row r="10" spans="1:17" x14ac:dyDescent="0.25">
      <c r="A10" t="s">
        <v>5</v>
      </c>
      <c r="B10">
        <v>25</v>
      </c>
      <c r="C10" s="1">
        <v>422300000</v>
      </c>
      <c r="D10" s="1">
        <v>73547500</v>
      </c>
      <c r="E10">
        <v>8.1</v>
      </c>
      <c r="F10" s="1">
        <v>38914287</v>
      </c>
      <c r="G10" s="1">
        <v>1226670</v>
      </c>
      <c r="H10">
        <v>0.13</v>
      </c>
      <c r="I10" s="1">
        <v>1825000</v>
      </c>
      <c r="J10">
        <v>0.2</v>
      </c>
      <c r="L10" s="58"/>
      <c r="M10" s="59"/>
      <c r="N10" s="59"/>
      <c r="O10" s="59"/>
      <c r="P10" s="59"/>
      <c r="Q10" s="60"/>
    </row>
    <row r="11" spans="1:17" x14ac:dyDescent="0.25">
      <c r="A11" t="s">
        <v>6</v>
      </c>
      <c r="B11">
        <v>15</v>
      </c>
      <c r="C11" s="1">
        <v>302000000</v>
      </c>
      <c r="D11" s="1">
        <v>50370000</v>
      </c>
      <c r="E11">
        <v>9.1999999999999993</v>
      </c>
      <c r="F11" s="1">
        <v>28922814</v>
      </c>
      <c r="G11" s="1">
        <v>736002</v>
      </c>
      <c r="H11">
        <v>0.13</v>
      </c>
      <c r="I11" s="1">
        <v>1095000</v>
      </c>
      <c r="J11">
        <v>0.2</v>
      </c>
      <c r="L11" s="58"/>
      <c r="M11" s="59"/>
      <c r="N11" s="59"/>
      <c r="O11" s="59"/>
      <c r="P11" s="59"/>
      <c r="Q11" s="60"/>
    </row>
    <row r="12" spans="1:17" x14ac:dyDescent="0.25">
      <c r="A12" t="s">
        <v>7</v>
      </c>
      <c r="B12">
        <v>16</v>
      </c>
      <c r="C12" s="1">
        <v>316200000</v>
      </c>
      <c r="D12" s="1">
        <v>52384800</v>
      </c>
      <c r="E12">
        <v>9</v>
      </c>
      <c r="F12" s="1">
        <v>32276268</v>
      </c>
      <c r="G12" s="1">
        <v>785069</v>
      </c>
      <c r="H12">
        <v>0.13</v>
      </c>
      <c r="I12" s="1">
        <v>1168000</v>
      </c>
      <c r="J12">
        <v>0.2</v>
      </c>
      <c r="L12" s="58"/>
      <c r="M12" s="59"/>
      <c r="N12" s="59"/>
      <c r="O12" s="59"/>
      <c r="P12" s="59"/>
      <c r="Q12" s="60"/>
    </row>
    <row r="13" spans="1:17" x14ac:dyDescent="0.25">
      <c r="A13" t="s">
        <v>8</v>
      </c>
      <c r="B13">
        <v>15</v>
      </c>
      <c r="D13" s="1">
        <v>38325000</v>
      </c>
      <c r="E13">
        <v>7</v>
      </c>
      <c r="F13" s="1">
        <v>28524402</v>
      </c>
      <c r="G13" s="1">
        <v>736002</v>
      </c>
      <c r="H13">
        <v>0.13</v>
      </c>
      <c r="I13" s="1">
        <v>1095000</v>
      </c>
      <c r="J13">
        <v>0.2</v>
      </c>
      <c r="L13" s="58"/>
      <c r="M13" s="59"/>
      <c r="N13" s="59"/>
      <c r="O13" s="59"/>
      <c r="P13" s="59"/>
      <c r="Q13" s="60"/>
    </row>
    <row r="14" spans="1:17" x14ac:dyDescent="0.25">
      <c r="A14" t="s">
        <v>9</v>
      </c>
      <c r="B14">
        <v>3.5</v>
      </c>
      <c r="C14" s="1">
        <v>103200000</v>
      </c>
      <c r="D14" s="1">
        <v>20503875</v>
      </c>
      <c r="E14">
        <v>16.100000000000001</v>
      </c>
      <c r="F14" s="1">
        <v>3319833</v>
      </c>
      <c r="G14" s="1">
        <v>171733</v>
      </c>
      <c r="H14">
        <v>0.13</v>
      </c>
      <c r="I14" s="1">
        <v>255500</v>
      </c>
      <c r="J14">
        <v>0.2</v>
      </c>
      <c r="L14" s="58"/>
      <c r="M14" s="59"/>
      <c r="N14" s="59"/>
      <c r="O14" s="59"/>
      <c r="P14" s="59"/>
      <c r="Q14" s="60"/>
    </row>
    <row r="15" spans="1:17" x14ac:dyDescent="0.25">
      <c r="L15" s="58"/>
      <c r="M15" s="59"/>
      <c r="N15" s="59"/>
      <c r="O15" s="59"/>
      <c r="P15" s="59"/>
      <c r="Q15" s="60"/>
    </row>
    <row r="16" spans="1:17" x14ac:dyDescent="0.25">
      <c r="A16" s="10" t="s">
        <v>115</v>
      </c>
      <c r="B16" s="49">
        <f t="shared" ref="B16:G16" si="0">SUM(B5:B15)</f>
        <v>146.5</v>
      </c>
      <c r="C16" s="50">
        <f t="shared" si="0"/>
        <v>2142500000</v>
      </c>
      <c r="D16" s="50">
        <f t="shared" si="0"/>
        <v>477549575</v>
      </c>
      <c r="E16" s="49">
        <f t="shared" si="0"/>
        <v>98.700000000000017</v>
      </c>
      <c r="F16" s="50">
        <f t="shared" si="0"/>
        <v>252314082</v>
      </c>
      <c r="G16" s="50">
        <f t="shared" si="0"/>
        <v>5961614</v>
      </c>
      <c r="H16" s="51">
        <f>H14</f>
        <v>0.13</v>
      </c>
      <c r="I16" s="50">
        <f>SUM(I5:I15)</f>
        <v>10694500</v>
      </c>
      <c r="J16" s="49">
        <f>J14</f>
        <v>0.2</v>
      </c>
      <c r="L16" s="58"/>
      <c r="M16" s="59"/>
      <c r="N16" s="59"/>
      <c r="O16" s="59"/>
      <c r="P16" s="59"/>
      <c r="Q16" s="60"/>
    </row>
    <row r="17" spans="1:23" x14ac:dyDescent="0.25">
      <c r="A17" s="10"/>
      <c r="B17" s="10"/>
      <c r="C17" s="10"/>
      <c r="D17" s="10"/>
      <c r="E17" s="10"/>
      <c r="F17" s="10"/>
      <c r="G17" s="10"/>
      <c r="H17" s="10"/>
      <c r="I17" s="10"/>
      <c r="J17" s="10"/>
      <c r="L17" s="58"/>
      <c r="M17" s="59"/>
      <c r="N17" s="59"/>
      <c r="O17" s="59"/>
      <c r="P17" s="59"/>
      <c r="Q17" s="60"/>
    </row>
    <row r="18" spans="1:23" x14ac:dyDescent="0.25">
      <c r="A18" s="10" t="s">
        <v>34</v>
      </c>
      <c r="B18" s="49">
        <f t="shared" ref="B18:I18" si="1">AVERAGE(B5:B14)</f>
        <v>14.65</v>
      </c>
      <c r="C18" s="50">
        <f t="shared" si="1"/>
        <v>267812500</v>
      </c>
      <c r="D18" s="50">
        <f t="shared" si="1"/>
        <v>47754957.5</v>
      </c>
      <c r="E18" s="50">
        <f t="shared" si="1"/>
        <v>9.870000000000001</v>
      </c>
      <c r="F18" s="50">
        <f t="shared" si="1"/>
        <v>25231408.199999999</v>
      </c>
      <c r="G18" s="50">
        <f t="shared" si="1"/>
        <v>662401.5555555555</v>
      </c>
      <c r="H18" s="50">
        <f t="shared" si="1"/>
        <v>0.12999999999999998</v>
      </c>
      <c r="I18" s="50">
        <f t="shared" si="1"/>
        <v>1069450</v>
      </c>
      <c r="J18" s="52">
        <v>0.2</v>
      </c>
      <c r="L18" s="58"/>
      <c r="M18" s="59"/>
      <c r="N18" s="59"/>
      <c r="O18" s="59"/>
      <c r="P18" s="59"/>
      <c r="Q18" s="60"/>
      <c r="W18" s="2"/>
    </row>
    <row r="19" spans="1:23" x14ac:dyDescent="0.25">
      <c r="A19" s="10" t="s">
        <v>35</v>
      </c>
      <c r="B19" s="49">
        <f t="shared" ref="B19:I19" si="2">MEDIAN(B5:B14)</f>
        <v>15</v>
      </c>
      <c r="C19" s="50">
        <f t="shared" si="2"/>
        <v>294750000</v>
      </c>
      <c r="D19" s="50">
        <f t="shared" si="2"/>
        <v>48990300</v>
      </c>
      <c r="E19" s="50">
        <f t="shared" si="2"/>
        <v>9.1999999999999993</v>
      </c>
      <c r="F19" s="50">
        <f t="shared" si="2"/>
        <v>28723608</v>
      </c>
      <c r="G19" s="50">
        <f t="shared" si="2"/>
        <v>736002</v>
      </c>
      <c r="H19" s="50">
        <f t="shared" si="2"/>
        <v>0.13</v>
      </c>
      <c r="I19" s="50">
        <f t="shared" si="2"/>
        <v>1095000</v>
      </c>
      <c r="J19" s="52">
        <v>0.2</v>
      </c>
      <c r="K19" s="1"/>
      <c r="L19" s="58"/>
      <c r="M19" s="59"/>
      <c r="N19" s="59"/>
      <c r="O19" s="59"/>
      <c r="P19" s="59"/>
      <c r="Q19" s="60"/>
      <c r="R19" s="1"/>
      <c r="U19" s="2"/>
    </row>
    <row r="20" spans="1:23" ht="16.5" customHeight="1" thickBot="1" x14ac:dyDescent="0.3">
      <c r="A20" t="s">
        <v>20</v>
      </c>
      <c r="B20">
        <v>0.08</v>
      </c>
      <c r="G20" s="1"/>
      <c r="K20" s="1"/>
      <c r="L20" s="61"/>
      <c r="M20" s="62"/>
      <c r="N20" s="62"/>
      <c r="O20" s="62"/>
      <c r="P20" s="62"/>
      <c r="Q20" s="63"/>
      <c r="U20" s="2"/>
    </row>
    <row r="21" spans="1:23" x14ac:dyDescent="0.25">
      <c r="A21" t="s">
        <v>21</v>
      </c>
      <c r="B21">
        <v>20</v>
      </c>
      <c r="D21">
        <f>B16*365*B22 *0.001</f>
        <v>53.472500000000004</v>
      </c>
      <c r="G21" s="1"/>
      <c r="K21" s="1"/>
      <c r="O21" s="1"/>
      <c r="R21" s="2"/>
    </row>
    <row r="22" spans="1:23" x14ac:dyDescent="0.25">
      <c r="A22" t="s">
        <v>27</v>
      </c>
      <c r="B22">
        <v>1</v>
      </c>
      <c r="D22" s="1"/>
      <c r="G22" s="1"/>
      <c r="K22" s="1"/>
      <c r="R22" s="1"/>
      <c r="U22" s="2"/>
    </row>
    <row r="23" spans="1:23" x14ac:dyDescent="0.25">
      <c r="D23" s="1"/>
      <c r="G23" s="1"/>
      <c r="K23" s="1"/>
      <c r="R23" s="1"/>
      <c r="U23" s="2"/>
    </row>
    <row r="24" spans="1:23" x14ac:dyDescent="0.25">
      <c r="A24" t="s">
        <v>22</v>
      </c>
      <c r="C24">
        <v>0</v>
      </c>
      <c r="D24">
        <f>1+C24</f>
        <v>1</v>
      </c>
      <c r="E24">
        <f t="shared" ref="E24:W24" si="3">1+D24</f>
        <v>2</v>
      </c>
      <c r="F24">
        <f t="shared" si="3"/>
        <v>3</v>
      </c>
      <c r="G24">
        <f t="shared" si="3"/>
        <v>4</v>
      </c>
      <c r="H24">
        <f t="shared" si="3"/>
        <v>5</v>
      </c>
      <c r="I24">
        <f t="shared" si="3"/>
        <v>6</v>
      </c>
      <c r="J24">
        <f t="shared" si="3"/>
        <v>7</v>
      </c>
      <c r="K24">
        <f t="shared" si="3"/>
        <v>8</v>
      </c>
      <c r="L24">
        <f t="shared" si="3"/>
        <v>9</v>
      </c>
      <c r="M24">
        <f t="shared" si="3"/>
        <v>10</v>
      </c>
      <c r="N24">
        <f t="shared" si="3"/>
        <v>11</v>
      </c>
      <c r="O24">
        <f t="shared" si="3"/>
        <v>12</v>
      </c>
      <c r="P24">
        <f t="shared" si="3"/>
        <v>13</v>
      </c>
      <c r="Q24">
        <f t="shared" si="3"/>
        <v>14</v>
      </c>
      <c r="R24">
        <f t="shared" si="3"/>
        <v>15</v>
      </c>
      <c r="S24">
        <f>1+R24</f>
        <v>16</v>
      </c>
      <c r="T24">
        <f t="shared" si="3"/>
        <v>17</v>
      </c>
      <c r="U24">
        <f t="shared" si="3"/>
        <v>18</v>
      </c>
      <c r="V24">
        <f t="shared" si="3"/>
        <v>19</v>
      </c>
      <c r="W24">
        <f t="shared" si="3"/>
        <v>20</v>
      </c>
    </row>
    <row r="25" spans="1:23" x14ac:dyDescent="0.25">
      <c r="A25" t="s">
        <v>23</v>
      </c>
      <c r="C25" s="3">
        <v>0</v>
      </c>
      <c r="D25" s="3">
        <v>0</v>
      </c>
      <c r="E25" s="3">
        <f t="shared" ref="E25:W25" si="4">$B$16*1000*365*$B$22</f>
        <v>53472500</v>
      </c>
      <c r="F25" s="3">
        <f t="shared" si="4"/>
        <v>53472500</v>
      </c>
      <c r="G25" s="3">
        <f t="shared" si="4"/>
        <v>53472500</v>
      </c>
      <c r="H25" s="3">
        <f t="shared" si="4"/>
        <v>53472500</v>
      </c>
      <c r="I25" s="3">
        <f t="shared" si="4"/>
        <v>53472500</v>
      </c>
      <c r="J25" s="3">
        <f t="shared" si="4"/>
        <v>53472500</v>
      </c>
      <c r="K25" s="3">
        <f t="shared" si="4"/>
        <v>53472500</v>
      </c>
      <c r="L25" s="3">
        <f t="shared" si="4"/>
        <v>53472500</v>
      </c>
      <c r="M25" s="3">
        <f t="shared" si="4"/>
        <v>53472500</v>
      </c>
      <c r="N25" s="3">
        <f t="shared" si="4"/>
        <v>53472500</v>
      </c>
      <c r="O25" s="3">
        <f t="shared" si="4"/>
        <v>53472500</v>
      </c>
      <c r="P25" s="3">
        <f t="shared" si="4"/>
        <v>53472500</v>
      </c>
      <c r="Q25" s="3">
        <f t="shared" si="4"/>
        <v>53472500</v>
      </c>
      <c r="R25" s="3">
        <f t="shared" si="4"/>
        <v>53472500</v>
      </c>
      <c r="S25" s="3">
        <f t="shared" si="4"/>
        <v>53472500</v>
      </c>
      <c r="T25" s="3">
        <f t="shared" si="4"/>
        <v>53472500</v>
      </c>
      <c r="U25" s="3">
        <f t="shared" si="4"/>
        <v>53472500</v>
      </c>
      <c r="V25" s="3">
        <f t="shared" si="4"/>
        <v>53472500</v>
      </c>
      <c r="W25" s="3">
        <f t="shared" si="4"/>
        <v>53472500</v>
      </c>
    </row>
    <row r="26" spans="1:23" x14ac:dyDescent="0.25">
      <c r="A26" t="s">
        <v>10</v>
      </c>
      <c r="C26" s="1">
        <f>C16</f>
        <v>2142500000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row>
    <row r="27" spans="1:23" x14ac:dyDescent="0.25">
      <c r="A27" t="s">
        <v>28</v>
      </c>
      <c r="C27" s="1">
        <f>F16</f>
        <v>252314082</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row>
    <row r="28" spans="1:23" x14ac:dyDescent="0.25">
      <c r="A28" t="s">
        <v>24</v>
      </c>
      <c r="C28" s="1">
        <v>0</v>
      </c>
      <c r="D28" s="1">
        <v>0</v>
      </c>
      <c r="E28" s="1">
        <f>$D$16</f>
        <v>477549575</v>
      </c>
      <c r="F28" s="1">
        <f t="shared" ref="F28:W28" si="5">$D$16</f>
        <v>477549575</v>
      </c>
      <c r="G28" s="1">
        <f t="shared" si="5"/>
        <v>477549575</v>
      </c>
      <c r="H28" s="1">
        <f t="shared" si="5"/>
        <v>477549575</v>
      </c>
      <c r="I28" s="1">
        <f t="shared" si="5"/>
        <v>477549575</v>
      </c>
      <c r="J28" s="1">
        <f t="shared" si="5"/>
        <v>477549575</v>
      </c>
      <c r="K28" s="1">
        <f t="shared" si="5"/>
        <v>477549575</v>
      </c>
      <c r="L28" s="1">
        <f t="shared" si="5"/>
        <v>477549575</v>
      </c>
      <c r="M28" s="1">
        <f t="shared" si="5"/>
        <v>477549575</v>
      </c>
      <c r="N28" s="1">
        <f t="shared" si="5"/>
        <v>477549575</v>
      </c>
      <c r="O28" s="1">
        <f t="shared" si="5"/>
        <v>477549575</v>
      </c>
      <c r="P28" s="1">
        <f t="shared" si="5"/>
        <v>477549575</v>
      </c>
      <c r="Q28" s="1">
        <f t="shared" si="5"/>
        <v>477549575</v>
      </c>
      <c r="R28" s="1">
        <f t="shared" si="5"/>
        <v>477549575</v>
      </c>
      <c r="S28" s="1">
        <f t="shared" si="5"/>
        <v>477549575</v>
      </c>
      <c r="T28" s="1">
        <f t="shared" si="5"/>
        <v>477549575</v>
      </c>
      <c r="U28" s="1">
        <f t="shared" si="5"/>
        <v>477549575</v>
      </c>
      <c r="V28" s="1">
        <f t="shared" si="5"/>
        <v>477549575</v>
      </c>
      <c r="W28" s="1">
        <f t="shared" si="5"/>
        <v>477549575</v>
      </c>
    </row>
    <row r="29" spans="1:23" x14ac:dyDescent="0.25">
      <c r="A29" t="s">
        <v>25</v>
      </c>
      <c r="C29" s="1">
        <v>0</v>
      </c>
      <c r="D29" s="1">
        <v>0</v>
      </c>
      <c r="E29" s="1">
        <f>$G$16</f>
        <v>5961614</v>
      </c>
      <c r="F29" s="1">
        <f t="shared" ref="F29:W29" si="6">$G$16</f>
        <v>5961614</v>
      </c>
      <c r="G29" s="1">
        <f t="shared" si="6"/>
        <v>5961614</v>
      </c>
      <c r="H29" s="1">
        <f t="shared" si="6"/>
        <v>5961614</v>
      </c>
      <c r="I29" s="1">
        <f t="shared" si="6"/>
        <v>5961614</v>
      </c>
      <c r="J29" s="1">
        <f t="shared" si="6"/>
        <v>5961614</v>
      </c>
      <c r="K29" s="1">
        <f t="shared" si="6"/>
        <v>5961614</v>
      </c>
      <c r="L29" s="1">
        <f t="shared" si="6"/>
        <v>5961614</v>
      </c>
      <c r="M29" s="1">
        <f t="shared" si="6"/>
        <v>5961614</v>
      </c>
      <c r="N29" s="1">
        <f t="shared" si="6"/>
        <v>5961614</v>
      </c>
      <c r="O29" s="1">
        <f t="shared" si="6"/>
        <v>5961614</v>
      </c>
      <c r="P29" s="1">
        <f t="shared" si="6"/>
        <v>5961614</v>
      </c>
      <c r="Q29" s="1">
        <f t="shared" si="6"/>
        <v>5961614</v>
      </c>
      <c r="R29" s="1">
        <f t="shared" si="6"/>
        <v>5961614</v>
      </c>
      <c r="S29" s="1">
        <f t="shared" si="6"/>
        <v>5961614</v>
      </c>
      <c r="T29" s="1">
        <f t="shared" si="6"/>
        <v>5961614</v>
      </c>
      <c r="U29" s="1">
        <f t="shared" si="6"/>
        <v>5961614</v>
      </c>
      <c r="V29" s="1">
        <f t="shared" si="6"/>
        <v>5961614</v>
      </c>
      <c r="W29" s="1">
        <f t="shared" si="6"/>
        <v>5961614</v>
      </c>
    </row>
    <row r="31" spans="1:23" x14ac:dyDescent="0.25">
      <c r="A31" t="s">
        <v>30</v>
      </c>
      <c r="C31">
        <f t="shared" ref="C31:W31" si="7">C25/(1+$B$20)^C$24</f>
        <v>0</v>
      </c>
      <c r="D31">
        <f t="shared" si="7"/>
        <v>0</v>
      </c>
      <c r="E31">
        <f t="shared" si="7"/>
        <v>45844050.068587102</v>
      </c>
      <c r="F31">
        <f t="shared" si="7"/>
        <v>42448194.507951021</v>
      </c>
      <c r="G31">
        <f t="shared" si="7"/>
        <v>39303883.803658344</v>
      </c>
      <c r="H31">
        <f t="shared" si="7"/>
        <v>36392485.003387354</v>
      </c>
      <c r="I31">
        <f t="shared" si="7"/>
        <v>33696745.373506807</v>
      </c>
      <c r="J31">
        <f t="shared" si="7"/>
        <v>31200690.160654452</v>
      </c>
      <c r="K31">
        <f t="shared" si="7"/>
        <v>28889527.9265319</v>
      </c>
      <c r="L31">
        <f t="shared" si="7"/>
        <v>26749562.894936942</v>
      </c>
      <c r="M31">
        <f t="shared" si="7"/>
        <v>24768113.791608278</v>
      </c>
      <c r="N31">
        <f t="shared" si="7"/>
        <v>22933438.695933592</v>
      </c>
      <c r="O31">
        <f t="shared" si="7"/>
        <v>21234665.459197767</v>
      </c>
      <c r="P31">
        <f t="shared" si="7"/>
        <v>19661727.277034972</v>
      </c>
      <c r="Q31">
        <f t="shared" si="7"/>
        <v>18205303.034291636</v>
      </c>
      <c r="R31">
        <f t="shared" si="7"/>
        <v>16856762.068788551</v>
      </c>
      <c r="S31">
        <f t="shared" si="7"/>
        <v>15608113.026656067</v>
      </c>
      <c r="T31">
        <f t="shared" si="7"/>
        <v>14451956.506163023</v>
      </c>
      <c r="U31">
        <f t="shared" si="7"/>
        <v>13381441.209410205</v>
      </c>
      <c r="V31">
        <f t="shared" si="7"/>
        <v>12390223.342046486</v>
      </c>
      <c r="W31">
        <f t="shared" si="7"/>
        <v>11472429.020413414</v>
      </c>
    </row>
    <row r="32" spans="1:23" x14ac:dyDescent="0.25">
      <c r="A32" t="s">
        <v>29</v>
      </c>
      <c r="B32" s="4">
        <f>SUM(C32:W32)/SUM($C$31:$W$31)</f>
        <v>4.5058846553520429</v>
      </c>
      <c r="C32">
        <f t="shared" ref="C32:W32" si="8">C26/(1+$B$20)^C$24</f>
        <v>2142500000</v>
      </c>
      <c r="D32">
        <f t="shared" si="8"/>
        <v>0</v>
      </c>
      <c r="E32">
        <f t="shared" si="8"/>
        <v>0</v>
      </c>
      <c r="F32">
        <f t="shared" si="8"/>
        <v>0</v>
      </c>
      <c r="G32">
        <f t="shared" si="8"/>
        <v>0</v>
      </c>
      <c r="H32">
        <f t="shared" si="8"/>
        <v>0</v>
      </c>
      <c r="I32">
        <f t="shared" si="8"/>
        <v>0</v>
      </c>
      <c r="J32">
        <f t="shared" si="8"/>
        <v>0</v>
      </c>
      <c r="K32">
        <f t="shared" si="8"/>
        <v>0</v>
      </c>
      <c r="L32">
        <f t="shared" si="8"/>
        <v>0</v>
      </c>
      <c r="M32">
        <f t="shared" si="8"/>
        <v>0</v>
      </c>
      <c r="N32">
        <f t="shared" si="8"/>
        <v>0</v>
      </c>
      <c r="O32">
        <f t="shared" si="8"/>
        <v>0</v>
      </c>
      <c r="P32">
        <f t="shared" si="8"/>
        <v>0</v>
      </c>
      <c r="Q32">
        <f t="shared" si="8"/>
        <v>0</v>
      </c>
      <c r="R32">
        <f t="shared" si="8"/>
        <v>0</v>
      </c>
      <c r="S32">
        <f t="shared" si="8"/>
        <v>0</v>
      </c>
      <c r="T32">
        <f t="shared" si="8"/>
        <v>0</v>
      </c>
      <c r="U32">
        <f t="shared" si="8"/>
        <v>0</v>
      </c>
      <c r="V32">
        <f t="shared" si="8"/>
        <v>0</v>
      </c>
      <c r="W32">
        <f t="shared" si="8"/>
        <v>0</v>
      </c>
    </row>
    <row r="33" spans="1:23" x14ac:dyDescent="0.25">
      <c r="A33" t="s">
        <v>32</v>
      </c>
      <c r="B33" s="4">
        <f>SUM(C33:W33)/SUM($C$31:$W$31)</f>
        <v>8.930750853242321</v>
      </c>
      <c r="C33">
        <f t="shared" ref="C33:W33" si="9">C28/(1+$B$20)^C$24</f>
        <v>0</v>
      </c>
      <c r="D33">
        <f t="shared" si="9"/>
        <v>0</v>
      </c>
      <c r="E33">
        <f t="shared" si="9"/>
        <v>409421789.26611793</v>
      </c>
      <c r="F33">
        <f t="shared" si="9"/>
        <v>379094249.32047957</v>
      </c>
      <c r="G33">
        <f t="shared" si="9"/>
        <v>351013193.8152588</v>
      </c>
      <c r="H33">
        <f t="shared" si="9"/>
        <v>325012216.49561</v>
      </c>
      <c r="I33">
        <f t="shared" si="9"/>
        <v>300937237.49593514</v>
      </c>
      <c r="J33">
        <f t="shared" si="9"/>
        <v>278645590.274014</v>
      </c>
      <c r="K33">
        <f t="shared" si="9"/>
        <v>258005176.17964262</v>
      </c>
      <c r="L33">
        <f t="shared" si="9"/>
        <v>238893681.64781722</v>
      </c>
      <c r="M33">
        <f t="shared" si="9"/>
        <v>221197853.37760854</v>
      </c>
      <c r="N33">
        <f t="shared" si="9"/>
        <v>204812827.20148939</v>
      </c>
      <c r="O33">
        <f t="shared" si="9"/>
        <v>189641506.6680457</v>
      </c>
      <c r="P33">
        <f t="shared" si="9"/>
        <v>175593987.65559787</v>
      </c>
      <c r="Q33">
        <f t="shared" si="9"/>
        <v>162587025.60703504</v>
      </c>
      <c r="R33">
        <f t="shared" si="9"/>
        <v>150543542.22873613</v>
      </c>
      <c r="S33">
        <f t="shared" si="9"/>
        <v>139392168.73031124</v>
      </c>
      <c r="T33">
        <f t="shared" si="9"/>
        <v>129066822.89843634</v>
      </c>
      <c r="U33">
        <f t="shared" si="9"/>
        <v>119506317.49855214</v>
      </c>
      <c r="V33">
        <f t="shared" si="9"/>
        <v>110653997.68384457</v>
      </c>
      <c r="W33">
        <f t="shared" si="9"/>
        <v>102457405.26281905</v>
      </c>
    </row>
    <row r="34" spans="1:23" x14ac:dyDescent="0.25">
      <c r="A34" t="s">
        <v>31</v>
      </c>
      <c r="B34" s="4">
        <f>SUM(C34:W34)/SUM($C$31:$W$31)</f>
        <v>0.53064091034447469</v>
      </c>
      <c r="C34">
        <f t="shared" ref="C34:W34" si="10">C27/(1+$B$20)^C$24</f>
        <v>252314082</v>
      </c>
      <c r="D34">
        <f t="shared" si="10"/>
        <v>0</v>
      </c>
      <c r="E34">
        <f t="shared" si="10"/>
        <v>0</v>
      </c>
      <c r="F34">
        <f t="shared" si="10"/>
        <v>0</v>
      </c>
      <c r="G34">
        <f t="shared" si="10"/>
        <v>0</v>
      </c>
      <c r="H34">
        <f t="shared" si="10"/>
        <v>0</v>
      </c>
      <c r="I34">
        <f t="shared" si="10"/>
        <v>0</v>
      </c>
      <c r="J34">
        <f t="shared" si="10"/>
        <v>0</v>
      </c>
      <c r="K34">
        <f t="shared" si="10"/>
        <v>0</v>
      </c>
      <c r="L34">
        <f t="shared" si="10"/>
        <v>0</v>
      </c>
      <c r="M34">
        <f t="shared" si="10"/>
        <v>0</v>
      </c>
      <c r="N34">
        <f t="shared" si="10"/>
        <v>0</v>
      </c>
      <c r="O34">
        <f t="shared" si="10"/>
        <v>0</v>
      </c>
      <c r="P34">
        <f t="shared" si="10"/>
        <v>0</v>
      </c>
      <c r="Q34">
        <f t="shared" si="10"/>
        <v>0</v>
      </c>
      <c r="R34">
        <f t="shared" si="10"/>
        <v>0</v>
      </c>
      <c r="S34">
        <f t="shared" si="10"/>
        <v>0</v>
      </c>
      <c r="T34">
        <f t="shared" si="10"/>
        <v>0</v>
      </c>
      <c r="U34">
        <f t="shared" si="10"/>
        <v>0</v>
      </c>
      <c r="V34">
        <f t="shared" si="10"/>
        <v>0</v>
      </c>
      <c r="W34">
        <f t="shared" si="10"/>
        <v>0</v>
      </c>
    </row>
    <row r="35" spans="1:23" x14ac:dyDescent="0.25">
      <c r="A35" t="s">
        <v>33</v>
      </c>
      <c r="B35" s="4">
        <f t="shared" ref="B35" si="11">SUM(C35:W35)/SUM($C$31:$W$31)</f>
        <v>0.11148934499041564</v>
      </c>
      <c r="C35">
        <f t="shared" ref="C35:W35" si="12">C29/(1+$B$20)^C$24</f>
        <v>0</v>
      </c>
      <c r="D35">
        <f t="shared" si="12"/>
        <v>0</v>
      </c>
      <c r="E35">
        <f t="shared" si="12"/>
        <v>5111123.1138545945</v>
      </c>
      <c r="F35">
        <f t="shared" si="12"/>
        <v>4732521.4017172176</v>
      </c>
      <c r="G35">
        <f t="shared" si="12"/>
        <v>4381964.2608492747</v>
      </c>
      <c r="H35">
        <f t="shared" si="12"/>
        <v>4057374.3156011803</v>
      </c>
      <c r="I35">
        <f t="shared" si="12"/>
        <v>3756828.0700010927</v>
      </c>
      <c r="J35">
        <f t="shared" si="12"/>
        <v>3478544.5092602707</v>
      </c>
      <c r="K35">
        <f t="shared" si="12"/>
        <v>3220874.545611362</v>
      </c>
      <c r="L35">
        <f t="shared" si="12"/>
        <v>2982291.2459364459</v>
      </c>
      <c r="M35">
        <f t="shared" si="12"/>
        <v>2761380.7832744867</v>
      </c>
      <c r="N35">
        <f t="shared" si="12"/>
        <v>2556834.0585874878</v>
      </c>
      <c r="O35">
        <f t="shared" si="12"/>
        <v>2367438.9431365626</v>
      </c>
      <c r="P35">
        <f t="shared" si="12"/>
        <v>2192073.095496817</v>
      </c>
      <c r="Q35">
        <f t="shared" si="12"/>
        <v>2029697.3106452008</v>
      </c>
      <c r="R35">
        <f t="shared" si="12"/>
        <v>1879349.361708519</v>
      </c>
      <c r="S35">
        <f t="shared" si="12"/>
        <v>1740138.2978782584</v>
      </c>
      <c r="T35">
        <f t="shared" si="12"/>
        <v>1611239.1647020911</v>
      </c>
      <c r="U35">
        <f t="shared" si="12"/>
        <v>1491888.115464899</v>
      </c>
      <c r="V35">
        <f t="shared" si="12"/>
        <v>1381377.8846897213</v>
      </c>
      <c r="W35">
        <f t="shared" si="12"/>
        <v>1279053.5969349272</v>
      </c>
    </row>
    <row r="36" spans="1:23" x14ac:dyDescent="0.25">
      <c r="A36" s="8" t="s">
        <v>220</v>
      </c>
      <c r="B36" s="4">
        <f>SUM(B32:B35)</f>
        <v>14.078765763929255</v>
      </c>
    </row>
    <row r="38" spans="1:23" x14ac:dyDescent="0.25">
      <c r="B38">
        <f>B16*0.365*B22</f>
        <v>53.472499999999997</v>
      </c>
      <c r="C38" s="2">
        <f>C16/B38 *0.000001</f>
        <v>40.067324325587919</v>
      </c>
      <c r="D38" t="s">
        <v>163</v>
      </c>
      <c r="E38" t="s">
        <v>164</v>
      </c>
    </row>
    <row r="40" spans="1:23" x14ac:dyDescent="0.25">
      <c r="A40" s="5" t="s">
        <v>228</v>
      </c>
    </row>
    <row r="42" spans="1:23" x14ac:dyDescent="0.25">
      <c r="A42" s="5" t="s">
        <v>52</v>
      </c>
    </row>
    <row r="43" spans="1:23" x14ac:dyDescent="0.25">
      <c r="A43" t="s">
        <v>12</v>
      </c>
      <c r="C43" t="s">
        <v>18</v>
      </c>
      <c r="F43" t="s">
        <v>17</v>
      </c>
      <c r="I43" t="s">
        <v>232</v>
      </c>
    </row>
    <row r="44" spans="1:23" x14ac:dyDescent="0.25">
      <c r="C44" t="s">
        <v>19</v>
      </c>
      <c r="D44" t="s">
        <v>15</v>
      </c>
      <c r="E44" t="s">
        <v>14</v>
      </c>
      <c r="F44" t="s">
        <v>16</v>
      </c>
      <c r="G44" t="s">
        <v>15</v>
      </c>
      <c r="H44" t="s">
        <v>14</v>
      </c>
      <c r="I44" t="s">
        <v>15</v>
      </c>
      <c r="J44" t="s">
        <v>14</v>
      </c>
    </row>
    <row r="45" spans="1:23" x14ac:dyDescent="0.25">
      <c r="B45" t="s">
        <v>11</v>
      </c>
      <c r="C45" t="s">
        <v>10</v>
      </c>
      <c r="D45" t="s">
        <v>13</v>
      </c>
      <c r="E45" t="s">
        <v>13</v>
      </c>
      <c r="F45" t="s">
        <v>10</v>
      </c>
      <c r="G45" t="s">
        <v>13</v>
      </c>
      <c r="H45" t="s">
        <v>13</v>
      </c>
      <c r="I45" t="s">
        <v>26</v>
      </c>
    </row>
    <row r="46" spans="1:23" x14ac:dyDescent="0.25">
      <c r="A46" t="s">
        <v>0</v>
      </c>
      <c r="B46">
        <v>6</v>
      </c>
      <c r="C46" s="1">
        <v>151600000</v>
      </c>
      <c r="D46" s="1">
        <v>27747300</v>
      </c>
      <c r="E46">
        <v>12.7</v>
      </c>
      <c r="F46" s="1">
        <v>7894129</v>
      </c>
      <c r="G46" s="1">
        <v>294400</v>
      </c>
      <c r="H46">
        <v>0.13</v>
      </c>
      <c r="I46" s="1">
        <v>438000</v>
      </c>
      <c r="J46">
        <v>0.2</v>
      </c>
    </row>
    <row r="47" spans="1:23" x14ac:dyDescent="0.25">
      <c r="A47" t="s">
        <v>1</v>
      </c>
      <c r="B47">
        <v>14</v>
      </c>
      <c r="C47" s="1">
        <v>287500000</v>
      </c>
      <c r="D47" s="1">
        <v>47829600</v>
      </c>
      <c r="E47">
        <v>9.4</v>
      </c>
      <c r="F47" s="1">
        <v>27762106</v>
      </c>
      <c r="G47" s="1">
        <v>686935</v>
      </c>
      <c r="H47">
        <v>0.13</v>
      </c>
      <c r="I47" s="1">
        <v>1022000</v>
      </c>
      <c r="J47">
        <v>0.2</v>
      </c>
    </row>
    <row r="48" spans="1:23" x14ac:dyDescent="0.25">
      <c r="A48" t="s">
        <v>2</v>
      </c>
      <c r="B48">
        <v>12</v>
      </c>
      <c r="C48" s="1">
        <v>257700000</v>
      </c>
      <c r="D48" s="1">
        <v>43143000</v>
      </c>
      <c r="E48">
        <v>9.9</v>
      </c>
      <c r="F48" s="1">
        <v>33864241</v>
      </c>
      <c r="G48" s="1">
        <v>588801</v>
      </c>
      <c r="H48">
        <v>0.13</v>
      </c>
      <c r="I48" s="1">
        <v>876000</v>
      </c>
      <c r="J48">
        <v>0.2</v>
      </c>
    </row>
    <row r="49" spans="1:10" x14ac:dyDescent="0.25">
      <c r="A49" t="s">
        <v>3</v>
      </c>
      <c r="B49">
        <v>15</v>
      </c>
      <c r="C49" s="1">
        <v>302000000</v>
      </c>
      <c r="D49" s="1">
        <v>50151000</v>
      </c>
      <c r="E49">
        <v>9.1999999999999993</v>
      </c>
      <c r="F49" s="1">
        <v>49609332</v>
      </c>
      <c r="G49" s="1">
        <v>736002</v>
      </c>
      <c r="H49">
        <v>0.13</v>
      </c>
      <c r="I49" s="1">
        <v>1095000</v>
      </c>
      <c r="J49">
        <v>0.2</v>
      </c>
    </row>
    <row r="50" spans="1:10" x14ac:dyDescent="0.25">
      <c r="A50" t="s">
        <v>5</v>
      </c>
      <c r="B50">
        <v>25</v>
      </c>
      <c r="C50" s="1">
        <v>422300000</v>
      </c>
      <c r="D50" s="1">
        <v>73547500</v>
      </c>
      <c r="E50">
        <v>8.1</v>
      </c>
      <c r="F50" s="1">
        <v>38914287</v>
      </c>
      <c r="G50" s="1">
        <v>1226670</v>
      </c>
      <c r="H50">
        <v>0.13</v>
      </c>
      <c r="I50" s="1">
        <v>1825000</v>
      </c>
      <c r="J50">
        <v>0.2</v>
      </c>
    </row>
    <row r="51" spans="1:10" x14ac:dyDescent="0.25">
      <c r="A51" t="s">
        <v>6</v>
      </c>
      <c r="B51">
        <v>15</v>
      </c>
      <c r="C51" s="1">
        <v>302000000</v>
      </c>
      <c r="D51" s="1">
        <v>50370000</v>
      </c>
      <c r="E51">
        <v>9.1999999999999993</v>
      </c>
      <c r="F51" s="1">
        <v>28922814</v>
      </c>
      <c r="G51" s="1">
        <v>736002</v>
      </c>
      <c r="H51">
        <v>0.13</v>
      </c>
      <c r="I51" s="1">
        <v>1095000</v>
      </c>
      <c r="J51">
        <v>0.2</v>
      </c>
    </row>
    <row r="52" spans="1:10" x14ac:dyDescent="0.25">
      <c r="A52" t="s">
        <v>7</v>
      </c>
      <c r="B52">
        <v>16</v>
      </c>
      <c r="C52" s="1">
        <v>316200000</v>
      </c>
      <c r="D52" s="1">
        <v>52384800</v>
      </c>
      <c r="E52">
        <v>9</v>
      </c>
      <c r="F52" s="1">
        <v>32276268</v>
      </c>
      <c r="G52" s="1">
        <v>785069</v>
      </c>
      <c r="H52">
        <v>0.13</v>
      </c>
      <c r="I52" s="1">
        <v>1168000</v>
      </c>
      <c r="J52">
        <v>0.2</v>
      </c>
    </row>
    <row r="53" spans="1:10" x14ac:dyDescent="0.25">
      <c r="A53" t="s">
        <v>9</v>
      </c>
      <c r="B53">
        <v>3.5</v>
      </c>
      <c r="C53" s="1">
        <v>103200000</v>
      </c>
      <c r="D53" s="1">
        <v>20503875</v>
      </c>
      <c r="E53">
        <v>16.100000000000001</v>
      </c>
      <c r="F53" s="1">
        <v>3319833</v>
      </c>
      <c r="G53" s="1">
        <v>171733</v>
      </c>
      <c r="H53">
        <v>0.13</v>
      </c>
      <c r="I53" s="1">
        <v>255500</v>
      </c>
      <c r="J53">
        <v>0.2</v>
      </c>
    </row>
    <row r="55" spans="1:10" x14ac:dyDescent="0.25">
      <c r="B55">
        <f>SUM(B46:B54)</f>
        <v>106.5</v>
      </c>
      <c r="C55" s="1">
        <f>SUM(C46:C54)</f>
        <v>2142500000</v>
      </c>
      <c r="D55" s="1">
        <f t="shared" ref="D55:I55" si="13">SUM(D46:D54)</f>
        <v>365677075</v>
      </c>
      <c r="E55" s="1">
        <f t="shared" si="13"/>
        <v>83.6</v>
      </c>
      <c r="F55" s="1">
        <f t="shared" si="13"/>
        <v>222563010</v>
      </c>
      <c r="G55" s="1">
        <f t="shared" si="13"/>
        <v>5225612</v>
      </c>
      <c r="H55" s="1">
        <f t="shared" si="13"/>
        <v>1.04</v>
      </c>
      <c r="I55" s="1">
        <f t="shared" si="13"/>
        <v>7774500</v>
      </c>
      <c r="J55" s="1">
        <f>0.2</f>
        <v>0.2</v>
      </c>
    </row>
    <row r="57" spans="1:10" x14ac:dyDescent="0.25">
      <c r="A57" s="5" t="s">
        <v>229</v>
      </c>
      <c r="B57" s="5" t="s">
        <v>160</v>
      </c>
      <c r="C57" s="5" t="s">
        <v>230</v>
      </c>
      <c r="D57" s="5" t="s">
        <v>231</v>
      </c>
      <c r="E57" s="746" t="s">
        <v>233</v>
      </c>
      <c r="F57" s="746"/>
    </row>
    <row r="58" spans="1:10" x14ac:dyDescent="0.25">
      <c r="B58">
        <f>B55*0.365</f>
        <v>38.872500000000002</v>
      </c>
      <c r="C58" s="1">
        <f>(C55+F55)/B58 *0.001</f>
        <v>60841.546337385036</v>
      </c>
      <c r="D58" s="1">
        <f>(D55+G55+I55)/B58 *0.001</f>
        <v>9741.5187343237503</v>
      </c>
      <c r="E58" t="s">
        <v>234</v>
      </c>
    </row>
  </sheetData>
  <mergeCells count="1">
    <mergeCell ref="E57:F5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101"/>
  <sheetViews>
    <sheetView topLeftCell="A43" zoomScale="85" zoomScaleNormal="85" workbookViewId="0">
      <selection activeCell="A52" sqref="A52"/>
    </sheetView>
  </sheetViews>
  <sheetFormatPr defaultRowHeight="15" x14ac:dyDescent="0.25"/>
  <cols>
    <col min="1" max="1" width="28.5703125" bestFit="1" customWidth="1"/>
    <col min="2" max="2" width="28.5703125" customWidth="1"/>
    <col min="3" max="3" width="21" bestFit="1" customWidth="1"/>
    <col min="4" max="4" width="16.28515625" customWidth="1"/>
    <col min="5" max="5" width="12.42578125" bestFit="1" customWidth="1"/>
    <col min="6" max="6" width="14" customWidth="1"/>
    <col min="7" max="9" width="12.42578125" bestFit="1" customWidth="1"/>
    <col min="10" max="11" width="12.42578125" customWidth="1"/>
    <col min="12" max="23" width="12.42578125" bestFit="1" customWidth="1"/>
  </cols>
  <sheetData>
    <row r="1" spans="1:23" ht="15.75" thickBot="1" x14ac:dyDescent="0.3">
      <c r="A1" s="5" t="s">
        <v>52</v>
      </c>
    </row>
    <row r="2" spans="1:23" x14ac:dyDescent="0.25">
      <c r="A2" t="s">
        <v>12</v>
      </c>
      <c r="C2" t="s">
        <v>18</v>
      </c>
      <c r="F2" t="s">
        <v>17</v>
      </c>
      <c r="I2" t="s">
        <v>232</v>
      </c>
      <c r="L2" s="55"/>
      <c r="M2" s="56"/>
      <c r="N2" s="56"/>
      <c r="O2" s="56"/>
      <c r="P2" s="56"/>
      <c r="Q2" s="57"/>
    </row>
    <row r="3" spans="1:23" x14ac:dyDescent="0.25">
      <c r="C3" t="s">
        <v>19</v>
      </c>
      <c r="D3" t="s">
        <v>15</v>
      </c>
      <c r="E3" t="s">
        <v>14</v>
      </c>
      <c r="F3" t="s">
        <v>16</v>
      </c>
      <c r="G3" t="s">
        <v>15</v>
      </c>
      <c r="H3" t="s">
        <v>14</v>
      </c>
      <c r="I3" t="s">
        <v>15</v>
      </c>
      <c r="J3" t="s">
        <v>14</v>
      </c>
      <c r="L3" s="58" t="s">
        <v>157</v>
      </c>
      <c r="M3" s="59"/>
      <c r="N3" s="59"/>
      <c r="O3" s="59"/>
      <c r="P3" s="59" t="s">
        <v>168</v>
      </c>
      <c r="Q3" s="60"/>
    </row>
    <row r="4" spans="1:23" x14ac:dyDescent="0.25">
      <c r="B4" t="s">
        <v>11</v>
      </c>
      <c r="C4" t="s">
        <v>10</v>
      </c>
      <c r="D4" t="s">
        <v>13</v>
      </c>
      <c r="E4" t="s">
        <v>13</v>
      </c>
      <c r="F4" t="s">
        <v>10</v>
      </c>
      <c r="G4" t="s">
        <v>13</v>
      </c>
      <c r="H4" t="s">
        <v>13</v>
      </c>
      <c r="I4" t="s">
        <v>26</v>
      </c>
      <c r="L4" s="58" t="s">
        <v>158</v>
      </c>
      <c r="M4" s="59">
        <v>100</v>
      </c>
      <c r="N4" s="59"/>
      <c r="O4" s="59"/>
      <c r="P4" s="59" t="s">
        <v>169</v>
      </c>
      <c r="Q4" s="60"/>
    </row>
    <row r="5" spans="1:23" x14ac:dyDescent="0.25">
      <c r="A5" t="s">
        <v>0</v>
      </c>
      <c r="B5">
        <v>6</v>
      </c>
      <c r="C5" s="1">
        <v>151600000</v>
      </c>
      <c r="D5" s="1">
        <v>27747300</v>
      </c>
      <c r="E5">
        <v>12.7</v>
      </c>
      <c r="F5" s="1">
        <v>7894129</v>
      </c>
      <c r="G5" s="1">
        <v>294400</v>
      </c>
      <c r="H5">
        <v>0.13</v>
      </c>
      <c r="I5" s="1">
        <v>438000</v>
      </c>
      <c r="J5">
        <v>0.2</v>
      </c>
      <c r="L5" s="58" t="s">
        <v>159</v>
      </c>
      <c r="M5">
        <v>21593</v>
      </c>
      <c r="N5" s="59" t="s">
        <v>162</v>
      </c>
      <c r="O5" s="59"/>
      <c r="P5" s="59"/>
      <c r="Q5" s="60"/>
    </row>
    <row r="6" spans="1:23" x14ac:dyDescent="0.25">
      <c r="A6" t="s">
        <v>1</v>
      </c>
      <c r="B6">
        <v>14</v>
      </c>
      <c r="C6" s="1">
        <v>287500000</v>
      </c>
      <c r="D6" s="1">
        <v>47829600</v>
      </c>
      <c r="E6">
        <v>9.4</v>
      </c>
      <c r="F6" s="1">
        <v>27762106</v>
      </c>
      <c r="G6" s="1">
        <v>686935</v>
      </c>
      <c r="H6">
        <v>0.13</v>
      </c>
      <c r="I6" s="1">
        <v>1022000</v>
      </c>
      <c r="J6">
        <v>0.2</v>
      </c>
      <c r="L6" s="58" t="s">
        <v>161</v>
      </c>
      <c r="M6" s="59">
        <f>B14*0.365</f>
        <v>38.872500000000002</v>
      </c>
      <c r="N6" s="59" t="s">
        <v>160</v>
      </c>
      <c r="O6" s="59"/>
      <c r="P6" s="59"/>
      <c r="Q6" s="60"/>
    </row>
    <row r="7" spans="1:23" x14ac:dyDescent="0.25">
      <c r="A7" t="s">
        <v>2</v>
      </c>
      <c r="B7">
        <v>12</v>
      </c>
      <c r="C7" s="1">
        <v>257700000</v>
      </c>
      <c r="D7" s="1">
        <v>43143000</v>
      </c>
      <c r="E7">
        <v>9.9</v>
      </c>
      <c r="F7" s="1">
        <v>33864241</v>
      </c>
      <c r="G7" s="1">
        <v>588801</v>
      </c>
      <c r="H7">
        <v>0.13</v>
      </c>
      <c r="I7" s="1">
        <v>876000</v>
      </c>
      <c r="J7">
        <v>0.2</v>
      </c>
      <c r="L7" s="58" t="s">
        <v>167</v>
      </c>
      <c r="M7" s="59">
        <f>M6*M4</f>
        <v>3887.25</v>
      </c>
      <c r="N7" s="59"/>
      <c r="O7" s="59"/>
      <c r="P7" s="59"/>
      <c r="Q7" s="60"/>
    </row>
    <row r="8" spans="1:23" x14ac:dyDescent="0.25">
      <c r="A8" t="s">
        <v>3</v>
      </c>
      <c r="B8">
        <v>15</v>
      </c>
      <c r="C8" s="1">
        <v>302000000</v>
      </c>
      <c r="D8" s="1">
        <v>50151000</v>
      </c>
      <c r="E8">
        <v>9.1999999999999993</v>
      </c>
      <c r="F8" s="1">
        <v>49609332</v>
      </c>
      <c r="G8" s="1">
        <v>736002</v>
      </c>
      <c r="H8">
        <v>0.13</v>
      </c>
      <c r="I8" s="1">
        <v>1095000</v>
      </c>
      <c r="J8">
        <v>0.2</v>
      </c>
      <c r="L8" s="58"/>
      <c r="M8" s="59"/>
      <c r="N8" s="59"/>
      <c r="O8" s="59"/>
      <c r="P8" s="59"/>
      <c r="Q8" s="60"/>
    </row>
    <row r="9" spans="1:23" x14ac:dyDescent="0.25">
      <c r="A9" t="s">
        <v>5</v>
      </c>
      <c r="B9">
        <v>25</v>
      </c>
      <c r="C9" s="1">
        <v>422300000</v>
      </c>
      <c r="D9" s="1">
        <v>73547500</v>
      </c>
      <c r="E9">
        <v>8.1</v>
      </c>
      <c r="F9" s="1">
        <v>38914287</v>
      </c>
      <c r="G9" s="1">
        <v>1226670</v>
      </c>
      <c r="H9">
        <v>0.13</v>
      </c>
      <c r="I9" s="1">
        <v>1825000</v>
      </c>
      <c r="J9">
        <v>0.2</v>
      </c>
      <c r="L9" s="58"/>
      <c r="M9" s="59"/>
      <c r="N9" s="59"/>
      <c r="O9" s="59"/>
      <c r="P9" s="59"/>
      <c r="Q9" s="60"/>
    </row>
    <row r="10" spans="1:23" x14ac:dyDescent="0.25">
      <c r="A10" t="s">
        <v>6</v>
      </c>
      <c r="B10">
        <v>15</v>
      </c>
      <c r="C10" s="1">
        <v>302000000</v>
      </c>
      <c r="D10" s="1">
        <v>50370000</v>
      </c>
      <c r="E10">
        <v>9.1999999999999993</v>
      </c>
      <c r="F10" s="1">
        <v>28922814</v>
      </c>
      <c r="G10" s="1">
        <v>736002</v>
      </c>
      <c r="H10">
        <v>0.13</v>
      </c>
      <c r="I10" s="1">
        <v>1095000</v>
      </c>
      <c r="J10">
        <v>0.2</v>
      </c>
      <c r="L10" s="58"/>
      <c r="M10" s="59"/>
      <c r="N10" s="59"/>
      <c r="O10" s="59"/>
      <c r="P10" s="59"/>
      <c r="Q10" s="60"/>
    </row>
    <row r="11" spans="1:23" x14ac:dyDescent="0.25">
      <c r="A11" t="s">
        <v>7</v>
      </c>
      <c r="B11">
        <v>16</v>
      </c>
      <c r="C11" s="1">
        <v>316200000</v>
      </c>
      <c r="D11" s="1">
        <v>52384800</v>
      </c>
      <c r="E11">
        <v>9</v>
      </c>
      <c r="F11" s="1">
        <v>32276268</v>
      </c>
      <c r="G11" s="1">
        <v>785069</v>
      </c>
      <c r="H11">
        <v>0.13</v>
      </c>
      <c r="I11" s="1">
        <v>1168000</v>
      </c>
      <c r="J11">
        <v>0.2</v>
      </c>
      <c r="L11" s="58"/>
      <c r="M11" s="59"/>
      <c r="N11" s="59"/>
      <c r="O11" s="59"/>
      <c r="P11" s="59"/>
      <c r="Q11" s="60"/>
    </row>
    <row r="12" spans="1:23" x14ac:dyDescent="0.25">
      <c r="A12" t="s">
        <v>9</v>
      </c>
      <c r="B12">
        <v>3.5</v>
      </c>
      <c r="C12" s="1">
        <v>103200000</v>
      </c>
      <c r="D12" s="1">
        <v>20503875</v>
      </c>
      <c r="E12">
        <v>16.100000000000001</v>
      </c>
      <c r="F12" s="1">
        <v>3319833</v>
      </c>
      <c r="G12" s="1">
        <v>171733</v>
      </c>
      <c r="H12">
        <v>0.13</v>
      </c>
      <c r="I12" s="1">
        <v>255500</v>
      </c>
      <c r="J12">
        <v>0.2</v>
      </c>
      <c r="L12" s="58"/>
      <c r="M12" s="59"/>
      <c r="N12" s="59"/>
      <c r="O12" s="59"/>
      <c r="P12" s="59"/>
      <c r="Q12" s="60"/>
    </row>
    <row r="13" spans="1:23" x14ac:dyDescent="0.25">
      <c r="L13" s="58"/>
      <c r="M13" s="59"/>
      <c r="N13" s="59"/>
      <c r="O13" s="59"/>
      <c r="P13" s="59"/>
      <c r="Q13" s="60"/>
    </row>
    <row r="14" spans="1:23" x14ac:dyDescent="0.25">
      <c r="A14" s="10" t="s">
        <v>115</v>
      </c>
      <c r="B14" s="49">
        <f t="shared" ref="B14:G14" si="0">SUM(B5:B13)</f>
        <v>106.5</v>
      </c>
      <c r="C14" s="50">
        <f t="shared" si="0"/>
        <v>2142500000</v>
      </c>
      <c r="D14" s="50">
        <f t="shared" si="0"/>
        <v>365677075</v>
      </c>
      <c r="E14" s="49">
        <f t="shared" si="0"/>
        <v>83.6</v>
      </c>
      <c r="F14" s="50">
        <f t="shared" si="0"/>
        <v>222563010</v>
      </c>
      <c r="G14" s="50">
        <f t="shared" si="0"/>
        <v>5225612</v>
      </c>
      <c r="H14" s="51">
        <f>H12</f>
        <v>0.13</v>
      </c>
      <c r="I14" s="50">
        <f>SUM(I5:I13)</f>
        <v>7774500</v>
      </c>
      <c r="J14" s="49">
        <f>J12</f>
        <v>0.2</v>
      </c>
      <c r="L14" s="58"/>
      <c r="M14" s="59"/>
      <c r="N14" s="59"/>
      <c r="O14" s="59"/>
      <c r="P14" s="59"/>
      <c r="Q14" s="60"/>
    </row>
    <row r="15" spans="1:23" x14ac:dyDescent="0.25">
      <c r="A15" s="10"/>
      <c r="B15" s="10"/>
      <c r="C15" s="10"/>
      <c r="D15" s="10"/>
      <c r="E15" s="10"/>
      <c r="F15" s="10"/>
      <c r="G15" s="10"/>
      <c r="H15" s="10"/>
      <c r="I15" s="10"/>
      <c r="J15" s="10"/>
      <c r="L15" s="58"/>
      <c r="M15" s="59"/>
      <c r="N15" s="59"/>
      <c r="O15" s="59"/>
      <c r="P15" s="59"/>
      <c r="Q15" s="60"/>
    </row>
    <row r="16" spans="1:23" x14ac:dyDescent="0.25">
      <c r="A16" s="10" t="s">
        <v>34</v>
      </c>
      <c r="B16" s="49">
        <f t="shared" ref="B16:I16" si="1">AVERAGE(B5:B12)</f>
        <v>13.3125</v>
      </c>
      <c r="C16" s="50">
        <f t="shared" si="1"/>
        <v>267812500</v>
      </c>
      <c r="D16" s="50">
        <f t="shared" si="1"/>
        <v>45709634.375</v>
      </c>
      <c r="E16" s="50">
        <f t="shared" si="1"/>
        <v>10.45</v>
      </c>
      <c r="F16" s="50">
        <f t="shared" si="1"/>
        <v>27820376.25</v>
      </c>
      <c r="G16" s="50">
        <f t="shared" si="1"/>
        <v>653201.5</v>
      </c>
      <c r="H16" s="50">
        <f t="shared" si="1"/>
        <v>0.13</v>
      </c>
      <c r="I16" s="50">
        <f t="shared" si="1"/>
        <v>971812.5</v>
      </c>
      <c r="J16" s="52">
        <v>0.2</v>
      </c>
      <c r="L16" s="58"/>
      <c r="M16" s="59"/>
      <c r="N16" s="59"/>
      <c r="O16" s="59"/>
      <c r="P16" s="59"/>
      <c r="Q16" s="60"/>
      <c r="W16" s="2"/>
    </row>
    <row r="17" spans="1:23" x14ac:dyDescent="0.25">
      <c r="A17" s="10" t="s">
        <v>35</v>
      </c>
      <c r="B17" s="49">
        <f t="shared" ref="B17:I17" si="2">MEDIAN(B5:B12)</f>
        <v>14.5</v>
      </c>
      <c r="C17" s="50">
        <f t="shared" si="2"/>
        <v>294750000</v>
      </c>
      <c r="D17" s="50">
        <f t="shared" si="2"/>
        <v>48990300</v>
      </c>
      <c r="E17" s="50">
        <f t="shared" si="2"/>
        <v>9.3000000000000007</v>
      </c>
      <c r="F17" s="50">
        <f t="shared" si="2"/>
        <v>30599541</v>
      </c>
      <c r="G17" s="50">
        <f t="shared" si="2"/>
        <v>711468.5</v>
      </c>
      <c r="H17" s="50">
        <f t="shared" si="2"/>
        <v>0.13</v>
      </c>
      <c r="I17" s="50">
        <f t="shared" si="2"/>
        <v>1058500</v>
      </c>
      <c r="J17" s="52">
        <v>0.2</v>
      </c>
      <c r="K17" s="1"/>
      <c r="L17" s="58"/>
      <c r="M17" s="59"/>
      <c r="N17" s="59"/>
      <c r="O17" s="59"/>
      <c r="P17" s="59"/>
      <c r="Q17" s="60"/>
      <c r="R17" s="1"/>
      <c r="U17" s="2"/>
    </row>
    <row r="18" spans="1:23" ht="16.5" customHeight="1" thickBot="1" x14ac:dyDescent="0.3">
      <c r="A18" t="s">
        <v>20</v>
      </c>
      <c r="B18">
        <v>0.08</v>
      </c>
      <c r="G18" s="1"/>
      <c r="K18" s="1"/>
      <c r="L18" s="61"/>
      <c r="M18" s="62"/>
      <c r="N18" s="62"/>
      <c r="O18" s="62"/>
      <c r="P18" s="62"/>
      <c r="Q18" s="63"/>
      <c r="U18" s="2"/>
    </row>
    <row r="19" spans="1:23" x14ac:dyDescent="0.25">
      <c r="A19" t="s">
        <v>21</v>
      </c>
      <c r="B19">
        <v>20</v>
      </c>
      <c r="D19">
        <f>B14*365*B20 *0.001</f>
        <v>38.872500000000002</v>
      </c>
      <c r="G19" s="1"/>
      <c r="K19" s="1"/>
      <c r="O19" s="1"/>
      <c r="R19" s="2"/>
    </row>
    <row r="20" spans="1:23" x14ac:dyDescent="0.25">
      <c r="A20" t="s">
        <v>27</v>
      </c>
      <c r="B20">
        <v>1</v>
      </c>
      <c r="D20" s="1"/>
      <c r="G20" s="1"/>
      <c r="K20" s="1"/>
      <c r="R20" s="1"/>
      <c r="U20" s="2"/>
    </row>
    <row r="21" spans="1:23" x14ac:dyDescent="0.25">
      <c r="D21" s="1"/>
      <c r="G21" s="1"/>
      <c r="K21" s="1"/>
      <c r="R21" s="1"/>
      <c r="U21" s="2"/>
    </row>
    <row r="22" spans="1:23" x14ac:dyDescent="0.25">
      <c r="A22" t="s">
        <v>22</v>
      </c>
      <c r="C22">
        <v>0</v>
      </c>
      <c r="D22">
        <f>1+C22</f>
        <v>1</v>
      </c>
      <c r="E22">
        <f t="shared" ref="E22:W22" si="3">1+D22</f>
        <v>2</v>
      </c>
      <c r="F22">
        <f t="shared" si="3"/>
        <v>3</v>
      </c>
      <c r="G22">
        <f t="shared" si="3"/>
        <v>4</v>
      </c>
      <c r="H22">
        <f t="shared" si="3"/>
        <v>5</v>
      </c>
      <c r="I22">
        <f t="shared" si="3"/>
        <v>6</v>
      </c>
      <c r="J22">
        <f t="shared" si="3"/>
        <v>7</v>
      </c>
      <c r="K22">
        <f t="shared" si="3"/>
        <v>8</v>
      </c>
      <c r="L22">
        <f t="shared" si="3"/>
        <v>9</v>
      </c>
      <c r="M22">
        <f t="shared" si="3"/>
        <v>10</v>
      </c>
      <c r="N22">
        <f t="shared" si="3"/>
        <v>11</v>
      </c>
      <c r="O22">
        <f t="shared" si="3"/>
        <v>12</v>
      </c>
      <c r="P22">
        <f t="shared" si="3"/>
        <v>13</v>
      </c>
      <c r="Q22">
        <f t="shared" si="3"/>
        <v>14</v>
      </c>
      <c r="R22">
        <f t="shared" si="3"/>
        <v>15</v>
      </c>
      <c r="S22">
        <f>1+R22</f>
        <v>16</v>
      </c>
      <c r="T22">
        <f t="shared" si="3"/>
        <v>17</v>
      </c>
      <c r="U22">
        <f t="shared" si="3"/>
        <v>18</v>
      </c>
      <c r="V22">
        <f t="shared" si="3"/>
        <v>19</v>
      </c>
      <c r="W22">
        <f t="shared" si="3"/>
        <v>20</v>
      </c>
    </row>
    <row r="23" spans="1:23" x14ac:dyDescent="0.25">
      <c r="A23" t="s">
        <v>23</v>
      </c>
      <c r="C23" s="3">
        <v>0</v>
      </c>
      <c r="D23" s="3">
        <v>0</v>
      </c>
      <c r="E23" s="3">
        <f t="shared" ref="E23:W23" si="4">$B$14*1000*365*$B$20</f>
        <v>38872500</v>
      </c>
      <c r="F23" s="3">
        <f t="shared" si="4"/>
        <v>38872500</v>
      </c>
      <c r="G23" s="3">
        <f t="shared" si="4"/>
        <v>38872500</v>
      </c>
      <c r="H23" s="3">
        <f t="shared" si="4"/>
        <v>38872500</v>
      </c>
      <c r="I23" s="3">
        <f t="shared" si="4"/>
        <v>38872500</v>
      </c>
      <c r="J23" s="3">
        <f t="shared" si="4"/>
        <v>38872500</v>
      </c>
      <c r="K23" s="3">
        <f t="shared" si="4"/>
        <v>38872500</v>
      </c>
      <c r="L23" s="3">
        <f t="shared" si="4"/>
        <v>38872500</v>
      </c>
      <c r="M23" s="3">
        <f t="shared" si="4"/>
        <v>38872500</v>
      </c>
      <c r="N23" s="3">
        <f t="shared" si="4"/>
        <v>38872500</v>
      </c>
      <c r="O23" s="3">
        <f t="shared" si="4"/>
        <v>38872500</v>
      </c>
      <c r="P23" s="3">
        <f t="shared" si="4"/>
        <v>38872500</v>
      </c>
      <c r="Q23" s="3">
        <f t="shared" si="4"/>
        <v>38872500</v>
      </c>
      <c r="R23" s="3">
        <f t="shared" si="4"/>
        <v>38872500</v>
      </c>
      <c r="S23" s="3">
        <f t="shared" si="4"/>
        <v>38872500</v>
      </c>
      <c r="T23" s="3">
        <f t="shared" si="4"/>
        <v>38872500</v>
      </c>
      <c r="U23" s="3">
        <f t="shared" si="4"/>
        <v>38872500</v>
      </c>
      <c r="V23" s="3">
        <f t="shared" si="4"/>
        <v>38872500</v>
      </c>
      <c r="W23" s="3">
        <f t="shared" si="4"/>
        <v>38872500</v>
      </c>
    </row>
    <row r="24" spans="1:23" x14ac:dyDescent="0.25">
      <c r="A24" t="s">
        <v>10</v>
      </c>
      <c r="C24" s="1">
        <f>C14</f>
        <v>2142500000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row>
    <row r="25" spans="1:23" x14ac:dyDescent="0.25">
      <c r="A25" t="s">
        <v>28</v>
      </c>
      <c r="C25" s="1">
        <f>F14</f>
        <v>222563010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row>
    <row r="26" spans="1:23" x14ac:dyDescent="0.25">
      <c r="A26" t="s">
        <v>1764</v>
      </c>
      <c r="C26" s="1">
        <v>0</v>
      </c>
      <c r="D26" s="1">
        <v>0</v>
      </c>
      <c r="E26" s="1">
        <f>$D$14</f>
        <v>365677075</v>
      </c>
      <c r="F26" s="1">
        <f t="shared" ref="F26:W26" si="5">$D$14</f>
        <v>365677075</v>
      </c>
      <c r="G26" s="1">
        <f t="shared" si="5"/>
        <v>365677075</v>
      </c>
      <c r="H26" s="1">
        <f t="shared" si="5"/>
        <v>365677075</v>
      </c>
      <c r="I26" s="1">
        <f t="shared" si="5"/>
        <v>365677075</v>
      </c>
      <c r="J26" s="1">
        <f t="shared" si="5"/>
        <v>365677075</v>
      </c>
      <c r="K26" s="1">
        <f t="shared" si="5"/>
        <v>365677075</v>
      </c>
      <c r="L26" s="1">
        <f t="shared" si="5"/>
        <v>365677075</v>
      </c>
      <c r="M26" s="1">
        <f t="shared" si="5"/>
        <v>365677075</v>
      </c>
      <c r="N26" s="1">
        <f t="shared" si="5"/>
        <v>365677075</v>
      </c>
      <c r="O26" s="1">
        <f t="shared" si="5"/>
        <v>365677075</v>
      </c>
      <c r="P26" s="1">
        <f t="shared" si="5"/>
        <v>365677075</v>
      </c>
      <c r="Q26" s="1">
        <f t="shared" si="5"/>
        <v>365677075</v>
      </c>
      <c r="R26" s="1">
        <f t="shared" si="5"/>
        <v>365677075</v>
      </c>
      <c r="S26" s="1">
        <f t="shared" si="5"/>
        <v>365677075</v>
      </c>
      <c r="T26" s="1">
        <f t="shared" si="5"/>
        <v>365677075</v>
      </c>
      <c r="U26" s="1">
        <f t="shared" si="5"/>
        <v>365677075</v>
      </c>
      <c r="V26" s="1">
        <f t="shared" si="5"/>
        <v>365677075</v>
      </c>
      <c r="W26" s="1">
        <f t="shared" si="5"/>
        <v>365677075</v>
      </c>
    </row>
    <row r="27" spans="1:23" x14ac:dyDescent="0.25">
      <c r="A27" t="s">
        <v>1765</v>
      </c>
      <c r="C27" s="1">
        <v>0</v>
      </c>
      <c r="D27" s="1">
        <v>0</v>
      </c>
      <c r="E27" s="1">
        <f>$G$14</f>
        <v>5225612</v>
      </c>
      <c r="F27" s="1">
        <f t="shared" ref="F27:W27" si="6">$G$14</f>
        <v>5225612</v>
      </c>
      <c r="G27" s="1">
        <f t="shared" si="6"/>
        <v>5225612</v>
      </c>
      <c r="H27" s="1">
        <f t="shared" si="6"/>
        <v>5225612</v>
      </c>
      <c r="I27" s="1">
        <f t="shared" si="6"/>
        <v>5225612</v>
      </c>
      <c r="J27" s="1">
        <f t="shared" si="6"/>
        <v>5225612</v>
      </c>
      <c r="K27" s="1">
        <f t="shared" si="6"/>
        <v>5225612</v>
      </c>
      <c r="L27" s="1">
        <f t="shared" si="6"/>
        <v>5225612</v>
      </c>
      <c r="M27" s="1">
        <f t="shared" si="6"/>
        <v>5225612</v>
      </c>
      <c r="N27" s="1">
        <f t="shared" si="6"/>
        <v>5225612</v>
      </c>
      <c r="O27" s="1">
        <f t="shared" si="6"/>
        <v>5225612</v>
      </c>
      <c r="P27" s="1">
        <f t="shared" si="6"/>
        <v>5225612</v>
      </c>
      <c r="Q27" s="1">
        <f t="shared" si="6"/>
        <v>5225612</v>
      </c>
      <c r="R27" s="1">
        <f t="shared" si="6"/>
        <v>5225612</v>
      </c>
      <c r="S27" s="1">
        <f t="shared" si="6"/>
        <v>5225612</v>
      </c>
      <c r="T27" s="1">
        <f t="shared" si="6"/>
        <v>5225612</v>
      </c>
      <c r="U27" s="1">
        <f t="shared" si="6"/>
        <v>5225612</v>
      </c>
      <c r="V27" s="1">
        <f t="shared" si="6"/>
        <v>5225612</v>
      </c>
      <c r="W27" s="1">
        <f t="shared" si="6"/>
        <v>5225612</v>
      </c>
    </row>
    <row r="29" spans="1:23" x14ac:dyDescent="0.25">
      <c r="A29" t="s">
        <v>30</v>
      </c>
      <c r="C29">
        <f t="shared" ref="C29:W30" si="7">C23/(1+$B$18)^C$22</f>
        <v>0</v>
      </c>
      <c r="D29">
        <f t="shared" si="7"/>
        <v>0</v>
      </c>
      <c r="E29">
        <f t="shared" si="7"/>
        <v>33326903.292181067</v>
      </c>
      <c r="F29">
        <f t="shared" si="7"/>
        <v>30858243.789056543</v>
      </c>
      <c r="G29">
        <f t="shared" si="7"/>
        <v>28572447.952830128</v>
      </c>
      <c r="H29">
        <f t="shared" si="7"/>
        <v>26455970.326694563</v>
      </c>
      <c r="I29">
        <f t="shared" si="7"/>
        <v>24496268.82101348</v>
      </c>
      <c r="J29">
        <f t="shared" si="7"/>
        <v>22681730.389827296</v>
      </c>
      <c r="K29">
        <f t="shared" si="7"/>
        <v>21001602.212803055</v>
      </c>
      <c r="L29">
        <f t="shared" si="7"/>
        <v>19445927.974817641</v>
      </c>
      <c r="M29">
        <f t="shared" si="7"/>
        <v>18005488.86557189</v>
      </c>
      <c r="N29">
        <f t="shared" si="7"/>
        <v>16671748.9496036</v>
      </c>
      <c r="O29">
        <f t="shared" si="7"/>
        <v>15436804.582966296</v>
      </c>
      <c r="P29">
        <f t="shared" si="7"/>
        <v>14293337.576820644</v>
      </c>
      <c r="Q29">
        <f t="shared" si="7"/>
        <v>13234571.830389483</v>
      </c>
      <c r="R29">
        <f t="shared" si="7"/>
        <v>12254233.176286558</v>
      </c>
      <c r="S29">
        <f t="shared" si="7"/>
        <v>11346512.200265331</v>
      </c>
      <c r="T29">
        <f t="shared" si="7"/>
        <v>10506029.815060491</v>
      </c>
      <c r="U29">
        <f t="shared" si="7"/>
        <v>9727805.3843152691</v>
      </c>
      <c r="V29">
        <f t="shared" si="7"/>
        <v>9007227.2076993231</v>
      </c>
      <c r="W29">
        <f t="shared" si="7"/>
        <v>8340025.192314188</v>
      </c>
    </row>
    <row r="30" spans="1:23" x14ac:dyDescent="0.25">
      <c r="A30" t="s">
        <v>29</v>
      </c>
      <c r="B30" s="4">
        <f>SUM(C30:W30)/SUM($C$29:$W$29)</f>
        <v>6.1982356996157195</v>
      </c>
      <c r="C30">
        <f t="shared" si="7"/>
        <v>2142500000</v>
      </c>
      <c r="D30">
        <f t="shared" si="7"/>
        <v>0</v>
      </c>
      <c r="E30">
        <f t="shared" si="7"/>
        <v>0</v>
      </c>
      <c r="F30">
        <f t="shared" si="7"/>
        <v>0</v>
      </c>
      <c r="G30">
        <f t="shared" si="7"/>
        <v>0</v>
      </c>
      <c r="H30">
        <f t="shared" si="7"/>
        <v>0</v>
      </c>
      <c r="I30">
        <f t="shared" si="7"/>
        <v>0</v>
      </c>
      <c r="J30">
        <f t="shared" si="7"/>
        <v>0</v>
      </c>
      <c r="K30">
        <f t="shared" si="7"/>
        <v>0</v>
      </c>
      <c r="L30">
        <f t="shared" si="7"/>
        <v>0</v>
      </c>
      <c r="M30">
        <f t="shared" si="7"/>
        <v>0</v>
      </c>
      <c r="N30">
        <f t="shared" si="7"/>
        <v>0</v>
      </c>
      <c r="O30">
        <f t="shared" si="7"/>
        <v>0</v>
      </c>
      <c r="P30">
        <f t="shared" si="7"/>
        <v>0</v>
      </c>
      <c r="Q30">
        <f t="shared" si="7"/>
        <v>0</v>
      </c>
      <c r="R30">
        <f t="shared" si="7"/>
        <v>0</v>
      </c>
      <c r="S30">
        <f t="shared" si="7"/>
        <v>0</v>
      </c>
      <c r="T30">
        <f t="shared" si="7"/>
        <v>0</v>
      </c>
      <c r="U30">
        <f t="shared" si="7"/>
        <v>0</v>
      </c>
      <c r="V30">
        <f t="shared" si="7"/>
        <v>0</v>
      </c>
      <c r="W30">
        <f t="shared" si="7"/>
        <v>0</v>
      </c>
    </row>
    <row r="31" spans="1:23" x14ac:dyDescent="0.25">
      <c r="A31" t="s">
        <v>32</v>
      </c>
      <c r="B31" s="4">
        <f>SUM(C31:W31)/SUM($C$29:$W$29)</f>
        <v>9.407089201877934</v>
      </c>
      <c r="C31">
        <f t="shared" ref="C31:W31" si="8">C26/(1+$B$18)^C$22</f>
        <v>0</v>
      </c>
      <c r="D31">
        <f t="shared" si="8"/>
        <v>0</v>
      </c>
      <c r="E31">
        <f t="shared" si="8"/>
        <v>313509152.09190667</v>
      </c>
      <c r="F31">
        <f t="shared" si="8"/>
        <v>290286251.93695062</v>
      </c>
      <c r="G31">
        <f t="shared" si="8"/>
        <v>268783566.60828757</v>
      </c>
      <c r="H31">
        <f t="shared" si="8"/>
        <v>248873672.78545147</v>
      </c>
      <c r="I31">
        <f t="shared" si="8"/>
        <v>230438585.91245505</v>
      </c>
      <c r="J31">
        <f t="shared" si="8"/>
        <v>213369061.03005096</v>
      </c>
      <c r="K31">
        <f t="shared" si="8"/>
        <v>197563945.39819533</v>
      </c>
      <c r="L31">
        <f t="shared" si="8"/>
        <v>182929579.07240307</v>
      </c>
      <c r="M31">
        <f t="shared" si="8"/>
        <v>169379239.88185468</v>
      </c>
      <c r="N31">
        <f t="shared" si="8"/>
        <v>156832629.52023584</v>
      </c>
      <c r="O31">
        <f t="shared" si="8"/>
        <v>145215397.70392203</v>
      </c>
      <c r="P31">
        <f t="shared" si="8"/>
        <v>134458701.57770559</v>
      </c>
      <c r="Q31">
        <f t="shared" si="8"/>
        <v>124498797.7571348</v>
      </c>
      <c r="R31">
        <f t="shared" si="8"/>
        <v>115276664.58993961</v>
      </c>
      <c r="S31">
        <f t="shared" si="8"/>
        <v>106737652.39809224</v>
      </c>
      <c r="T31">
        <f t="shared" si="8"/>
        <v>98831159.627863184</v>
      </c>
      <c r="U31">
        <f t="shared" si="8"/>
        <v>91510332.9887622</v>
      </c>
      <c r="V31">
        <f t="shared" si="8"/>
        <v>84731789.804409429</v>
      </c>
      <c r="W31">
        <f t="shared" si="8"/>
        <v>78455360.930008739</v>
      </c>
    </row>
    <row r="32" spans="1:23" x14ac:dyDescent="0.25">
      <c r="A32" t="s">
        <v>31</v>
      </c>
      <c r="B32" s="4">
        <f>SUM(C32:W32)/SUM($C$29:$W$29)</f>
        <v>0.64387304270521839</v>
      </c>
      <c r="C32">
        <f t="shared" ref="C32:W32" si="9">C25/(1+$B$18)^C$22</f>
        <v>222563010</v>
      </c>
      <c r="D32">
        <f t="shared" si="9"/>
        <v>0</v>
      </c>
      <c r="E32">
        <f t="shared" si="9"/>
        <v>0</v>
      </c>
      <c r="F32">
        <f t="shared" si="9"/>
        <v>0</v>
      </c>
      <c r="G32">
        <f t="shared" si="9"/>
        <v>0</v>
      </c>
      <c r="H32">
        <f t="shared" si="9"/>
        <v>0</v>
      </c>
      <c r="I32">
        <f t="shared" si="9"/>
        <v>0</v>
      </c>
      <c r="J32">
        <f t="shared" si="9"/>
        <v>0</v>
      </c>
      <c r="K32">
        <f t="shared" si="9"/>
        <v>0</v>
      </c>
      <c r="L32">
        <f t="shared" si="9"/>
        <v>0</v>
      </c>
      <c r="M32">
        <f t="shared" si="9"/>
        <v>0</v>
      </c>
      <c r="N32">
        <f t="shared" si="9"/>
        <v>0</v>
      </c>
      <c r="O32">
        <f t="shared" si="9"/>
        <v>0</v>
      </c>
      <c r="P32">
        <f t="shared" si="9"/>
        <v>0</v>
      </c>
      <c r="Q32">
        <f t="shared" si="9"/>
        <v>0</v>
      </c>
      <c r="R32">
        <f t="shared" si="9"/>
        <v>0</v>
      </c>
      <c r="S32">
        <f t="shared" si="9"/>
        <v>0</v>
      </c>
      <c r="T32">
        <f t="shared" si="9"/>
        <v>0</v>
      </c>
      <c r="U32">
        <f t="shared" si="9"/>
        <v>0</v>
      </c>
      <c r="V32">
        <f t="shared" si="9"/>
        <v>0</v>
      </c>
      <c r="W32">
        <f t="shared" si="9"/>
        <v>0</v>
      </c>
    </row>
    <row r="33" spans="1:23" ht="15.75" thickBot="1" x14ac:dyDescent="0.3">
      <c r="A33" t="s">
        <v>33</v>
      </c>
      <c r="B33" s="4">
        <f>SUM(C33:W33)/SUM($C$29:$W$29)</f>
        <v>0.13442953244581643</v>
      </c>
      <c r="C33">
        <f t="shared" ref="C33:W33" si="10">C27/(1+$B$18)^C$22</f>
        <v>0</v>
      </c>
      <c r="D33">
        <f t="shared" si="10"/>
        <v>0</v>
      </c>
      <c r="E33">
        <f t="shared" si="10"/>
        <v>4480120.0274348417</v>
      </c>
      <c r="F33">
        <f t="shared" si="10"/>
        <v>4148259.2846618905</v>
      </c>
      <c r="G33">
        <f t="shared" si="10"/>
        <v>3840980.8191313795</v>
      </c>
      <c r="H33">
        <f t="shared" si="10"/>
        <v>3556463.7214179439</v>
      </c>
      <c r="I33">
        <f t="shared" si="10"/>
        <v>3293021.9642758737</v>
      </c>
      <c r="J33">
        <f t="shared" si="10"/>
        <v>3049094.4113665498</v>
      </c>
      <c r="K33">
        <f t="shared" si="10"/>
        <v>2823235.5660801386</v>
      </c>
      <c r="L33">
        <f t="shared" si="10"/>
        <v>2614107.0056297579</v>
      </c>
      <c r="M33">
        <f t="shared" si="10"/>
        <v>2420469.4496571831</v>
      </c>
      <c r="N33">
        <f t="shared" si="10"/>
        <v>2241175.4163492434</v>
      </c>
      <c r="O33">
        <f t="shared" si="10"/>
        <v>2075162.4225455958</v>
      </c>
      <c r="P33">
        <f t="shared" si="10"/>
        <v>1921446.6875422182</v>
      </c>
      <c r="Q33">
        <f t="shared" si="10"/>
        <v>1779117.3032798313</v>
      </c>
      <c r="R33">
        <f t="shared" si="10"/>
        <v>1647330.8363702141</v>
      </c>
      <c r="S33">
        <f t="shared" si="10"/>
        <v>1525306.3299724206</v>
      </c>
      <c r="T33">
        <f t="shared" si="10"/>
        <v>1412320.6759003894</v>
      </c>
      <c r="U33">
        <f t="shared" si="10"/>
        <v>1307704.3295373975</v>
      </c>
      <c r="V33">
        <f t="shared" si="10"/>
        <v>1210837.3421642568</v>
      </c>
      <c r="W33">
        <f t="shared" si="10"/>
        <v>1121145.6871891266</v>
      </c>
    </row>
    <row r="34" spans="1:23" ht="15.75" thickBot="1" x14ac:dyDescent="0.3">
      <c r="A34" s="72" t="s">
        <v>235</v>
      </c>
      <c r="B34" s="73">
        <f>SUM(B30:B33)</f>
        <v>16.383627476644691</v>
      </c>
      <c r="C34" s="74" t="s">
        <v>220</v>
      </c>
    </row>
    <row r="36" spans="1:23" x14ac:dyDescent="0.25">
      <c r="B36">
        <f>B14*0.365*B20</f>
        <v>38.872500000000002</v>
      </c>
      <c r="C36" s="2">
        <f>C14/B36 *0.000001</f>
        <v>55.116084635667882</v>
      </c>
      <c r="D36" t="s">
        <v>163</v>
      </c>
      <c r="E36" t="s">
        <v>164</v>
      </c>
    </row>
    <row r="37" spans="1:23" x14ac:dyDescent="0.25">
      <c r="C37" s="2"/>
    </row>
    <row r="38" spans="1:23" x14ac:dyDescent="0.25">
      <c r="C38" s="2"/>
    </row>
    <row r="40" spans="1:23" x14ac:dyDescent="0.25">
      <c r="B40" t="s">
        <v>209</v>
      </c>
      <c r="C40" t="s">
        <v>213</v>
      </c>
      <c r="D40" t="s">
        <v>214</v>
      </c>
      <c r="E40" t="s">
        <v>217</v>
      </c>
    </row>
    <row r="41" spans="1:23" x14ac:dyDescent="0.25">
      <c r="A41" t="s">
        <v>222</v>
      </c>
      <c r="B41">
        <v>6635.5</v>
      </c>
    </row>
    <row r="42" spans="1:23" x14ac:dyDescent="0.25">
      <c r="A42" t="s">
        <v>206</v>
      </c>
      <c r="B42">
        <v>20000</v>
      </c>
      <c r="C42">
        <f>A51/B42</f>
        <v>0.34</v>
      </c>
      <c r="D42">
        <f>C42</f>
        <v>0.34</v>
      </c>
      <c r="E42">
        <f>C42*A53*1000000000</f>
        <v>6.8000000000000007</v>
      </c>
    </row>
    <row r="43" spans="1:23" x14ac:dyDescent="0.25">
      <c r="A43" t="s">
        <v>207</v>
      </c>
      <c r="B43">
        <v>9271.4</v>
      </c>
    </row>
    <row r="44" spans="1:23" x14ac:dyDescent="0.25">
      <c r="A44" t="s">
        <v>208</v>
      </c>
      <c r="B44">
        <v>7965.3</v>
      </c>
      <c r="D44">
        <v>0.46</v>
      </c>
    </row>
    <row r="45" spans="1:23" x14ac:dyDescent="0.25">
      <c r="A45" t="s">
        <v>210</v>
      </c>
      <c r="B45">
        <v>4356.3</v>
      </c>
    </row>
    <row r="47" spans="1:23" x14ac:dyDescent="0.25">
      <c r="A47" t="s">
        <v>1772</v>
      </c>
    </row>
    <row r="48" spans="1:23" x14ac:dyDescent="0.25">
      <c r="A48">
        <v>100</v>
      </c>
      <c r="B48" t="s">
        <v>211</v>
      </c>
    </row>
    <row r="49" spans="1:9" x14ac:dyDescent="0.25">
      <c r="A49">
        <v>53</v>
      </c>
      <c r="B49" t="s">
        <v>160</v>
      </c>
      <c r="C49">
        <f>280*15</f>
        <v>4200</v>
      </c>
      <c r="F49" t="s">
        <v>214</v>
      </c>
      <c r="G49">
        <v>0.29765000000000003</v>
      </c>
      <c r="H49">
        <v>0.39500000000000002</v>
      </c>
      <c r="I49">
        <v>0.46</v>
      </c>
    </row>
    <row r="50" spans="1:9" x14ac:dyDescent="0.25">
      <c r="A50">
        <v>1500</v>
      </c>
      <c r="B50" t="s">
        <v>236</v>
      </c>
      <c r="C50" s="75">
        <f>A50/A51</f>
        <v>0.22058823529411764</v>
      </c>
      <c r="F50" t="s">
        <v>402</v>
      </c>
      <c r="G50">
        <f>G49/D42</f>
        <v>0.87544117647058828</v>
      </c>
      <c r="H50">
        <f>H49/D42</f>
        <v>1.1617647058823528</v>
      </c>
      <c r="I50">
        <f>I49/D42</f>
        <v>1.3529411764705881</v>
      </c>
    </row>
    <row r="51" spans="1:9" x14ac:dyDescent="0.25">
      <c r="A51">
        <f>A49*A48+A50</f>
        <v>6800</v>
      </c>
      <c r="B51" t="s">
        <v>212</v>
      </c>
      <c r="C51">
        <f>A51/C49</f>
        <v>1.6190476190476191</v>
      </c>
      <c r="D51">
        <f>C51*14</f>
        <v>22.666666666666668</v>
      </c>
    </row>
    <row r="52" spans="1:9" x14ac:dyDescent="0.25">
      <c r="A52">
        <v>20</v>
      </c>
      <c r="B52" t="s">
        <v>1769</v>
      </c>
      <c r="G52">
        <f>653/A50</f>
        <v>0.43533333333333335</v>
      </c>
      <c r="H52">
        <v>2</v>
      </c>
      <c r="I52">
        <v>3</v>
      </c>
    </row>
    <row r="53" spans="1:9" x14ac:dyDescent="0.25">
      <c r="A53">
        <f>A52*0.000000001</f>
        <v>2E-8</v>
      </c>
      <c r="B53" t="s">
        <v>216</v>
      </c>
      <c r="C53">
        <f>B34*C42</f>
        <v>5.5704333420591956</v>
      </c>
      <c r="G53" s="3">
        <f>(G50-1)/G52</f>
        <v>-0.28612287181335005</v>
      </c>
      <c r="H53" s="3">
        <f>(H50-1)/H52</f>
        <v>8.0882352941176405E-2</v>
      </c>
      <c r="I53" s="3">
        <f>(I50-1)/I52</f>
        <v>0.11764705882352937</v>
      </c>
    </row>
    <row r="57" spans="1:9" x14ac:dyDescent="0.25">
      <c r="A57">
        <f>'CPI_1960-2013'!$AM$2</f>
        <v>0.89200000000000002</v>
      </c>
      <c r="B57" s="5" t="s">
        <v>1766</v>
      </c>
    </row>
    <row r="58" spans="1:9" x14ac:dyDescent="0.25">
      <c r="A58" s="3">
        <f>-PMT(0.08,35,1)</f>
        <v>8.5803264560679812E-2</v>
      </c>
      <c r="B58" s="5" t="s">
        <v>1739</v>
      </c>
    </row>
    <row r="59" spans="1:9" x14ac:dyDescent="0.25">
      <c r="A59" s="399">
        <f>(0.000001/A49)*(A58*(C24+C25)+$D$14+$G$14) * A57</f>
        <v>9.6577145324818741</v>
      </c>
      <c r="B59" s="5" t="s">
        <v>1767</v>
      </c>
      <c r="C59" s="687"/>
      <c r="D59" s="2"/>
    </row>
    <row r="60" spans="1:9" x14ac:dyDescent="0.25">
      <c r="A60">
        <f>A59*C42</f>
        <v>3.2836229410438373</v>
      </c>
      <c r="B60" s="5" t="s">
        <v>1768</v>
      </c>
    </row>
    <row r="61" spans="1:9" x14ac:dyDescent="0.25">
      <c r="A61" s="401">
        <f>A60/A52</f>
        <v>0.16418114705219186</v>
      </c>
      <c r="B61" s="5" t="s">
        <v>1774</v>
      </c>
    </row>
    <row r="62" spans="1:9" x14ac:dyDescent="0.25">
      <c r="A62">
        <f>'TDS  vs Capex'!$F$71</f>
        <v>1.0800000000000001E-2</v>
      </c>
      <c r="B62" s="5" t="s">
        <v>1773</v>
      </c>
    </row>
    <row r="63" spans="1:9" x14ac:dyDescent="0.25">
      <c r="A63">
        <f>A51/(B42*A52)</f>
        <v>1.7000000000000001E-2</v>
      </c>
      <c r="B63" s="5" t="s">
        <v>1770</v>
      </c>
    </row>
    <row r="64" spans="1:9" x14ac:dyDescent="0.25">
      <c r="A64">
        <f>A63*A52*1000</f>
        <v>340</v>
      </c>
      <c r="B64" s="5" t="s">
        <v>1771</v>
      </c>
    </row>
    <row r="65" spans="1:4" x14ac:dyDescent="0.25">
      <c r="A65" s="688">
        <f>A62*A63</f>
        <v>1.8360000000000002E-4</v>
      </c>
      <c r="B65" s="5" t="s">
        <v>1778</v>
      </c>
      <c r="C65">
        <v>2.5000000000000001E-3</v>
      </c>
      <c r="D65" s="75"/>
    </row>
    <row r="66" spans="1:4" x14ac:dyDescent="0.25">
      <c r="A66" s="689">
        <f>C65+A65</f>
        <v>2.6836E-3</v>
      </c>
      <c r="B66" s="5" t="s">
        <v>1777</v>
      </c>
    </row>
    <row r="67" spans="1:4" x14ac:dyDescent="0.25">
      <c r="A67" s="5" t="s">
        <v>224</v>
      </c>
      <c r="B67" s="5"/>
    </row>
    <row r="68" spans="1:4" x14ac:dyDescent="0.25">
      <c r="A68" s="5" t="s">
        <v>225</v>
      </c>
      <c r="B68" s="76">
        <f>A51*B34*1000000</f>
        <v>111408666841.18388</v>
      </c>
      <c r="D68" s="71">
        <f>B68/100</f>
        <v>1114086668.4118388</v>
      </c>
    </row>
    <row r="69" spans="1:4" x14ac:dyDescent="0.25">
      <c r="A69" s="5" t="s">
        <v>226</v>
      </c>
      <c r="B69" s="76">
        <v>14358974359</v>
      </c>
      <c r="C69">
        <v>280000000</v>
      </c>
      <c r="D69">
        <f>B69/C69</f>
        <v>51.282051282142859</v>
      </c>
    </row>
    <row r="73" spans="1:4" x14ac:dyDescent="0.25">
      <c r="A73" t="s">
        <v>227</v>
      </c>
    </row>
    <row r="74" spans="1:4" x14ac:dyDescent="0.25">
      <c r="B74">
        <f>1/C42*C74</f>
        <v>10588235.294117646</v>
      </c>
      <c r="C74">
        <f>3.6*1000000</f>
        <v>3600000</v>
      </c>
    </row>
    <row r="75" spans="1:4" x14ac:dyDescent="0.25">
      <c r="B75">
        <f>B74/(A52*1000000)</f>
        <v>0.52941176470588236</v>
      </c>
      <c r="C75" t="s">
        <v>219</v>
      </c>
    </row>
    <row r="76" spans="1:4" x14ac:dyDescent="0.25">
      <c r="B76">
        <f>B75*D42</f>
        <v>0.18000000000000002</v>
      </c>
      <c r="C76" t="s">
        <v>218</v>
      </c>
    </row>
    <row r="77" spans="1:4" x14ac:dyDescent="0.25">
      <c r="B77" s="5">
        <f>B76*B34*0.001</f>
        <v>2.9490529457960445E-3</v>
      </c>
      <c r="C77" s="5" t="s">
        <v>223</v>
      </c>
    </row>
    <row r="78" spans="1:4" x14ac:dyDescent="0.25">
      <c r="B78" s="5">
        <f>C42*B34</f>
        <v>5.5704333420591956</v>
      </c>
      <c r="C78" s="5" t="s">
        <v>221</v>
      </c>
    </row>
    <row r="83" spans="1:9" x14ac:dyDescent="0.25">
      <c r="A83" s="5"/>
    </row>
    <row r="85" spans="1:9" x14ac:dyDescent="0.25">
      <c r="A85" s="5"/>
    </row>
    <row r="89" spans="1:9" x14ac:dyDescent="0.25">
      <c r="C89" s="1"/>
      <c r="D89" s="1"/>
      <c r="F89" s="1"/>
      <c r="G89" s="1"/>
      <c r="I89" s="1"/>
    </row>
    <row r="90" spans="1:9" x14ac:dyDescent="0.25">
      <c r="C90" s="1"/>
      <c r="D90" s="1"/>
      <c r="F90" s="1"/>
      <c r="G90" s="1"/>
      <c r="I90" s="1"/>
    </row>
    <row r="91" spans="1:9" x14ac:dyDescent="0.25">
      <c r="C91" s="1"/>
      <c r="D91" s="1"/>
      <c r="F91" s="1"/>
      <c r="G91" s="1"/>
      <c r="I91" s="1"/>
    </row>
    <row r="92" spans="1:9" x14ac:dyDescent="0.25">
      <c r="C92" s="1"/>
      <c r="D92" s="1"/>
      <c r="F92" s="1"/>
      <c r="G92" s="1"/>
      <c r="I92" s="1"/>
    </row>
    <row r="93" spans="1:9" x14ac:dyDescent="0.25">
      <c r="C93" s="1"/>
      <c r="D93" s="1"/>
      <c r="F93" s="1"/>
      <c r="G93" s="1"/>
      <c r="I93" s="1"/>
    </row>
    <row r="94" spans="1:9" x14ac:dyDescent="0.25">
      <c r="C94" s="1"/>
      <c r="D94" s="1"/>
      <c r="F94" s="1"/>
      <c r="G94" s="1"/>
      <c r="I94" s="1"/>
    </row>
    <row r="95" spans="1:9" x14ac:dyDescent="0.25">
      <c r="C95" s="1"/>
      <c r="D95" s="1"/>
      <c r="F95" s="1"/>
      <c r="G95" s="1"/>
      <c r="I95" s="1"/>
    </row>
    <row r="96" spans="1:9" x14ac:dyDescent="0.25">
      <c r="C96" s="1"/>
      <c r="D96" s="1"/>
      <c r="F96" s="1"/>
      <c r="G96" s="1"/>
      <c r="I96" s="1"/>
    </row>
    <row r="98" spans="3:10" x14ac:dyDescent="0.25">
      <c r="C98" s="1"/>
      <c r="D98" s="1"/>
      <c r="E98" s="1"/>
      <c r="F98" s="1"/>
      <c r="G98" s="1"/>
      <c r="H98" s="1"/>
      <c r="I98" s="1"/>
      <c r="J98" s="1"/>
    </row>
    <row r="99" spans="3:10" x14ac:dyDescent="0.25">
      <c r="G99" s="2"/>
    </row>
    <row r="100" spans="3:10" x14ac:dyDescent="0.25">
      <c r="E100" s="747"/>
      <c r="F100" s="747"/>
      <c r="G100" s="2"/>
    </row>
    <row r="101" spans="3:10" x14ac:dyDescent="0.25">
      <c r="C101" s="1"/>
      <c r="D101" s="1"/>
    </row>
  </sheetData>
  <mergeCells count="1">
    <mergeCell ref="E100:F10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2"/>
  <sheetViews>
    <sheetView workbookViewId="0">
      <selection activeCell="I23" sqref="I23"/>
    </sheetView>
  </sheetViews>
  <sheetFormatPr defaultRowHeight="15" x14ac:dyDescent="0.25"/>
  <cols>
    <col min="1" max="1" width="27.42578125" customWidth="1"/>
  </cols>
  <sheetData>
    <row r="1" spans="1:1" x14ac:dyDescent="0.25">
      <c r="A1" t="s">
        <v>738</v>
      </c>
    </row>
    <row r="2" spans="1:1" x14ac:dyDescent="0.25">
      <c r="A2" t="s">
        <v>737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P87"/>
  <sheetViews>
    <sheetView topLeftCell="A67" workbookViewId="0">
      <selection activeCell="F82" sqref="F82"/>
    </sheetView>
  </sheetViews>
  <sheetFormatPr defaultRowHeight="15" x14ac:dyDescent="0.25"/>
  <cols>
    <col min="1" max="1" width="17.28515625" customWidth="1"/>
    <col min="4" max="4" width="17.7109375" customWidth="1"/>
    <col min="5" max="5" width="13.42578125" customWidth="1"/>
    <col min="6" max="6" width="12.140625" customWidth="1"/>
  </cols>
  <sheetData>
    <row r="1" spans="1:3" s="54" customFormat="1" x14ac:dyDescent="0.25">
      <c r="A1" s="54" t="s">
        <v>36</v>
      </c>
      <c r="C1" s="54" t="s">
        <v>37</v>
      </c>
    </row>
    <row r="3" spans="1:3" x14ac:dyDescent="0.25">
      <c r="B3">
        <v>2009</v>
      </c>
      <c r="C3">
        <v>2010</v>
      </c>
    </row>
    <row r="4" spans="1:3" x14ac:dyDescent="0.25">
      <c r="B4" t="s">
        <v>491</v>
      </c>
    </row>
    <row r="5" spans="1:3" x14ac:dyDescent="0.25">
      <c r="A5" t="s">
        <v>493</v>
      </c>
      <c r="B5">
        <v>63.6</v>
      </c>
      <c r="C5">
        <f>B5*$C$9</f>
        <v>65.813457076566266</v>
      </c>
    </row>
    <row r="6" spans="1:3" x14ac:dyDescent="0.25">
      <c r="A6" t="s">
        <v>94</v>
      </c>
      <c r="B6">
        <f>44*365/1000</f>
        <v>16.059999999999999</v>
      </c>
    </row>
    <row r="7" spans="1:3" x14ac:dyDescent="0.25">
      <c r="A7" t="s">
        <v>492</v>
      </c>
      <c r="B7">
        <f>B5/B6</f>
        <v>3.9601494396014947</v>
      </c>
      <c r="C7">
        <f t="shared" ref="C7:C8" si="0">B7*$C$9</f>
        <v>4.0979736660377508</v>
      </c>
    </row>
    <row r="8" spans="1:3" x14ac:dyDescent="0.25">
      <c r="A8" t="s">
        <v>494</v>
      </c>
      <c r="B8">
        <f>B7*0.03</f>
        <v>0.11880448318804483</v>
      </c>
      <c r="C8">
        <f t="shared" si="0"/>
        <v>0.1229392099811325</v>
      </c>
    </row>
    <row r="9" spans="1:3" x14ac:dyDescent="0.25">
      <c r="C9" s="104">
        <v>1.0348027842227401</v>
      </c>
    </row>
    <row r="10" spans="1:3" x14ac:dyDescent="0.25">
      <c r="A10" t="s">
        <v>943</v>
      </c>
      <c r="B10">
        <v>0.98</v>
      </c>
    </row>
    <row r="26" spans="6:16" x14ac:dyDescent="0.25">
      <c r="J26" t="s">
        <v>50</v>
      </c>
      <c r="N26" t="s">
        <v>51</v>
      </c>
    </row>
    <row r="27" spans="6:16" x14ac:dyDescent="0.25">
      <c r="J27" t="s">
        <v>44</v>
      </c>
      <c r="N27" t="s">
        <v>44</v>
      </c>
    </row>
    <row r="28" spans="6:16" x14ac:dyDescent="0.25">
      <c r="F28" t="s">
        <v>42</v>
      </c>
      <c r="I28" t="s">
        <v>43</v>
      </c>
      <c r="J28">
        <v>1</v>
      </c>
      <c r="K28">
        <v>2</v>
      </c>
      <c r="L28">
        <v>3</v>
      </c>
      <c r="M28" t="s">
        <v>43</v>
      </c>
      <c r="N28">
        <v>1</v>
      </c>
      <c r="O28">
        <v>2</v>
      </c>
      <c r="P28">
        <v>3</v>
      </c>
    </row>
    <row r="29" spans="6:16" x14ac:dyDescent="0.25">
      <c r="J29" s="2">
        <v>18.3</v>
      </c>
      <c r="K29" s="2">
        <v>40</v>
      </c>
      <c r="L29" s="2">
        <v>58.3</v>
      </c>
    </row>
    <row r="30" spans="6:16" x14ac:dyDescent="0.25">
      <c r="F30" t="s">
        <v>38</v>
      </c>
      <c r="G30" t="s">
        <v>39</v>
      </c>
    </row>
    <row r="31" spans="6:16" x14ac:dyDescent="0.25">
      <c r="F31" t="s">
        <v>38</v>
      </c>
      <c r="G31" t="s">
        <v>40</v>
      </c>
      <c r="H31" t="s">
        <v>41</v>
      </c>
      <c r="I31">
        <v>167</v>
      </c>
      <c r="J31">
        <v>208</v>
      </c>
      <c r="K31">
        <v>294</v>
      </c>
      <c r="L31">
        <v>450</v>
      </c>
      <c r="M31">
        <v>178</v>
      </c>
      <c r="N31">
        <v>214</v>
      </c>
      <c r="O31">
        <v>249</v>
      </c>
      <c r="P31">
        <v>285</v>
      </c>
    </row>
    <row r="32" spans="6:16" x14ac:dyDescent="0.25">
      <c r="I32">
        <f>I31/$I$31</f>
        <v>1</v>
      </c>
      <c r="J32">
        <f>J31/$I$31</f>
        <v>1.2455089820359282</v>
      </c>
      <c r="K32">
        <f t="shared" ref="K32:L32" si="1">K31/$I$31</f>
        <v>1.7604790419161678</v>
      </c>
      <c r="L32">
        <f t="shared" si="1"/>
        <v>2.6946107784431139</v>
      </c>
      <c r="M32">
        <f>M31/$M$31</f>
        <v>1</v>
      </c>
      <c r="N32">
        <f t="shared" ref="N32:P32" si="2">N31/$M$31</f>
        <v>1.202247191011236</v>
      </c>
      <c r="O32">
        <f t="shared" si="2"/>
        <v>1.398876404494382</v>
      </c>
      <c r="P32">
        <f t="shared" si="2"/>
        <v>1.601123595505618</v>
      </c>
    </row>
    <row r="33" spans="1:16" x14ac:dyDescent="0.25">
      <c r="G33" t="s">
        <v>48</v>
      </c>
      <c r="H33" t="s">
        <v>46</v>
      </c>
      <c r="J33" s="2">
        <v>47.4</v>
      </c>
      <c r="K33" s="2">
        <v>85.4</v>
      </c>
      <c r="L33" s="2">
        <v>113.2</v>
      </c>
      <c r="N33" s="2">
        <v>129.69999999999999</v>
      </c>
      <c r="O33" s="2">
        <v>194.3</v>
      </c>
      <c r="P33" s="2">
        <v>238.2</v>
      </c>
    </row>
    <row r="34" spans="1:16" x14ac:dyDescent="0.25">
      <c r="H34" t="s">
        <v>47</v>
      </c>
      <c r="J34" s="2">
        <v>117.5</v>
      </c>
      <c r="K34" s="2">
        <v>188.2</v>
      </c>
      <c r="L34" s="2">
        <v>235.7</v>
      </c>
      <c r="N34" s="2">
        <v>262.7</v>
      </c>
      <c r="O34" s="2">
        <v>363</v>
      </c>
      <c r="P34" s="2">
        <v>427.4</v>
      </c>
    </row>
    <row r="35" spans="1:16" x14ac:dyDescent="0.25">
      <c r="J35" s="2"/>
      <c r="K35" s="2"/>
      <c r="L35" s="2"/>
      <c r="N35" s="2"/>
      <c r="O35" s="2"/>
      <c r="P35" s="2"/>
    </row>
    <row r="36" spans="1:16" x14ac:dyDescent="0.25">
      <c r="H36" t="s">
        <v>115</v>
      </c>
      <c r="J36" s="2">
        <f>SUM(J33:J34)</f>
        <v>164.9</v>
      </c>
      <c r="K36" s="2">
        <f t="shared" ref="K36:P36" si="3">SUM(K33:K34)</f>
        <v>273.60000000000002</v>
      </c>
      <c r="L36" s="2">
        <f t="shared" si="3"/>
        <v>348.9</v>
      </c>
      <c r="M36" s="2"/>
      <c r="N36" s="2">
        <f t="shared" si="3"/>
        <v>392.4</v>
      </c>
      <c r="O36" s="2">
        <f t="shared" si="3"/>
        <v>557.29999999999995</v>
      </c>
      <c r="P36" s="2">
        <f t="shared" si="3"/>
        <v>665.59999999999991</v>
      </c>
    </row>
    <row r="37" spans="1:16" x14ac:dyDescent="0.25">
      <c r="J37" s="2"/>
      <c r="K37" s="2"/>
      <c r="L37" s="2"/>
    </row>
    <row r="39" spans="1:16" x14ac:dyDescent="0.25">
      <c r="G39" t="s">
        <v>49</v>
      </c>
      <c r="H39" t="s">
        <v>46</v>
      </c>
      <c r="J39" s="2">
        <v>18.3</v>
      </c>
      <c r="K39" s="2">
        <v>40</v>
      </c>
      <c r="L39" s="2">
        <v>58.3</v>
      </c>
      <c r="N39" s="2">
        <v>69.8</v>
      </c>
      <c r="O39" s="2">
        <v>119.7</v>
      </c>
      <c r="P39" s="2">
        <v>157</v>
      </c>
    </row>
    <row r="40" spans="1:16" x14ac:dyDescent="0.25">
      <c r="H40" t="s">
        <v>47</v>
      </c>
      <c r="J40" s="2">
        <v>3.6</v>
      </c>
      <c r="K40" s="2">
        <v>8</v>
      </c>
      <c r="L40" s="2">
        <v>11.7</v>
      </c>
      <c r="N40" s="2">
        <v>14</v>
      </c>
      <c r="O40" s="2">
        <v>23.9</v>
      </c>
      <c r="P40" s="2">
        <v>31.4</v>
      </c>
    </row>
    <row r="41" spans="1:16" x14ac:dyDescent="0.25">
      <c r="H41" t="s">
        <v>45</v>
      </c>
      <c r="J41" s="2">
        <v>13.7</v>
      </c>
      <c r="K41" s="2">
        <v>30</v>
      </c>
      <c r="L41" s="2">
        <v>43.7</v>
      </c>
    </row>
    <row r="42" spans="1:16" x14ac:dyDescent="0.25">
      <c r="J42" s="2">
        <f>SUM(J39:J41)</f>
        <v>35.6</v>
      </c>
      <c r="K42" s="2">
        <f t="shared" ref="K42:L42" si="4">SUM(K39:K41)</f>
        <v>78</v>
      </c>
      <c r="L42" s="2">
        <f t="shared" si="4"/>
        <v>113.7</v>
      </c>
    </row>
    <row r="44" spans="1:16" x14ac:dyDescent="0.25">
      <c r="J44" s="2">
        <f>J42+J36</f>
        <v>200.5</v>
      </c>
    </row>
    <row r="46" spans="1:16" x14ac:dyDescent="0.25">
      <c r="B46" t="s">
        <v>47</v>
      </c>
      <c r="D46" s="2">
        <v>117.5</v>
      </c>
      <c r="E46" s="2">
        <v>235.7</v>
      </c>
      <c r="G46" s="2">
        <v>262.7</v>
      </c>
      <c r="H46" s="2">
        <v>363</v>
      </c>
      <c r="I46" s="2">
        <v>427.4</v>
      </c>
    </row>
    <row r="47" spans="1:16" x14ac:dyDescent="0.25">
      <c r="D47" s="2"/>
      <c r="E47" s="2"/>
      <c r="G47" s="2"/>
      <c r="H47" s="2"/>
      <c r="I47" s="2"/>
    </row>
    <row r="48" spans="1:16" s="54" customFormat="1" x14ac:dyDescent="0.25">
      <c r="A48" s="54" t="s">
        <v>104</v>
      </c>
    </row>
    <row r="50" spans="1:6" ht="15.75" thickBot="1" x14ac:dyDescent="0.3"/>
    <row r="51" spans="1:6" ht="15.75" thickBot="1" x14ac:dyDescent="0.3">
      <c r="A51" s="748" t="s">
        <v>106</v>
      </c>
      <c r="B51" s="749"/>
      <c r="C51" s="30" t="s">
        <v>105</v>
      </c>
      <c r="D51" s="32">
        <v>92.8</v>
      </c>
      <c r="E51" s="29">
        <v>453.9</v>
      </c>
      <c r="F51" s="21">
        <v>947</v>
      </c>
    </row>
    <row r="52" spans="1:6" ht="15.75" thickBot="1" x14ac:dyDescent="0.3">
      <c r="A52" s="750" t="s">
        <v>107</v>
      </c>
      <c r="B52" s="751"/>
      <c r="C52" s="752"/>
      <c r="D52" s="33">
        <v>36000000</v>
      </c>
      <c r="E52" s="31">
        <v>54000000</v>
      </c>
      <c r="F52" s="22">
        <v>72000000</v>
      </c>
    </row>
    <row r="53" spans="1:6" ht="15.75" thickBot="1" x14ac:dyDescent="0.3">
      <c r="A53" s="23" t="s">
        <v>108</v>
      </c>
      <c r="B53" s="24"/>
      <c r="C53" s="25"/>
      <c r="D53" s="33">
        <v>30000000</v>
      </c>
      <c r="E53" s="31">
        <v>45000000</v>
      </c>
      <c r="F53" s="22">
        <v>60000000</v>
      </c>
    </row>
    <row r="55" spans="1:6" ht="15.75" thickBot="1" x14ac:dyDescent="0.3">
      <c r="A55" t="s">
        <v>22</v>
      </c>
    </row>
    <row r="56" spans="1:6" ht="15.75" thickBot="1" x14ac:dyDescent="0.3">
      <c r="A56" s="748" t="s">
        <v>106</v>
      </c>
      <c r="B56" s="749"/>
      <c r="C56" s="34" t="s">
        <v>105</v>
      </c>
      <c r="D56">
        <f>D51/D51</f>
        <v>1</v>
      </c>
      <c r="E56">
        <f>E51/D51</f>
        <v>4.8911637931034484</v>
      </c>
      <c r="F56">
        <f>F51/D51</f>
        <v>10.204741379310345</v>
      </c>
    </row>
    <row r="57" spans="1:6" ht="15.75" thickBot="1" x14ac:dyDescent="0.3">
      <c r="A57" s="750" t="s">
        <v>107</v>
      </c>
      <c r="B57" s="751"/>
      <c r="C57" s="752"/>
      <c r="D57">
        <f>D52/D52</f>
        <v>1</v>
      </c>
      <c r="E57">
        <f>E52/D52</f>
        <v>1.5</v>
      </c>
      <c r="F57">
        <f>F52/D52</f>
        <v>2</v>
      </c>
    </row>
    <row r="58" spans="1:6" ht="15.75" thickBot="1" x14ac:dyDescent="0.3">
      <c r="A58" s="35" t="s">
        <v>108</v>
      </c>
      <c r="B58" s="36"/>
      <c r="C58" s="37"/>
      <c r="D58">
        <f>D53/D53</f>
        <v>1</v>
      </c>
      <c r="E58">
        <f>E53/D53</f>
        <v>1.5</v>
      </c>
      <c r="F58">
        <f>F53/D53</f>
        <v>2</v>
      </c>
    </row>
    <row r="60" spans="1:6" x14ac:dyDescent="0.25">
      <c r="A60" t="s">
        <v>109</v>
      </c>
      <c r="D60">
        <v>15000</v>
      </c>
    </row>
    <row r="61" spans="1:6" x14ac:dyDescent="0.25">
      <c r="A61" t="s">
        <v>116</v>
      </c>
      <c r="D61">
        <v>5000</v>
      </c>
    </row>
    <row r="62" spans="1:6" x14ac:dyDescent="0.25">
      <c r="A62" t="s">
        <v>110</v>
      </c>
      <c r="D62">
        <f>D60/D61</f>
        <v>3</v>
      </c>
    </row>
    <row r="63" spans="1:6" x14ac:dyDescent="0.25">
      <c r="A63" t="s">
        <v>111</v>
      </c>
      <c r="C63" t="s">
        <v>112</v>
      </c>
      <c r="D63">
        <f>0.9863*$D$62^0.2915</f>
        <v>1.3585945837474274</v>
      </c>
    </row>
    <row r="64" spans="1:6" x14ac:dyDescent="0.25">
      <c r="C64" t="s">
        <v>113</v>
      </c>
      <c r="D64">
        <f>0.1078*D62 +0.9217</f>
        <v>1.2450999999999999</v>
      </c>
    </row>
    <row r="65" spans="1:6" x14ac:dyDescent="0.25">
      <c r="C65" s="8" t="s">
        <v>119</v>
      </c>
      <c r="D65">
        <f>AVERAGE(D63:D64)</f>
        <v>1.3018472918737136</v>
      </c>
    </row>
    <row r="66" spans="1:6" ht="15.75" thickBot="1" x14ac:dyDescent="0.3">
      <c r="D66" s="1"/>
    </row>
    <row r="67" spans="1:6" ht="90.75" thickBot="1" x14ac:dyDescent="0.3">
      <c r="B67" t="s">
        <v>490</v>
      </c>
      <c r="C67" s="77" t="s">
        <v>489</v>
      </c>
      <c r="D67" s="78" t="s">
        <v>237</v>
      </c>
      <c r="E67" s="78" t="s">
        <v>87</v>
      </c>
    </row>
    <row r="68" spans="1:6" x14ac:dyDescent="0.25">
      <c r="B68">
        <v>2012</v>
      </c>
      <c r="C68" s="105">
        <f>60842*D65</f>
        <v>79206.992932180481</v>
      </c>
      <c r="D68" s="53">
        <f>9742*D65</f>
        <v>12682.596317433718</v>
      </c>
    </row>
    <row r="69" spans="1:6" x14ac:dyDescent="0.25">
      <c r="C69" t="s">
        <v>486</v>
      </c>
    </row>
    <row r="70" spans="1:6" x14ac:dyDescent="0.25">
      <c r="E70" t="s">
        <v>118</v>
      </c>
      <c r="F70" t="s">
        <v>1763</v>
      </c>
    </row>
    <row r="71" spans="1:6" x14ac:dyDescent="0.25">
      <c r="B71">
        <v>2012</v>
      </c>
      <c r="C71" s="80">
        <v>60842</v>
      </c>
      <c r="D71" s="80">
        <v>9742</v>
      </c>
      <c r="E71">
        <v>3</v>
      </c>
      <c r="F71">
        <f>E71*'TechWATv5 (supwat5)'!$U$4</f>
        <v>1.0800000000000001E-2</v>
      </c>
    </row>
    <row r="72" spans="1:6" x14ac:dyDescent="0.25">
      <c r="B72">
        <v>2010</v>
      </c>
      <c r="C72">
        <f>C71*$D$73</f>
        <v>54271.063999999998</v>
      </c>
      <c r="D72">
        <f>D71*$D$73</f>
        <v>8689.8639999999996</v>
      </c>
    </row>
    <row r="73" spans="1:6" x14ac:dyDescent="0.25">
      <c r="A73" t="s">
        <v>487</v>
      </c>
      <c r="C73">
        <v>2012</v>
      </c>
      <c r="D73">
        <v>0.89200000000000002</v>
      </c>
    </row>
    <row r="74" spans="1:6" x14ac:dyDescent="0.25">
      <c r="A74" t="s">
        <v>488</v>
      </c>
      <c r="C74">
        <v>2010</v>
      </c>
    </row>
    <row r="76" spans="1:6" x14ac:dyDescent="0.25">
      <c r="A76" s="5" t="s">
        <v>1760</v>
      </c>
    </row>
    <row r="77" spans="1:6" x14ac:dyDescent="0.25">
      <c r="A77" t="s">
        <v>1762</v>
      </c>
      <c r="B77" t="s">
        <v>1761</v>
      </c>
      <c r="C77" t="s">
        <v>1786</v>
      </c>
    </row>
    <row r="78" spans="1:6" x14ac:dyDescent="0.25">
      <c r="A78" t="s">
        <v>1783</v>
      </c>
      <c r="B78">
        <v>11.69576756503349</v>
      </c>
      <c r="C78">
        <f>B78-$B$78</f>
        <v>0</v>
      </c>
    </row>
    <row r="79" spans="1:6" x14ac:dyDescent="0.25">
      <c r="A79" t="s">
        <v>1782</v>
      </c>
      <c r="B79">
        <v>14.896315546968992</v>
      </c>
      <c r="C79">
        <f t="shared" ref="C79" si="5">B79-$B$78</f>
        <v>3.2005479819355021</v>
      </c>
    </row>
    <row r="80" spans="1:6" x14ac:dyDescent="0.25">
      <c r="A80" t="s">
        <v>1781</v>
      </c>
      <c r="B80">
        <v>16.925007230612</v>
      </c>
      <c r="C80">
        <f>B80-$B$78</f>
        <v>5.2292396655785094</v>
      </c>
    </row>
    <row r="81" spans="1:6" x14ac:dyDescent="0.25">
      <c r="F81" t="s">
        <v>568</v>
      </c>
    </row>
    <row r="82" spans="1:6" x14ac:dyDescent="0.25">
      <c r="A82" t="s">
        <v>1781</v>
      </c>
      <c r="B82" t="s">
        <v>1780</v>
      </c>
      <c r="C82" t="s">
        <v>1787</v>
      </c>
      <c r="D82" s="691">
        <v>2.9626230648129823</v>
      </c>
      <c r="E82" t="s">
        <v>1779</v>
      </c>
      <c r="F82" t="s">
        <v>644</v>
      </c>
    </row>
    <row r="83" spans="1:6" x14ac:dyDescent="0.25">
      <c r="A83" t="s">
        <v>1781</v>
      </c>
      <c r="B83" t="s">
        <v>1784</v>
      </c>
      <c r="C83" t="s">
        <v>1787</v>
      </c>
      <c r="D83" s="691">
        <v>0.45573239256688153</v>
      </c>
      <c r="E83" t="s">
        <v>1779</v>
      </c>
      <c r="F83" t="s">
        <v>636</v>
      </c>
    </row>
    <row r="84" spans="1:6" x14ac:dyDescent="0.25">
      <c r="A84" t="s">
        <v>1781</v>
      </c>
      <c r="B84" t="s">
        <v>1785</v>
      </c>
      <c r="C84" t="s">
        <v>1787</v>
      </c>
      <c r="D84" s="81">
        <v>2.7433906250000004</v>
      </c>
      <c r="E84" s="8" t="s">
        <v>118</v>
      </c>
    </row>
    <row r="85" spans="1:6" x14ac:dyDescent="0.25">
      <c r="A85" t="s">
        <v>1781</v>
      </c>
      <c r="B85" t="s">
        <v>1785</v>
      </c>
      <c r="C85" t="s">
        <v>1787</v>
      </c>
      <c r="D85" s="690">
        <f>D84*'TechWATv5 (supwat5)'!$U$4</f>
        <v>9.8762062500000018E-3</v>
      </c>
      <c r="E85" s="8" t="s">
        <v>1763</v>
      </c>
      <c r="F85" t="s">
        <v>842</v>
      </c>
    </row>
    <row r="87" spans="1:6" x14ac:dyDescent="0.25">
      <c r="A87" t="s">
        <v>1789</v>
      </c>
      <c r="B87" t="s">
        <v>1788</v>
      </c>
    </row>
  </sheetData>
  <mergeCells count="4">
    <mergeCell ref="A51:B51"/>
    <mergeCell ref="A52:C52"/>
    <mergeCell ref="A56:B56"/>
    <mergeCell ref="A57:C57"/>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46"/>
  <sheetViews>
    <sheetView topLeftCell="A25" zoomScale="115" zoomScaleNormal="115" workbookViewId="0">
      <selection activeCell="F1" sqref="F1"/>
    </sheetView>
  </sheetViews>
  <sheetFormatPr defaultRowHeight="15" x14ac:dyDescent="0.25"/>
  <cols>
    <col min="1" max="1" width="28.85546875" customWidth="1"/>
    <col min="5" max="5" width="12" bestFit="1" customWidth="1"/>
    <col min="6" max="6" width="11.28515625" bestFit="1" customWidth="1"/>
  </cols>
  <sheetData>
    <row r="1" spans="1:10" x14ac:dyDescent="0.25">
      <c r="A1" s="5" t="s">
        <v>498</v>
      </c>
      <c r="B1" s="103" t="s">
        <v>118</v>
      </c>
      <c r="C1" s="108">
        <v>0.85</v>
      </c>
      <c r="D1" s="99" t="s">
        <v>499</v>
      </c>
      <c r="E1" s="103" t="s">
        <v>149</v>
      </c>
      <c r="F1" s="107">
        <f>units!$C$8*'WTP energy costs'!C1</f>
        <v>3.0599999999999998E-3</v>
      </c>
    </row>
    <row r="3" spans="1:10" x14ac:dyDescent="0.25">
      <c r="A3" s="5" t="s">
        <v>142</v>
      </c>
    </row>
    <row r="4" spans="1:10" x14ac:dyDescent="0.25">
      <c r="A4" t="s">
        <v>148</v>
      </c>
    </row>
    <row r="5" spans="1:10" x14ac:dyDescent="0.25">
      <c r="A5" t="s">
        <v>151</v>
      </c>
      <c r="B5" t="s">
        <v>118</v>
      </c>
      <c r="C5">
        <v>2.4700000000000002</v>
      </c>
      <c r="D5" t="s">
        <v>149</v>
      </c>
      <c r="E5">
        <f>units!$C$8*'WTP energy costs'!C5</f>
        <v>8.8920000000000006E-3</v>
      </c>
    </row>
    <row r="6" spans="1:10" x14ac:dyDescent="0.25">
      <c r="A6" t="s">
        <v>152</v>
      </c>
      <c r="B6" t="s">
        <v>118</v>
      </c>
      <c r="C6">
        <v>2.74</v>
      </c>
      <c r="D6" t="s">
        <v>149</v>
      </c>
      <c r="E6">
        <f>units!$C$8*'WTP energy costs'!C6</f>
        <v>9.8640000000000012E-3</v>
      </c>
    </row>
    <row r="7" spans="1:10" x14ac:dyDescent="0.25">
      <c r="A7" t="s">
        <v>153</v>
      </c>
      <c r="B7" t="s">
        <v>118</v>
      </c>
      <c r="C7">
        <v>2.74</v>
      </c>
      <c r="D7" t="s">
        <v>149</v>
      </c>
      <c r="E7">
        <f>units!$C$8*'WTP energy costs'!C7</f>
        <v>9.8640000000000012E-3</v>
      </c>
    </row>
    <row r="9" spans="1:10" x14ac:dyDescent="0.25">
      <c r="C9" t="s">
        <v>145</v>
      </c>
    </row>
    <row r="10" spans="1:10" x14ac:dyDescent="0.25">
      <c r="A10" s="5" t="s">
        <v>143</v>
      </c>
    </row>
    <row r="11" spans="1:10" x14ac:dyDescent="0.25">
      <c r="A11" t="s">
        <v>144</v>
      </c>
    </row>
    <row r="12" spans="1:10" x14ac:dyDescent="0.25">
      <c r="A12" t="s">
        <v>146</v>
      </c>
      <c r="B12" t="s">
        <v>118</v>
      </c>
      <c r="C12">
        <f>6.37/1000</f>
        <v>6.3699999999999998E-3</v>
      </c>
      <c r="D12" t="s">
        <v>149</v>
      </c>
      <c r="E12">
        <f>units!$C$8*'WTP energy costs'!C12</f>
        <v>2.2932E-5</v>
      </c>
    </row>
    <row r="13" spans="1:10" x14ac:dyDescent="0.25">
      <c r="A13" t="s">
        <v>147</v>
      </c>
      <c r="B13" t="s">
        <v>118</v>
      </c>
      <c r="C13">
        <f>0.48/1000</f>
        <v>4.7999999999999996E-4</v>
      </c>
      <c r="D13" t="s">
        <v>149</v>
      </c>
      <c r="E13">
        <f>units!$C$8*'WTP energy costs'!C13</f>
        <v>1.7279999999999998E-6</v>
      </c>
    </row>
    <row r="14" spans="1:10" x14ac:dyDescent="0.25">
      <c r="E14">
        <f>SUM(E12:E13)</f>
        <v>2.4660000000000001E-5</v>
      </c>
      <c r="I14">
        <v>330</v>
      </c>
      <c r="J14">
        <f>E14*I14</f>
        <v>8.1378000000000006E-3</v>
      </c>
    </row>
    <row r="15" spans="1:10" x14ac:dyDescent="0.25">
      <c r="C15">
        <f>SUM(C12:C13)*1000</f>
        <v>6.8500000000000005</v>
      </c>
      <c r="D15" t="s">
        <v>171</v>
      </c>
    </row>
    <row r="22" spans="1:2" x14ac:dyDescent="0.25">
      <c r="A22" t="s">
        <v>144</v>
      </c>
      <c r="B22" t="s">
        <v>154</v>
      </c>
    </row>
    <row r="44" spans="1:5" x14ac:dyDescent="0.25">
      <c r="A44" t="s">
        <v>155</v>
      </c>
    </row>
    <row r="45" spans="1:5" x14ac:dyDescent="0.25">
      <c r="A45" t="s">
        <v>150</v>
      </c>
      <c r="B45" t="s">
        <v>118</v>
      </c>
      <c r="C45">
        <v>0.66</v>
      </c>
      <c r="D45" t="s">
        <v>149</v>
      </c>
      <c r="E45">
        <f>units!$C$8*'WTP energy costs'!C45</f>
        <v>2.3760000000000001E-3</v>
      </c>
    </row>
    <row r="46" spans="1:5" x14ac:dyDescent="0.25">
      <c r="B46" t="s">
        <v>156</v>
      </c>
      <c r="C46">
        <f>1000/1175</f>
        <v>0.85106382978723405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48"/>
  <sheetViews>
    <sheetView zoomScale="70" zoomScaleNormal="70" workbookViewId="0">
      <selection activeCell="X30" sqref="X30"/>
    </sheetView>
  </sheetViews>
  <sheetFormatPr defaultRowHeight="15" x14ac:dyDescent="0.25"/>
  <cols>
    <col min="3" max="3" width="12" bestFit="1" customWidth="1"/>
  </cols>
  <sheetData>
    <row r="1" spans="21:26" x14ac:dyDescent="0.25">
      <c r="U1" t="s">
        <v>95</v>
      </c>
      <c r="Z1" t="s">
        <v>94</v>
      </c>
    </row>
    <row r="2" spans="21:26" x14ac:dyDescent="0.25">
      <c r="U2" t="s">
        <v>93</v>
      </c>
      <c r="Z2" t="s">
        <v>89</v>
      </c>
    </row>
    <row r="3" spans="21:26" x14ac:dyDescent="0.25">
      <c r="U3" t="s">
        <v>92</v>
      </c>
      <c r="W3" t="s">
        <v>96</v>
      </c>
      <c r="X3" t="s">
        <v>92</v>
      </c>
      <c r="Z3" t="s">
        <v>96</v>
      </c>
    </row>
    <row r="4" spans="21:26" x14ac:dyDescent="0.25">
      <c r="V4" t="s">
        <v>97</v>
      </c>
      <c r="X4" t="s">
        <v>82</v>
      </c>
      <c r="Y4" t="s">
        <v>97</v>
      </c>
      <c r="Z4" t="s">
        <v>82</v>
      </c>
    </row>
    <row r="5" spans="21:26" x14ac:dyDescent="0.25">
      <c r="U5">
        <v>629</v>
      </c>
      <c r="V5">
        <f t="shared" ref="V5:V10" si="0">$X$5-U5</f>
        <v>0</v>
      </c>
      <c r="W5">
        <v>0</v>
      </c>
      <c r="X5">
        <v>629</v>
      </c>
      <c r="Y5">
        <f t="shared" ref="Y5:Y10" si="1">$X$5-X5</f>
        <v>0</v>
      </c>
      <c r="Z5">
        <v>0</v>
      </c>
    </row>
    <row r="6" spans="21:26" x14ac:dyDescent="0.25">
      <c r="U6">
        <v>533</v>
      </c>
      <c r="V6">
        <f t="shared" si="0"/>
        <v>96</v>
      </c>
      <c r="W6">
        <v>50</v>
      </c>
      <c r="X6">
        <v>564</v>
      </c>
      <c r="Y6">
        <f t="shared" si="1"/>
        <v>65</v>
      </c>
      <c r="Z6">
        <v>20</v>
      </c>
    </row>
    <row r="7" spans="21:26" x14ac:dyDescent="0.25">
      <c r="U7">
        <v>436</v>
      </c>
      <c r="V7">
        <f t="shared" si="0"/>
        <v>193</v>
      </c>
      <c r="W7">
        <v>100</v>
      </c>
      <c r="X7">
        <v>436</v>
      </c>
      <c r="Y7">
        <f t="shared" si="1"/>
        <v>193</v>
      </c>
      <c r="Z7">
        <v>60</v>
      </c>
    </row>
    <row r="8" spans="21:26" x14ac:dyDescent="0.25">
      <c r="U8">
        <v>340</v>
      </c>
      <c r="V8">
        <f t="shared" si="0"/>
        <v>289</v>
      </c>
      <c r="W8">
        <v>150</v>
      </c>
      <c r="X8">
        <v>308</v>
      </c>
      <c r="Y8">
        <f t="shared" si="1"/>
        <v>321</v>
      </c>
      <c r="Z8">
        <v>100</v>
      </c>
    </row>
    <row r="9" spans="21:26" x14ac:dyDescent="0.25">
      <c r="U9">
        <v>243</v>
      </c>
      <c r="V9">
        <f t="shared" si="0"/>
        <v>386</v>
      </c>
      <c r="W9">
        <v>200</v>
      </c>
      <c r="X9">
        <v>179</v>
      </c>
      <c r="Y9">
        <f t="shared" si="1"/>
        <v>450</v>
      </c>
      <c r="Z9">
        <v>140</v>
      </c>
    </row>
    <row r="10" spans="21:26" x14ac:dyDescent="0.25">
      <c r="U10">
        <v>148</v>
      </c>
      <c r="V10">
        <f t="shared" si="0"/>
        <v>481</v>
      </c>
      <c r="W10">
        <v>250</v>
      </c>
      <c r="X10">
        <v>116</v>
      </c>
      <c r="Y10">
        <f t="shared" si="1"/>
        <v>513</v>
      </c>
      <c r="Z10">
        <v>160</v>
      </c>
    </row>
    <row r="13" spans="21:26" x14ac:dyDescent="0.25">
      <c r="W13" t="s">
        <v>93</v>
      </c>
      <c r="X13" t="s">
        <v>89</v>
      </c>
    </row>
    <row r="14" spans="21:26" ht="15.75" thickBot="1" x14ac:dyDescent="0.3">
      <c r="W14" t="s">
        <v>92</v>
      </c>
      <c r="X14" t="s">
        <v>92</v>
      </c>
    </row>
    <row r="15" spans="21:26" ht="15.75" thickBot="1" x14ac:dyDescent="0.3">
      <c r="V15" s="8" t="s">
        <v>98</v>
      </c>
      <c r="W15" s="12">
        <v>180</v>
      </c>
      <c r="X15" s="13">
        <f>W15</f>
        <v>180</v>
      </c>
    </row>
    <row r="16" spans="21:26" x14ac:dyDescent="0.25">
      <c r="V16" t="s">
        <v>99</v>
      </c>
      <c r="W16">
        <f>U5-W15</f>
        <v>449</v>
      </c>
      <c r="X16">
        <f>X5-X15</f>
        <v>449</v>
      </c>
    </row>
    <row r="17" spans="21:25" x14ac:dyDescent="0.25">
      <c r="W17" t="s">
        <v>100</v>
      </c>
      <c r="X17" t="s">
        <v>100</v>
      </c>
    </row>
    <row r="18" spans="21:25" x14ac:dyDescent="0.25">
      <c r="V18" s="8" t="s">
        <v>98</v>
      </c>
      <c r="W18" s="14">
        <f>0.5191*W16</f>
        <v>233.07589999999999</v>
      </c>
      <c r="X18" s="14">
        <f>0.3115*X16</f>
        <v>139.86349999999999</v>
      </c>
    </row>
    <row r="19" spans="21:25" x14ac:dyDescent="0.25">
      <c r="V19" t="s">
        <v>103</v>
      </c>
      <c r="W19" t="s">
        <v>95</v>
      </c>
      <c r="X19" t="s">
        <v>94</v>
      </c>
    </row>
    <row r="20" spans="21:25" x14ac:dyDescent="0.25">
      <c r="V20">
        <f>W20*$C$45</f>
        <v>0</v>
      </c>
      <c r="W20">
        <v>0</v>
      </c>
      <c r="X20">
        <v>0</v>
      </c>
    </row>
    <row r="21" spans="21:25" x14ac:dyDescent="0.25">
      <c r="V21">
        <f t="shared" ref="V21:V25" si="2">W21*$C$45</f>
        <v>1.7598626206079999</v>
      </c>
      <c r="W21">
        <v>49.833600000000004</v>
      </c>
      <c r="X21">
        <v>29.904</v>
      </c>
    </row>
    <row r="22" spans="21:25" x14ac:dyDescent="0.25">
      <c r="V22">
        <f t="shared" si="2"/>
        <v>2.2914877872499999</v>
      </c>
      <c r="W22">
        <v>64.887500000000003</v>
      </c>
      <c r="X22">
        <v>38.9375</v>
      </c>
    </row>
    <row r="23" spans="21:25" x14ac:dyDescent="0.25">
      <c r="V23">
        <f t="shared" si="2"/>
        <v>3.7213761664939997</v>
      </c>
      <c r="W23">
        <v>105.37730000000001</v>
      </c>
      <c r="X23">
        <v>63.234499999999997</v>
      </c>
    </row>
    <row r="24" spans="21:25" x14ac:dyDescent="0.25">
      <c r="V24">
        <f t="shared" si="2"/>
        <v>5.9945320514459999</v>
      </c>
      <c r="W24">
        <v>169.7457</v>
      </c>
      <c r="X24">
        <v>101.8605</v>
      </c>
    </row>
    <row r="25" spans="21:25" ht="15.75" thickBot="1" x14ac:dyDescent="0.3">
      <c r="V25">
        <f t="shared" si="2"/>
        <v>8.2310241318019983</v>
      </c>
      <c r="W25">
        <v>233.07589999999999</v>
      </c>
      <c r="X25">
        <v>139.86349999999999</v>
      </c>
    </row>
    <row r="26" spans="21:25" ht="15.75" thickBot="1" x14ac:dyDescent="0.3">
      <c r="W26" s="15" t="s">
        <v>1384</v>
      </c>
      <c r="X26" s="17">
        <v>16.992000000000001</v>
      </c>
    </row>
    <row r="27" spans="21:25" x14ac:dyDescent="0.25">
      <c r="U27" s="15"/>
      <c r="V27" s="16" t="s">
        <v>103</v>
      </c>
      <c r="W27" s="16" t="s">
        <v>95</v>
      </c>
      <c r="X27" s="17" t="s">
        <v>94</v>
      </c>
    </row>
    <row r="28" spans="21:25" ht="15.75" thickBot="1" x14ac:dyDescent="0.3">
      <c r="U28" s="18" t="s">
        <v>98</v>
      </c>
      <c r="V28" s="19">
        <v>30</v>
      </c>
      <c r="W28" s="19">
        <f>V28/C45</f>
        <v>849.50267281857634</v>
      </c>
      <c r="X28" s="20">
        <f>$X$26*V28</f>
        <v>509.76000000000005</v>
      </c>
    </row>
    <row r="30" spans="21:25" x14ac:dyDescent="0.25">
      <c r="U30" s="5" t="s">
        <v>1383</v>
      </c>
      <c r="V30" s="5"/>
      <c r="W30" s="5"/>
      <c r="X30" s="5">
        <f>X28/(V28*C48)</f>
        <v>1.6992E-2</v>
      </c>
      <c r="Y30" s="5" t="s">
        <v>217</v>
      </c>
    </row>
    <row r="41" spans="1:4" x14ac:dyDescent="0.25">
      <c r="A41" t="s">
        <v>91</v>
      </c>
    </row>
    <row r="43" spans="1:4" x14ac:dyDescent="0.25">
      <c r="A43">
        <v>1</v>
      </c>
      <c r="B43" t="s">
        <v>102</v>
      </c>
      <c r="C43">
        <v>35.314779999999999</v>
      </c>
      <c r="D43" t="s">
        <v>101</v>
      </c>
    </row>
    <row r="44" spans="1:4" x14ac:dyDescent="0.25">
      <c r="A44">
        <v>1</v>
      </c>
      <c r="B44" t="s">
        <v>95</v>
      </c>
      <c r="C44">
        <f>C43*1000000000</f>
        <v>35314780000</v>
      </c>
      <c r="D44" t="s">
        <v>101</v>
      </c>
    </row>
    <row r="45" spans="1:4" x14ac:dyDescent="0.25">
      <c r="A45">
        <v>1</v>
      </c>
      <c r="B45" t="s">
        <v>95</v>
      </c>
      <c r="C45">
        <f>0.000000000001*C44</f>
        <v>3.5314779999999997E-2</v>
      </c>
      <c r="D45" t="s">
        <v>103</v>
      </c>
    </row>
    <row r="46" spans="1:4" x14ac:dyDescent="0.25">
      <c r="A46">
        <f>C46/C45</f>
        <v>849.50267281857634</v>
      </c>
      <c r="B46" t="s">
        <v>95</v>
      </c>
      <c r="C46">
        <v>30</v>
      </c>
      <c r="D46" t="s">
        <v>103</v>
      </c>
    </row>
    <row r="48" spans="1:4" x14ac:dyDescent="0.25">
      <c r="A48">
        <v>1</v>
      </c>
      <c r="B48" t="s">
        <v>1385</v>
      </c>
      <c r="C48">
        <v>1000</v>
      </c>
      <c r="D48" t="s">
        <v>162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vt:i4>
      </vt:variant>
    </vt:vector>
  </HeadingPairs>
  <TitlesOfParts>
    <vt:vector size="37" baseType="lpstr">
      <vt:lpstr>Index</vt:lpstr>
      <vt:lpstr>version</vt:lpstr>
      <vt:lpstr>units</vt:lpstr>
      <vt:lpstr>AMD</vt:lpstr>
      <vt:lpstr>AMD.v2</vt:lpstr>
      <vt:lpstr>coal mining</vt:lpstr>
      <vt:lpstr>TDS  vs Capex</vt:lpstr>
      <vt:lpstr>WTP energy costs</vt:lpstr>
      <vt:lpstr>Shale gas</vt:lpstr>
      <vt:lpstr>Shale-AMD wtp</vt:lpstr>
      <vt:lpstr>Uranium-Gold</vt:lpstr>
      <vt:lpstr>fgd costs</vt:lpstr>
      <vt:lpstr>Coal dist</vt:lpstr>
      <vt:lpstr>steam</vt:lpstr>
      <vt:lpstr>refineries</vt:lpstr>
      <vt:lpstr>cooling water</vt:lpstr>
      <vt:lpstr>seasonal</vt:lpstr>
      <vt:lpstr>PWR station GIS data</vt:lpstr>
      <vt:lpstr>Existing Plants by Water Supply</vt:lpstr>
      <vt:lpstr>Existing Plants by Coal Supply</vt:lpstr>
      <vt:lpstr>Eskom coal pwr plants</vt:lpstr>
      <vt:lpstr>charts</vt:lpstr>
      <vt:lpstr>TechWATv4</vt:lpstr>
      <vt:lpstr>TechWATv5 (supwat5)</vt:lpstr>
      <vt:lpstr>FromCGE</vt:lpstr>
      <vt:lpstr>Non-Energy Water Demand</vt:lpstr>
      <vt:lpstr>non-power liquid fuels</vt:lpstr>
      <vt:lpstr>CPI_1960-2013</vt:lpstr>
      <vt:lpstr>JHB return flows</vt:lpstr>
      <vt:lpstr>misc calcs</vt:lpstr>
      <vt:lpstr>WSR-A</vt:lpstr>
      <vt:lpstr>WSR-B</vt:lpstr>
      <vt:lpstr>WSR-C</vt:lpstr>
      <vt:lpstr>WSR-D</vt:lpstr>
      <vt:lpstr>WSR-R</vt:lpstr>
      <vt:lpstr>WSR-Z</vt:lpstr>
      <vt:lpstr>drate</vt:lpstr>
    </vt:vector>
  </TitlesOfParts>
  <Company>University of Cape Town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Fadiel Ahjum</dc:creator>
  <cp:lastModifiedBy>Fadiel Ahjum</cp:lastModifiedBy>
  <cp:lastPrinted>2014-08-27T10:18:15Z</cp:lastPrinted>
  <dcterms:created xsi:type="dcterms:W3CDTF">2014-07-25T09:26:23Z</dcterms:created>
  <dcterms:modified xsi:type="dcterms:W3CDTF">2016-06-30T15:12:11Z</dcterms:modified>
</cp:coreProperties>
</file>