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drian\Google Drive\Transport Project\Reports and Papers\Working Paper 1\Paper 1 Working Spreadsheets\"/>
    </mc:Choice>
  </mc:AlternateContent>
  <bookViews>
    <workbookView xWindow="0" yWindow="0" windowWidth="20490" windowHeight="7755" activeTab="1"/>
  </bookViews>
  <sheets>
    <sheet name="Default Dataset (7)" sheetId="1" r:id="rId1"/>
    <sheet name="Load Factors" sheetId="3" r:id="rId2"/>
    <sheet name="GVM vs GCM" sheetId="6" r:id="rId3"/>
    <sheet name="Load and FC" sheetId="7" r:id="rId4"/>
    <sheet name="Sheet3" sheetId="4" r:id="rId5"/>
    <sheet name="Sheet1" sheetId="5" r:id="rId6"/>
    <sheet name="Sheet5" sheetId="8" r:id="rId7"/>
  </sheets>
  <definedNames>
    <definedName name="solver_adj" localSheetId="1" hidden="1">'Load Factors'!$G$40:$J$51</definedName>
    <definedName name="solver_cvg" localSheetId="1" hidden="1">0.0001</definedName>
    <definedName name="solver_drv" localSheetId="1" hidden="1">1</definedName>
    <definedName name="solver_eng" localSheetId="1" hidden="1">1</definedName>
    <definedName name="solver_est" localSheetId="1" hidden="1">1</definedName>
    <definedName name="solver_itr" localSheetId="1" hidden="1">2147483647</definedName>
    <definedName name="solver_mip" localSheetId="1" hidden="1">2147483647</definedName>
    <definedName name="solver_mni" localSheetId="1" hidden="1">30</definedName>
    <definedName name="solver_mrt" localSheetId="1" hidden="1">0.075</definedName>
    <definedName name="solver_msl" localSheetId="1" hidden="1">2</definedName>
    <definedName name="solver_neg" localSheetId="1" hidden="1">1</definedName>
    <definedName name="solver_nod" localSheetId="1" hidden="1">2147483647</definedName>
    <definedName name="solver_num" localSheetId="1" hidden="1">0</definedName>
    <definedName name="solver_nwt" localSheetId="1" hidden="1">1</definedName>
    <definedName name="solver_opt" localSheetId="1" hidden="1">'Load Factors'!$U$55</definedName>
    <definedName name="solver_pre" localSheetId="1" hidden="1">0.000001</definedName>
    <definedName name="solver_rbv" localSheetId="1" hidden="1">1</definedName>
    <definedName name="solver_rlx" localSheetId="1" hidden="1">2</definedName>
    <definedName name="solver_rsd" localSheetId="1" hidden="1">0</definedName>
    <definedName name="solver_scl" localSheetId="1" hidden="1">1</definedName>
    <definedName name="solver_sho" localSheetId="1" hidden="1">2</definedName>
    <definedName name="solver_ssz" localSheetId="1" hidden="1">100</definedName>
    <definedName name="solver_tim" localSheetId="1" hidden="1">2147483647</definedName>
    <definedName name="solver_tol" localSheetId="1" hidden="1">0.01</definedName>
    <definedName name="solver_typ" localSheetId="1" hidden="1">2</definedName>
    <definedName name="solver_val" localSheetId="1" hidden="1">0</definedName>
    <definedName name="solver_ver" localSheetId="1" hidden="1">3</definedName>
  </definedNames>
  <calcPr calcId="152511" concurrentCalc="0"/>
</workbook>
</file>

<file path=xl/calcChain.xml><?xml version="1.0" encoding="utf-8"?>
<calcChain xmlns="http://schemas.openxmlformats.org/spreadsheetml/2006/main">
  <c r="O40" i="3" l="1"/>
  <c r="K40" i="3"/>
  <c r="K41" i="3"/>
  <c r="O41" i="3"/>
  <c r="K42" i="3"/>
  <c r="O42" i="3"/>
  <c r="K43" i="3"/>
  <c r="O43" i="3"/>
  <c r="K44" i="3"/>
  <c r="O44" i="3"/>
  <c r="K45" i="3"/>
  <c r="O45" i="3"/>
  <c r="K46" i="3"/>
  <c r="O46" i="3"/>
  <c r="K47" i="3"/>
  <c r="O47" i="3"/>
  <c r="K48" i="3"/>
  <c r="O48" i="3"/>
  <c r="K49" i="3"/>
  <c r="O49" i="3"/>
  <c r="K50" i="3"/>
  <c r="O50" i="3"/>
  <c r="K51" i="3"/>
  <c r="O51" i="3"/>
  <c r="O53" i="3"/>
  <c r="O55" i="3"/>
  <c r="R53" i="3"/>
  <c r="R55" i="3"/>
  <c r="S53" i="3"/>
  <c r="S55" i="3"/>
  <c r="T53" i="3"/>
  <c r="T55" i="3"/>
  <c r="V40" i="3"/>
  <c r="V41" i="3"/>
  <c r="V42" i="3"/>
  <c r="V43" i="3"/>
  <c r="V44" i="3"/>
  <c r="V45" i="3"/>
  <c r="V46" i="3"/>
  <c r="V47" i="3"/>
  <c r="V48" i="3"/>
  <c r="V49" i="3"/>
  <c r="V50" i="3"/>
  <c r="V51" i="3"/>
  <c r="U55" i="3"/>
  <c r="T41" i="3"/>
  <c r="T42" i="3"/>
  <c r="T43" i="3"/>
  <c r="T44" i="3"/>
  <c r="T45" i="3"/>
  <c r="T46" i="3"/>
  <c r="T47" i="3"/>
  <c r="T48" i="3"/>
  <c r="T49" i="3"/>
  <c r="T50" i="3"/>
  <c r="T51" i="3"/>
  <c r="T40" i="3"/>
  <c r="U41" i="3"/>
  <c r="U42" i="3"/>
  <c r="U43" i="3"/>
  <c r="U44" i="3"/>
  <c r="U45" i="3"/>
  <c r="U46" i="3"/>
  <c r="U47" i="3"/>
  <c r="U48" i="3"/>
  <c r="U49" i="3"/>
  <c r="U50" i="3"/>
  <c r="U51" i="3"/>
  <c r="U40" i="3"/>
  <c r="O54" i="3"/>
  <c r="R54" i="3"/>
  <c r="B13" i="6"/>
  <c r="B10" i="6"/>
  <c r="T27" i="6"/>
  <c r="U27" i="6"/>
  <c r="T28" i="6"/>
  <c r="U28" i="6"/>
  <c r="U26" i="6"/>
  <c r="T26" i="6"/>
  <c r="T24" i="6"/>
  <c r="T23" i="6"/>
  <c r="B21" i="6"/>
  <c r="B19" i="6"/>
  <c r="D40" i="3"/>
  <c r="D41" i="3"/>
  <c r="D42" i="3"/>
  <c r="P49" i="3"/>
  <c r="P46" i="3"/>
  <c r="B63" i="3"/>
  <c r="A64" i="3"/>
  <c r="B64" i="3"/>
  <c r="R32" i="4"/>
  <c r="Q32" i="4"/>
  <c r="P32" i="4"/>
  <c r="O32" i="4"/>
  <c r="N32" i="4"/>
  <c r="M32" i="4"/>
  <c r="L32" i="4"/>
  <c r="K32" i="4"/>
  <c r="J32" i="4"/>
  <c r="I32" i="4"/>
  <c r="H32" i="4"/>
  <c r="G32" i="4"/>
  <c r="F32" i="4"/>
  <c r="E32" i="4"/>
  <c r="D32" i="4"/>
  <c r="C32" i="4"/>
  <c r="B32" i="4"/>
  <c r="R31" i="4"/>
  <c r="Q31" i="4"/>
  <c r="P31" i="4"/>
  <c r="O31" i="4"/>
  <c r="N31" i="4"/>
  <c r="M31" i="4"/>
  <c r="L31" i="4"/>
  <c r="K31" i="4"/>
  <c r="J31" i="4"/>
  <c r="I31" i="4"/>
  <c r="H31" i="4"/>
  <c r="G31" i="4"/>
  <c r="F31" i="4"/>
  <c r="E31" i="4"/>
  <c r="D31" i="4"/>
  <c r="C31" i="4"/>
  <c r="B31" i="4"/>
  <c r="R30" i="4"/>
  <c r="Q30" i="4"/>
  <c r="P30" i="4"/>
  <c r="O30" i="4"/>
  <c r="N30" i="4"/>
  <c r="M30" i="4"/>
  <c r="L30" i="4"/>
  <c r="K30" i="4"/>
  <c r="J30" i="4"/>
  <c r="I30" i="4"/>
  <c r="H30" i="4"/>
  <c r="G30" i="4"/>
  <c r="F30" i="4"/>
  <c r="E30" i="4"/>
  <c r="D30" i="4"/>
  <c r="C30" i="4"/>
  <c r="B30" i="4"/>
  <c r="R29" i="4"/>
  <c r="Q29" i="4"/>
  <c r="P29" i="4"/>
  <c r="O29" i="4"/>
  <c r="N29" i="4"/>
  <c r="M29" i="4"/>
  <c r="L29" i="4"/>
  <c r="K29" i="4"/>
  <c r="J29" i="4"/>
  <c r="I29" i="4"/>
  <c r="H29" i="4"/>
  <c r="G29" i="4"/>
  <c r="F29" i="4"/>
  <c r="E29" i="4"/>
  <c r="D29" i="4"/>
  <c r="C29" i="4"/>
  <c r="B29" i="4"/>
  <c r="R28" i="4"/>
  <c r="Q28" i="4"/>
  <c r="P28" i="4"/>
  <c r="O28" i="4"/>
  <c r="N28" i="4"/>
  <c r="M28" i="4"/>
  <c r="L28" i="4"/>
  <c r="K28" i="4"/>
  <c r="J28" i="4"/>
  <c r="I28" i="4"/>
  <c r="H28" i="4"/>
  <c r="G28" i="4"/>
  <c r="F28" i="4"/>
  <c r="E28" i="4"/>
  <c r="D28" i="4"/>
  <c r="C28" i="4"/>
  <c r="B28" i="4"/>
  <c r="R27" i="4"/>
  <c r="Q27" i="4"/>
  <c r="P27" i="4"/>
  <c r="O27" i="4"/>
  <c r="N27" i="4"/>
  <c r="M27" i="4"/>
  <c r="L27" i="4"/>
  <c r="K27" i="4"/>
  <c r="J27" i="4"/>
  <c r="I27" i="4"/>
  <c r="H27" i="4"/>
  <c r="G27" i="4"/>
  <c r="F27" i="4"/>
  <c r="E27" i="4"/>
  <c r="D27" i="4"/>
  <c r="C27" i="4"/>
  <c r="B27" i="4"/>
  <c r="R26" i="4"/>
  <c r="Q26" i="4"/>
  <c r="P26" i="4"/>
  <c r="O26" i="4"/>
  <c r="N26" i="4"/>
  <c r="M26" i="4"/>
  <c r="L26" i="4"/>
  <c r="K26" i="4"/>
  <c r="J26" i="4"/>
  <c r="I26" i="4"/>
  <c r="H26" i="4"/>
  <c r="G26" i="4"/>
  <c r="F26" i="4"/>
  <c r="E26" i="4"/>
  <c r="D26" i="4"/>
  <c r="C26" i="4"/>
  <c r="B26" i="4"/>
  <c r="R25" i="4"/>
  <c r="Q25" i="4"/>
  <c r="P25" i="4"/>
  <c r="O25" i="4"/>
  <c r="N25" i="4"/>
  <c r="M25" i="4"/>
  <c r="L25" i="4"/>
  <c r="K25" i="4"/>
  <c r="J25" i="4"/>
  <c r="I25" i="4"/>
  <c r="H25" i="4"/>
  <c r="G25" i="4"/>
  <c r="F25" i="4"/>
  <c r="E25" i="4"/>
  <c r="D25" i="4"/>
  <c r="C25" i="4"/>
  <c r="B25" i="4"/>
  <c r="R24" i="4"/>
  <c r="Q24" i="4"/>
  <c r="P24" i="4"/>
  <c r="O24" i="4"/>
  <c r="N24" i="4"/>
  <c r="M24" i="4"/>
  <c r="L24" i="4"/>
  <c r="K24" i="4"/>
  <c r="J24" i="4"/>
  <c r="I24" i="4"/>
  <c r="H24" i="4"/>
  <c r="G24" i="4"/>
  <c r="F24" i="4"/>
  <c r="E24" i="4"/>
  <c r="D24" i="4"/>
  <c r="C24" i="4"/>
  <c r="B24" i="4"/>
  <c r="R23" i="4"/>
  <c r="Q23" i="4"/>
  <c r="P23" i="4"/>
  <c r="O23" i="4"/>
  <c r="N23" i="4"/>
  <c r="M23" i="4"/>
  <c r="L23" i="4"/>
  <c r="K23" i="4"/>
  <c r="J23" i="4"/>
  <c r="I23" i="4"/>
  <c r="H23" i="4"/>
  <c r="G23" i="4"/>
  <c r="F23" i="4"/>
  <c r="E23" i="4"/>
  <c r="D23" i="4"/>
  <c r="C23" i="4"/>
  <c r="B23" i="4"/>
  <c r="R22" i="4"/>
  <c r="Q22" i="4"/>
  <c r="P22" i="4"/>
  <c r="O22" i="4"/>
  <c r="N22" i="4"/>
  <c r="M22" i="4"/>
  <c r="L22" i="4"/>
  <c r="K22" i="4"/>
  <c r="J22" i="4"/>
  <c r="I22" i="4"/>
  <c r="H22" i="4"/>
  <c r="G22" i="4"/>
  <c r="F22" i="4"/>
  <c r="E22" i="4"/>
  <c r="D22" i="4"/>
  <c r="C22" i="4"/>
  <c r="B22" i="4"/>
  <c r="R21" i="4"/>
  <c r="Q21" i="4"/>
  <c r="P21" i="4"/>
  <c r="O21" i="4"/>
  <c r="N21" i="4"/>
  <c r="M21" i="4"/>
  <c r="L21" i="4"/>
  <c r="K21" i="4"/>
  <c r="J21" i="4"/>
  <c r="I21" i="4"/>
  <c r="H21" i="4"/>
  <c r="G21" i="4"/>
  <c r="F21" i="4"/>
  <c r="E21" i="4"/>
  <c r="D21" i="4"/>
  <c r="C21" i="4"/>
  <c r="B21" i="4"/>
  <c r="A65" i="3"/>
  <c r="A66" i="3"/>
  <c r="B65" i="3"/>
  <c r="A67" i="3"/>
  <c r="B66" i="3"/>
  <c r="A68" i="3"/>
  <c r="B67" i="3"/>
  <c r="A69" i="3"/>
  <c r="B68" i="3"/>
  <c r="A70" i="3"/>
  <c r="B70" i="3"/>
  <c r="B69" i="3"/>
  <c r="O30" i="3"/>
  <c r="N30" i="3"/>
  <c r="M30" i="3"/>
  <c r="L30" i="3"/>
  <c r="K30" i="3"/>
  <c r="J30" i="3"/>
  <c r="I30" i="3"/>
  <c r="H30" i="3"/>
  <c r="G30" i="3"/>
  <c r="F30" i="3"/>
  <c r="E30" i="3"/>
  <c r="D30" i="3"/>
  <c r="C30" i="3"/>
  <c r="P30" i="3"/>
  <c r="P51" i="3"/>
  <c r="P44" i="3"/>
  <c r="P42" i="3"/>
  <c r="P45" i="3"/>
  <c r="P41" i="3"/>
  <c r="P47" i="3"/>
  <c r="P43" i="3"/>
  <c r="P50" i="3"/>
  <c r="P40" i="3"/>
  <c r="P48" i="3"/>
</calcChain>
</file>

<file path=xl/sharedStrings.xml><?xml version="1.0" encoding="utf-8"?>
<sst xmlns="http://schemas.openxmlformats.org/spreadsheetml/2006/main" count="277" uniqueCount="141">
  <si>
    <t>Bar0</t>
  </si>
  <si>
    <t>Bar1</t>
  </si>
  <si>
    <t>Bar2</t>
  </si>
  <si>
    <t>Bar3</t>
  </si>
  <si>
    <t>Bar4</t>
  </si>
  <si>
    <t>Bar5</t>
  </si>
  <si>
    <t>Bar6</t>
  </si>
  <si>
    <t>Bar7</t>
  </si>
  <si>
    <t>Bar8</t>
  </si>
  <si>
    <t>TextTable Value Sum_Ton_km</t>
  </si>
  <si>
    <t>Fuel_Types</t>
  </si>
  <si>
    <t>Diesel</t>
  </si>
  <si>
    <t>Time</t>
  </si>
  <si>
    <t>Existing_Vehicles</t>
  </si>
  <si>
    <t>BusDiesel</t>
  </si>
  <si>
    <t>CarDiesel</t>
  </si>
  <si>
    <t>CarGasoline</t>
  </si>
  <si>
    <t>CarHybridDiesel</t>
  </si>
  <si>
    <t>CarHybridGasoline</t>
  </si>
  <si>
    <t>CarElectric</t>
  </si>
  <si>
    <t>HCV1Diesel</t>
  </si>
  <si>
    <t>HCV1Gasoline</t>
  </si>
  <si>
    <t>HCV2Diesel</t>
  </si>
  <si>
    <t>HCV3Diesel</t>
  </si>
  <si>
    <t>HCV4Diesel</t>
  </si>
  <si>
    <t>HCV5Diesel</t>
  </si>
  <si>
    <t>HCV6Diesel</t>
  </si>
  <si>
    <t>HCV7Diesel</t>
  </si>
  <si>
    <t>HCV8Diesel</t>
  </si>
  <si>
    <t>HCV9Diesel</t>
  </si>
  <si>
    <t>LCVDiesel</t>
  </si>
  <si>
    <t>LCVGasoline</t>
  </si>
  <si>
    <t>MBTDiesel</t>
  </si>
  <si>
    <t>MBTGasoline</t>
  </si>
  <si>
    <t>SUVDiesel</t>
  </si>
  <si>
    <t>SUVHybridGasoline</t>
  </si>
  <si>
    <t>SUVGasoline</t>
  </si>
  <si>
    <t>MotoGasoline</t>
  </si>
  <si>
    <t>TextTable Value Load_Factor</t>
  </si>
  <si>
    <t>TextTable Value Freight_Payload</t>
  </si>
  <si>
    <t>Sum of DIESEL GAS OIL - ALL GRADES</t>
  </si>
  <si>
    <t>Consolidated Sector</t>
  </si>
  <si>
    <t>Year</t>
  </si>
  <si>
    <t>Agricultural Co-ops &amp; Farmers</t>
  </si>
  <si>
    <t>Construction</t>
  </si>
  <si>
    <t>General Commercial &amp; Industrial</t>
  </si>
  <si>
    <t>General Dealers</t>
  </si>
  <si>
    <t>Government</t>
  </si>
  <si>
    <t>Independent LPG Marketers</t>
  </si>
  <si>
    <t>Local Authorities</t>
  </si>
  <si>
    <t>Local marine fishing</t>
  </si>
  <si>
    <t>Mining</t>
  </si>
  <si>
    <t>Public Transport</t>
  </si>
  <si>
    <t>Retail - garages</t>
  </si>
  <si>
    <t>Road Haulage</t>
  </si>
  <si>
    <t>Transnet</t>
  </si>
  <si>
    <t>Other</t>
  </si>
  <si>
    <t>Commercial</t>
  </si>
  <si>
    <t>Military</t>
  </si>
  <si>
    <t>International Marine Bunkers</t>
  </si>
  <si>
    <t>Grand Total</t>
  </si>
  <si>
    <t>billion litres</t>
  </si>
  <si>
    <t>MJ/litre</t>
  </si>
  <si>
    <t>Freight Demand (billion tkm)</t>
  </si>
  <si>
    <t>Energy Intensity (MJ/ktm)</t>
  </si>
  <si>
    <t>Vehicle types</t>
  </si>
  <si>
    <t>Weight Class [kg]</t>
  </si>
  <si>
    <t>Fuel type</t>
  </si>
  <si>
    <r>
      <t>Model ID</t>
    </r>
    <r>
      <rPr>
        <b/>
        <sz val="7"/>
        <color theme="1"/>
        <rFont val="Cambria"/>
        <family val="1"/>
      </rPr>
      <t>*</t>
    </r>
  </si>
  <si>
    <t>Light commercial vehicle</t>
  </si>
  <si>
    <t>&lt;3,000</t>
  </si>
  <si>
    <t>Gasoline</t>
  </si>
  <si>
    <t>Medium commercial vehicle</t>
  </si>
  <si>
    <t>3,000 -7,500</t>
  </si>
  <si>
    <t>Heavy commercial vehicle</t>
  </si>
  <si>
    <t>7,501 – 12,000</t>
  </si>
  <si>
    <t>12,001 – 16,000</t>
  </si>
  <si>
    <t>16,001 – 20,000</t>
  </si>
  <si>
    <t>20,001 – 24,000</t>
  </si>
  <si>
    <t>24,001 – 32,000</t>
  </si>
  <si>
    <t>Extra eavy commercial vehicle</t>
  </si>
  <si>
    <t>32,001 – 40,000</t>
  </si>
  <si>
    <t>Extra Heavy commercial vehicle</t>
  </si>
  <si>
    <t>40,001 – 50,000</t>
  </si>
  <si>
    <t>Extra heavy commercial vehicle</t>
  </si>
  <si>
    <t>&gt;50,000</t>
  </si>
  <si>
    <r>
      <t xml:space="preserve">* </t>
    </r>
    <r>
      <rPr>
        <i/>
        <sz val="9"/>
        <color theme="1"/>
        <rFont val="Cambria"/>
        <family val="1"/>
      </rPr>
      <t>These IDs are used in graph legends below</t>
    </r>
  </si>
  <si>
    <t>Adjusted</t>
  </si>
  <si>
    <t>Metro</t>
  </si>
  <si>
    <t>Hino 57-450 6X4 Truck Tractor. 
Two options of Hino's premium Truck Tractor are available depending on the choice of suspension and diff ratio. The first can be specified with air suspension and a 4,5 diff ratio and the second is with a diff ratio of 3,9 and steel suspension (alternative options also available). The 450 hp engine has an output of 331 kW @ 1 800 r/min and 2 157 Nm of torque @ 1 100 r/min. It is specified at 28 ton GVM and has a gross combination mass of 57 tons. It too is fitted with an engine retarder and transmission intarder as standard.</t>
  </si>
  <si>
    <t>NB: Truck Tractor of 28 ton GVM can have a GCM of 57 tons</t>
  </si>
  <si>
    <t>Adjusted (Rigid)</t>
  </si>
  <si>
    <t>Adjusted (Artic)</t>
  </si>
  <si>
    <t>Share Rigid</t>
  </si>
  <si>
    <t>Share Artic</t>
  </si>
  <si>
    <t>Notes</t>
  </si>
  <si>
    <t>TT</t>
  </si>
  <si>
    <t>tt &amp; trailer &amp; Load</t>
  </si>
  <si>
    <t>Load</t>
  </si>
  <si>
    <t>Trailer</t>
  </si>
  <si>
    <t>On average, an additional 1000 kg in weight can lead to more than 0.7 l/100km in fuel consumption for a truck-trailer combination on highway cycle. Differences in fuel consumption between 60t vehicles were analysed by the VTT Technical Research Centre of Finland [VTT, 2008] on highway cycle for different load rates. Fuel consumption was found to be around 30, 40 and 50 l/100km respectively for 0-load, 1/2 load and 2/2 load (see Figure 4).</t>
  </si>
  <si>
    <t>Tare Mass or Weight</t>
  </si>
  <si>
    <t>This is the weight of an empty standard vehicle with all of its fluids (oils, coolants) but with only 10 litres of fuel in the tank. We assume 10 litres was chosen as an industry standard to allow otherwise empty vehicles to be driven to and from a weighbridge.</t>
  </si>
  <si>
    <t>Kerb Mass or Weight</t>
  </si>
  <si>
    <t>This is the same as Tare Mass, but with a full tank of fuel and without any accessories fitted (bull bars, tow bars, roof racks etc). Think of it as your standard vehicle literally parked at the kerb and ready for you to get in and drive away.</t>
  </si>
  <si>
    <t>Gross Vehicle Mass (GVM) or Weight (GVW)</t>
  </si>
  <si>
    <t>This is the maximum your vehicle can weigh when fully loaded as specified by the manufacturer. You will usually find this GVM figure on the vehicle's weight placard (generally found in the driver's door opening) or in the owner's manual. So GVM is the Kerb Mass plus driver, passengers, luggage, pet dog, esky, tool kit and whatever else you're taking with you. And if you're towing something, GVM also includes the Tow Ball Download.</t>
  </si>
  <si>
    <t>Payload</t>
  </si>
  <si>
    <t>This is simply the maximum load your vehicle can carry as specified by the manufacturer. Just deduct your vehicle's Kerb Mass from its Gross Vehicle Mass (GVM) and what's left is the amount of stuff you can load into it. Don't forget this includes all passengers and their luggage, which can seriously bite into your payload. For example, if your vehicle has a 1000 kg (1.0 tonne) payload, five big blokes will use up about half of that before you even start throwing in their luggage and a couple of cold slabs!</t>
  </si>
  <si>
    <t>Gross Vehicle Axle Mass or Weight</t>
  </si>
  <si>
    <t>It's important to know that your vehicle's GVM has been distributed evenly</t>
  </si>
  <si>
    <t>This is the maximum load that your vehicle's front and rear axles can carry as specified by the manufacturer. You will usually find these figures in the owner's manual. The combined gross axle weights usually exceed the GVM, to provide a safety margin. Even so, it's important to know that your vehicle's GVM has been distributed evenly for safe and efficient operation.</t>
  </si>
  <si>
    <t>Tare Trailer Mass or Weight (TARE)</t>
  </si>
  <si>
    <t>This is the weight of an empty trailer. The term 'trailer' covers everything you can tow or 'trail' behind a vehicle, from a single-axle box trailer or camper trailer to motorcycle and jet-ski trailers right on up to heavy duty multi-axle boat trailers and caravans. If it's a camper trailer or caravan, its Tare Mass unlike a motor vehicle does not include fluids like water tanks, LPG tanks, toilet systems. Also known as Dry Weight for obvious reasons.</t>
  </si>
  <si>
    <t>Gross Trailer Mass (GTM) or Weight (GTW)</t>
  </si>
  <si>
    <t>This is the maximum axle load that your trailer is designed to carry as specified by its manufacturer. It is the combined weight of your trailer and its payload but does not including the Tow Bar Download (see separate heading). The GTM is usually displayed on the trailer or in the owner's manual.</t>
  </si>
  <si>
    <t>Aggregate Trailer Mass (ATM) or Weight (ATW)</t>
  </si>
  <si>
    <t>This is the Gross Trailer Mass (GTM) plus the Tow Bar Download (see separate heading). In other words, the ATM is the maximum towing weight of the trailer/caravan as specified by the manufacturer.</t>
  </si>
  <si>
    <t>Gross Combination Mass (GCM) or Weight (GCW)</t>
  </si>
  <si>
    <t>Towing figures claimed by some manufacturers should all carry a large asterisk</t>
  </si>
  <si>
    <t>This is the maximum weight allowed for your vehicle and trailer combined, as specified by the tow vehicle's manufacturer. This is where you have to pay close attention to your vehicle's GVM and your trailer's ATM, because those two figures determine the GCM and one directly affects the other.</t>
  </si>
  <si>
    <t>For example, say your vehicle has a Kerb Mass of 2500 kg, a GVM of 3500 kg and a GCM of 5000 kg.  </t>
  </si>
  <si>
    <t>At its Kerb Mass of 2500 kg the manufacturer says it can legally tow another 2500 kg, but that towing weight decreases in direct proportion to how much the tow vehicle's weight increases. So if you loaded up the towing vehicle to its GVM of 3500 kg (or a payload of 1000 kg), that would only leave a towing capacity of 1500 kg to meet the GCM of 5000 kg. If the tow vehicle's GVM dropped to 3000 kg (or a payload of 500 kg), its towing capacity would increase to 2000 kg and so on.</t>
  </si>
  <si>
    <t>The hairy-chested towing figures claimed by some manufacturers should all carry a large asterisk and explanation of this fact!</t>
  </si>
  <si>
    <t>TT GVM - includes portion of trailer load on truck chassis</t>
  </si>
  <si>
    <t>TT tare</t>
  </si>
  <si>
    <t>Axles</t>
  </si>
  <si>
    <t>tt &amp; trailer &amp; Load (GCM)</t>
  </si>
  <si>
    <t>Axle load at full GVM</t>
  </si>
  <si>
    <t>Average Load</t>
  </si>
  <si>
    <t>Corridor</t>
  </si>
  <si>
    <t>Rural</t>
  </si>
  <si>
    <t>SATIM</t>
  </si>
  <si>
    <t>GAIN</t>
  </si>
  <si>
    <t>Error</t>
  </si>
  <si>
    <t>57 ton GVM is 25% of corridor - GAIN</t>
  </si>
  <si>
    <t>Error Share Corridor etc</t>
  </si>
  <si>
    <t>Error Rigid Artic Share</t>
  </si>
  <si>
    <t>Total Error</t>
  </si>
  <si>
    <t>Total tkm</t>
  </si>
  <si>
    <t>tkm Share</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</si>
</sst>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 #,##0_ ;_ * \-#,##0_ ;_ * &quot;-&quot;??_ ;_ @_ "/>
    <numFmt numFmtId="165" formatCode="0.0%"/>
    <numFmt numFmtId="166" formatCode="0.00000"/>
    <numFmt numFmtId="171" formatCode="0.0"/>
    <numFmt numFmtId="180" formatCode="0.0E+00"/>
  </numFmts>
  <fonts count="26"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Cambria"/>
      <family val="1"/>
    </font>
    <font>
      <b/>
      <sz val="11"/>
      <color theme="1"/>
      <name val="Cambria"/>
      <family val="1"/>
    </font>
    <font>
      <b/>
      <sz val="7"/>
      <color theme="1"/>
      <name val="Cambria"/>
      <family val="1"/>
    </font>
    <font>
      <sz val="9"/>
      <color theme="1"/>
      <name val="Cambria"/>
      <family val="1"/>
    </font>
    <font>
      <i/>
      <sz val="9"/>
      <color theme="1"/>
      <name val="Cambria"/>
      <family val="1"/>
    </font>
    <font>
      <sz val="12"/>
      <color theme="1"/>
      <name val="Arial"/>
      <family val="2"/>
    </font>
    <font>
      <b/>
      <sz val="12"/>
      <color theme="1"/>
      <name val="Arial"/>
      <family val="2"/>
    </font>
    <font>
      <b/>
      <sz val="11"/>
      <color rgb="FFFF0000"/>
      <name val="Calibri"/>
      <family val="2"/>
      <scheme val="minor"/>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theme="5" tint="0.79998168889431442"/>
        <bgColor indexed="64"/>
      </patternFill>
    </fill>
    <fill>
      <patternFill patternType="solid">
        <fgColor rgb="FFFFC000"/>
        <bgColor indexed="64"/>
      </patternFill>
    </fill>
    <fill>
      <patternFill patternType="solid">
        <fgColor rgb="FFFF0000"/>
        <bgColor indexed="64"/>
      </patternFill>
    </fill>
    <fill>
      <patternFill patternType="solid">
        <fgColor rgb="FF00FF00"/>
        <bgColor indexed="64"/>
      </patternFill>
    </fill>
    <fill>
      <patternFill patternType="solid">
        <fgColor theme="7" tint="0.39997558519241921"/>
        <bgColor indexed="64"/>
      </patternFill>
    </fill>
  </fills>
  <borders count="3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8"/>
      </left>
      <right/>
      <top style="thin">
        <color indexed="8"/>
      </top>
      <bottom/>
      <diagonal/>
    </border>
    <border>
      <left style="thin">
        <color indexed="65"/>
      </left>
      <right/>
      <top style="thin">
        <color indexed="8"/>
      </top>
      <bottom/>
      <diagonal/>
    </border>
    <border>
      <left style="thin">
        <color indexed="65"/>
      </left>
      <right style="thin">
        <color indexed="8"/>
      </right>
      <top style="thin">
        <color indexed="8"/>
      </top>
      <bottom/>
      <diagonal/>
    </border>
    <border>
      <left/>
      <right/>
      <top style="thin">
        <color indexed="8"/>
      </top>
      <bottom/>
      <diagonal/>
    </border>
    <border>
      <left style="thin">
        <color indexed="8"/>
      </left>
      <right style="thin">
        <color indexed="8"/>
      </right>
      <top style="thin">
        <color indexed="8"/>
      </top>
      <bottom/>
      <diagonal/>
    </border>
    <border>
      <left style="thin">
        <color indexed="8"/>
      </left>
      <right/>
      <top/>
      <bottom/>
      <diagonal/>
    </border>
    <border>
      <left style="thin">
        <color indexed="8"/>
      </left>
      <right style="thin">
        <color indexed="8"/>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43">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82">
    <xf numFmtId="0" fontId="0" fillId="0" borderId="0" xfId="0"/>
    <xf numFmtId="11" fontId="0" fillId="0" borderId="0" xfId="0" applyNumberFormat="1"/>
    <xf numFmtId="0" fontId="0" fillId="0" borderId="10" xfId="0" applyBorder="1"/>
    <xf numFmtId="0" fontId="0" fillId="0" borderId="11" xfId="0" applyBorder="1"/>
    <xf numFmtId="0" fontId="0" fillId="0" borderId="12" xfId="0" applyBorder="1"/>
    <xf numFmtId="0" fontId="0" fillId="33" borderId="10" xfId="0" applyFill="1" applyBorder="1" applyAlignment="1">
      <alignment wrapText="1"/>
    </xf>
    <xf numFmtId="0" fontId="0" fillId="0" borderId="13" xfId="0" applyBorder="1" applyAlignment="1">
      <alignment wrapText="1"/>
    </xf>
    <xf numFmtId="0" fontId="0" fillId="33" borderId="13" xfId="0" applyFill="1" applyBorder="1" applyAlignment="1">
      <alignment wrapText="1"/>
    </xf>
    <xf numFmtId="0" fontId="0" fillId="34" borderId="13" xfId="0" applyFill="1" applyBorder="1" applyAlignment="1">
      <alignment wrapText="1"/>
    </xf>
    <xf numFmtId="0" fontId="0" fillId="0" borderId="13" xfId="0" applyFill="1" applyBorder="1" applyAlignment="1">
      <alignment wrapText="1"/>
    </xf>
    <xf numFmtId="0" fontId="0" fillId="0" borderId="14" xfId="0" applyBorder="1" applyAlignment="1">
      <alignment wrapText="1"/>
    </xf>
    <xf numFmtId="164" fontId="0" fillId="0" borderId="10" xfId="0" applyNumberFormat="1" applyBorder="1"/>
    <xf numFmtId="164" fontId="0" fillId="0" borderId="13" xfId="0" applyNumberFormat="1" applyBorder="1"/>
    <xf numFmtId="164" fontId="0" fillId="0" borderId="13" xfId="0" applyNumberFormat="1" applyFill="1" applyBorder="1"/>
    <xf numFmtId="0" fontId="0" fillId="0" borderId="14" xfId="0" applyNumberFormat="1" applyBorder="1"/>
    <xf numFmtId="0" fontId="0" fillId="0" borderId="15" xfId="0" applyBorder="1"/>
    <xf numFmtId="164" fontId="0" fillId="0" borderId="15" xfId="0" applyNumberFormat="1" applyBorder="1"/>
    <xf numFmtId="164" fontId="0" fillId="0" borderId="0" xfId="0" applyNumberFormat="1"/>
    <xf numFmtId="164" fontId="0" fillId="0" borderId="0" xfId="0" applyNumberFormat="1" applyFill="1"/>
    <xf numFmtId="0" fontId="0" fillId="0" borderId="16" xfId="0" applyNumberFormat="1" applyBorder="1"/>
    <xf numFmtId="0" fontId="0" fillId="0" borderId="17" xfId="0" applyBorder="1"/>
    <xf numFmtId="0" fontId="0" fillId="0" borderId="17" xfId="0" applyNumberFormat="1" applyBorder="1"/>
    <xf numFmtId="0" fontId="0" fillId="0" borderId="18" xfId="0" applyNumberFormat="1" applyBorder="1"/>
    <xf numFmtId="0" fontId="0" fillId="0" borderId="18" xfId="0" applyNumberFormat="1" applyFill="1" applyBorder="1"/>
    <xf numFmtId="0" fontId="0" fillId="0" borderId="19" xfId="0" applyNumberFormat="1" applyBorder="1"/>
    <xf numFmtId="0" fontId="0" fillId="0" borderId="10" xfId="0" pivotButton="1" applyBorder="1"/>
    <xf numFmtId="9" fontId="0" fillId="0" borderId="10" xfId="1" applyFont="1" applyBorder="1"/>
    <xf numFmtId="165" fontId="0" fillId="0" borderId="10" xfId="1" applyNumberFormat="1" applyFont="1" applyBorder="1"/>
    <xf numFmtId="166" fontId="0" fillId="0" borderId="0" xfId="0" applyNumberFormat="1"/>
    <xf numFmtId="0" fontId="0" fillId="0" borderId="20" xfId="0" applyBorder="1" applyAlignment="1">
      <alignment horizontal="center" wrapText="1"/>
    </xf>
    <xf numFmtId="0" fontId="0" fillId="0" borderId="20" xfId="0" applyBorder="1" applyAlignment="1">
      <alignment horizontal="center"/>
    </xf>
    <xf numFmtId="2" fontId="0" fillId="0" borderId="20" xfId="0" applyNumberFormat="1" applyBorder="1" applyAlignment="1">
      <alignment horizontal="center"/>
    </xf>
    <xf numFmtId="0" fontId="0" fillId="33" borderId="20" xfId="0" applyFill="1" applyBorder="1" applyAlignment="1">
      <alignment horizontal="center"/>
    </xf>
    <xf numFmtId="2" fontId="0" fillId="33" borderId="20" xfId="0" applyNumberFormat="1" applyFill="1" applyBorder="1" applyAlignment="1">
      <alignment horizontal="center"/>
    </xf>
    <xf numFmtId="0" fontId="19" fillId="0" borderId="21" xfId="0" applyFont="1" applyBorder="1" applyAlignment="1">
      <alignment horizontal="justify" vertical="center" wrapText="1"/>
    </xf>
    <xf numFmtId="0" fontId="19" fillId="0" borderId="22" xfId="0" applyFont="1" applyBorder="1" applyAlignment="1">
      <alignment horizontal="justify" vertical="center" wrapText="1"/>
    </xf>
    <xf numFmtId="0" fontId="18" fillId="0" borderId="23" xfId="0" applyFont="1" applyBorder="1" applyAlignment="1">
      <alignment horizontal="justify" vertical="center" wrapText="1"/>
    </xf>
    <xf numFmtId="0" fontId="18" fillId="0" borderId="24" xfId="0" applyFont="1" applyBorder="1" applyAlignment="1">
      <alignment horizontal="justify" vertical="center" wrapText="1"/>
    </xf>
    <xf numFmtId="0" fontId="21" fillId="0" borderId="25" xfId="0" applyFont="1" applyBorder="1" applyAlignment="1">
      <alignment horizontal="justify" vertical="center" wrapText="1"/>
    </xf>
    <xf numFmtId="0" fontId="21" fillId="0" borderId="26" xfId="0" applyFont="1" applyBorder="1" applyAlignment="1">
      <alignment horizontal="justify" vertical="center" wrapText="1"/>
    </xf>
    <xf numFmtId="0" fontId="21" fillId="0" borderId="22" xfId="0" applyFont="1" applyBorder="1" applyAlignment="1">
      <alignment horizontal="justify" vertical="center" wrapText="1"/>
    </xf>
    <xf numFmtId="0" fontId="0" fillId="0" borderId="0" xfId="0" applyAlignment="1">
      <alignment horizontal="center" wrapText="1"/>
    </xf>
    <xf numFmtId="0" fontId="0" fillId="0" borderId="0" xfId="0" applyAlignment="1">
      <alignment horizontal="center"/>
    </xf>
    <xf numFmtId="0" fontId="0" fillId="0" borderId="0" xfId="0" applyAlignment="1">
      <alignment horizontal="left" vertical="top" wrapText="1"/>
    </xf>
    <xf numFmtId="0" fontId="18" fillId="0" borderId="20" xfId="0" applyFont="1" applyBorder="1" applyAlignment="1">
      <alignment horizontal="justify" vertical="center" wrapText="1"/>
    </xf>
    <xf numFmtId="0" fontId="0" fillId="37" borderId="0" xfId="0" applyFill="1"/>
    <xf numFmtId="0" fontId="18" fillId="37" borderId="20" xfId="0" applyFont="1" applyFill="1" applyBorder="1" applyAlignment="1">
      <alignment horizontal="justify" vertical="center" wrapText="1"/>
    </xf>
    <xf numFmtId="9" fontId="0" fillId="37" borderId="20" xfId="0" applyNumberFormat="1" applyFill="1" applyBorder="1" applyAlignment="1">
      <alignment horizontal="center"/>
    </xf>
    <xf numFmtId="0" fontId="0" fillId="33" borderId="27" xfId="0" applyFill="1" applyBorder="1" applyAlignment="1">
      <alignment horizontal="center"/>
    </xf>
    <xf numFmtId="0" fontId="0" fillId="35" borderId="27" xfId="0" applyFill="1" applyBorder="1" applyAlignment="1">
      <alignment horizontal="center"/>
    </xf>
    <xf numFmtId="0" fontId="0" fillId="35" borderId="20" xfId="0" applyFill="1" applyBorder="1" applyAlignment="1">
      <alignment horizontal="center"/>
    </xf>
    <xf numFmtId="0" fontId="0" fillId="37" borderId="20" xfId="0" applyFill="1" applyBorder="1" applyAlignment="1">
      <alignment horizontal="center"/>
    </xf>
    <xf numFmtId="9" fontId="0" fillId="35" borderId="20" xfId="0" applyNumberFormat="1" applyFill="1" applyBorder="1" applyAlignment="1">
      <alignment horizontal="center"/>
    </xf>
    <xf numFmtId="0" fontId="0" fillId="0" borderId="20" xfId="0" applyBorder="1"/>
    <xf numFmtId="0" fontId="0" fillId="0" borderId="0" xfId="0" applyAlignment="1">
      <alignment horizontal="left" wrapText="1"/>
    </xf>
    <xf numFmtId="0" fontId="23" fillId="0" borderId="0" xfId="0" applyFont="1" applyAlignment="1"/>
    <xf numFmtId="0" fontId="23" fillId="0" borderId="0" xfId="0" applyFont="1" applyAlignment="1">
      <alignment horizontal="left" vertical="center"/>
    </xf>
    <xf numFmtId="0" fontId="23" fillId="0" borderId="0" xfId="0" applyFont="1"/>
    <xf numFmtId="0" fontId="24" fillId="0" borderId="0" xfId="0" applyFont="1" applyAlignment="1">
      <alignment horizontal="left" vertical="center"/>
    </xf>
    <xf numFmtId="0" fontId="23" fillId="0" borderId="0" xfId="0" applyFont="1" applyAlignment="1">
      <alignment horizontal="left" wrapText="1"/>
    </xf>
    <xf numFmtId="0" fontId="23" fillId="0" borderId="0" xfId="0" applyFont="1" applyAlignment="1">
      <alignment wrapText="1"/>
    </xf>
    <xf numFmtId="0" fontId="0" fillId="0" borderId="28" xfId="0" applyBorder="1"/>
    <xf numFmtId="0" fontId="0" fillId="0" borderId="29" xfId="0" applyBorder="1" applyAlignment="1">
      <alignment horizontal="center" wrapText="1"/>
    </xf>
    <xf numFmtId="0" fontId="0" fillId="0" borderId="0" xfId="0" applyNumberFormat="1"/>
    <xf numFmtId="9" fontId="0" fillId="0" borderId="0" xfId="1" applyFont="1" applyAlignment="1">
      <alignment horizontal="center"/>
    </xf>
    <xf numFmtId="171" fontId="16" fillId="38" borderId="0" xfId="0" applyNumberFormat="1" applyFont="1" applyFill="1" applyAlignment="1">
      <alignment horizontal="center"/>
    </xf>
    <xf numFmtId="0" fontId="17" fillId="36" borderId="20" xfId="0" applyFont="1" applyFill="1" applyBorder="1" applyAlignment="1">
      <alignment horizontal="center"/>
    </xf>
    <xf numFmtId="0" fontId="17" fillId="36" borderId="20" xfId="0" applyFont="1" applyFill="1" applyBorder="1"/>
    <xf numFmtId="1" fontId="17" fillId="36" borderId="20" xfId="0" applyNumberFormat="1" applyFont="1" applyFill="1" applyBorder="1" applyAlignment="1">
      <alignment horizontal="center"/>
    </xf>
    <xf numFmtId="0" fontId="17" fillId="36" borderId="0" xfId="0" applyFont="1" applyFill="1"/>
    <xf numFmtId="9" fontId="17" fillId="36" borderId="20" xfId="1" applyFont="1" applyFill="1" applyBorder="1"/>
    <xf numFmtId="11" fontId="16" fillId="0" borderId="20" xfId="0" applyNumberFormat="1" applyFont="1" applyBorder="1"/>
    <xf numFmtId="0" fontId="16" fillId="0" borderId="20" xfId="0" applyFont="1" applyBorder="1"/>
    <xf numFmtId="9" fontId="16" fillId="0" borderId="20" xfId="0" applyNumberFormat="1" applyFont="1" applyBorder="1"/>
    <xf numFmtId="165" fontId="16" fillId="0" borderId="20" xfId="0" applyNumberFormat="1" applyFont="1" applyBorder="1"/>
    <xf numFmtId="9" fontId="16" fillId="37" borderId="20" xfId="0" applyNumberFormat="1" applyFont="1" applyFill="1" applyBorder="1"/>
    <xf numFmtId="0" fontId="25" fillId="0" borderId="20" xfId="0" applyFont="1" applyFill="1" applyBorder="1"/>
    <xf numFmtId="1" fontId="25" fillId="0" borderId="20" xfId="0" applyNumberFormat="1" applyFont="1" applyFill="1" applyBorder="1"/>
    <xf numFmtId="180" fontId="25" fillId="0" borderId="20" xfId="0" applyNumberFormat="1" applyFont="1" applyFill="1" applyBorder="1"/>
    <xf numFmtId="0" fontId="16" fillId="0" borderId="20" xfId="0" applyFont="1" applyBorder="1" applyAlignment="1">
      <alignment horizontal="center"/>
    </xf>
    <xf numFmtId="165" fontId="16" fillId="0" borderId="20" xfId="1" applyNumberFormat="1" applyFont="1" applyBorder="1"/>
    <xf numFmtId="165" fontId="16" fillId="37" borderId="20" xfId="1" applyNumberFormat="1" applyFont="1" applyFill="1" applyBorder="1"/>
  </cellXfs>
  <cellStyles count="43">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Input" xfId="10" builtinId="20" customBuiltin="1"/>
    <cellStyle name="Linked Cell" xfId="13" builtinId="24" customBuiltin="1"/>
    <cellStyle name="Neutral" xfId="9" builtinId="28" customBuiltin="1"/>
    <cellStyle name="Normal" xfId="0" builtinId="0"/>
    <cellStyle name="Note" xfId="16" builtinId="10" customBuiltin="1"/>
    <cellStyle name="Output" xfId="11" builtinId="21" customBuiltin="1"/>
    <cellStyle name="Percent" xfId="1" builtinId="5"/>
    <cellStyle name="Title" xfId="2" builtinId="15" customBuiltin="1"/>
    <cellStyle name="Total" xfId="18" builtinId="25" customBuiltin="1"/>
    <cellStyle name="Warning Text" xfId="15" builtinId="11" customBuiltin="1"/>
  </cellStyles>
  <dxfs count="0"/>
  <tableStyles count="0" defaultTableStyle="TableStyleMedium2"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2.gif"/></Relationships>
</file>

<file path=xl/drawings/_rels/drawing3.xml.rels><?xml version="1.0" encoding="UTF-8" standalone="yes"?>
<Relationships xmlns="http://schemas.openxmlformats.org/package/2006/relationships"><Relationship Id="rId1" Type="http://schemas.openxmlformats.org/officeDocument/2006/relationships/image" Target="../media/image3.gif"/></Relationships>
</file>

<file path=xl/drawings/drawing1.xml><?xml version="1.0" encoding="utf-8"?>
<xdr:wsDr xmlns:xdr="http://schemas.openxmlformats.org/drawingml/2006/spreadsheetDrawing" xmlns:a="http://schemas.openxmlformats.org/drawingml/2006/main">
  <xdr:twoCellAnchor editAs="oneCell">
    <xdr:from>
      <xdr:col>17</xdr:col>
      <xdr:colOff>762000</xdr:colOff>
      <xdr:row>57</xdr:row>
      <xdr:rowOff>171450</xdr:rowOff>
    </xdr:from>
    <xdr:to>
      <xdr:col>22</xdr:col>
      <xdr:colOff>2105025</xdr:colOff>
      <xdr:row>67</xdr:row>
      <xdr:rowOff>95250</xdr:rowOff>
    </xdr:to>
    <xdr:pic>
      <xdr:nvPicPr>
        <xdr:cNvPr id="3" name="Picture 2"/>
        <xdr:cNvPicPr>
          <a:picLocks noChangeAspect="1"/>
        </xdr:cNvPicPr>
      </xdr:nvPicPr>
      <xdr:blipFill>
        <a:blip xmlns:r="http://schemas.openxmlformats.org/officeDocument/2006/relationships" r:embed="rId1"/>
        <a:stretch>
          <a:fillRect/>
        </a:stretch>
      </xdr:blipFill>
      <xdr:spPr>
        <a:xfrm>
          <a:off x="15344775" y="11410950"/>
          <a:ext cx="6524625" cy="20193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457200</xdr:colOff>
      <xdr:row>4</xdr:row>
      <xdr:rowOff>9525</xdr:rowOff>
    </xdr:from>
    <xdr:to>
      <xdr:col>18</xdr:col>
      <xdr:colOff>28575</xdr:colOff>
      <xdr:row>21</xdr:row>
      <xdr:rowOff>85725</xdr:rowOff>
    </xdr:to>
    <xdr:pic>
      <xdr:nvPicPr>
        <xdr:cNvPr id="4" name="Picture 3"/>
        <xdr:cNvPicPr>
          <a:picLocks noChangeAspect="1"/>
        </xdr:cNvPicPr>
      </xdr:nvPicPr>
      <xdr:blipFill>
        <a:blip xmlns:r="http://schemas.openxmlformats.org/officeDocument/2006/relationships" r:embed="rId1"/>
        <a:stretch>
          <a:fillRect/>
        </a:stretch>
      </xdr:blipFill>
      <xdr:spPr>
        <a:xfrm>
          <a:off x="5838825" y="1695450"/>
          <a:ext cx="8105775" cy="33147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5</xdr:row>
      <xdr:rowOff>148513</xdr:rowOff>
    </xdr:from>
    <xdr:to>
      <xdr:col>12</xdr:col>
      <xdr:colOff>172868</xdr:colOff>
      <xdr:row>29</xdr:row>
      <xdr:rowOff>161925</xdr:rowOff>
    </xdr:to>
    <xdr:pic>
      <xdr:nvPicPr>
        <xdr:cNvPr id="3" name="Picture 2"/>
        <xdr:cNvPicPr>
          <a:picLocks noChangeAspect="1"/>
        </xdr:cNvPicPr>
      </xdr:nvPicPr>
      <xdr:blipFill>
        <a:blip xmlns:r="http://schemas.openxmlformats.org/officeDocument/2006/relationships" r:embed="rId1"/>
        <a:stretch>
          <a:fillRect/>
        </a:stretch>
      </xdr:blipFill>
      <xdr:spPr>
        <a:xfrm>
          <a:off x="0" y="1101013"/>
          <a:ext cx="7488068" cy="458541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workbookViewId="0">
      <selection activeCell="M19" sqref="M19"/>
    </sheetView>
  </sheetViews>
  <sheetFormatPr defaultRowHeight="15" x14ac:dyDescent="0.25"/>
  <sheetData>
    <row r="1" spans="1:2" x14ac:dyDescent="0.25">
      <c r="A1" t="s">
        <v>0</v>
      </c>
      <c r="B1">
        <v>350.64935064935003</v>
      </c>
    </row>
    <row r="2" spans="1:2" x14ac:dyDescent="0.25">
      <c r="A2" t="s">
        <v>1</v>
      </c>
      <c r="B2">
        <v>411.25541125541099</v>
      </c>
    </row>
    <row r="3" spans="1:2" x14ac:dyDescent="0.25">
      <c r="A3" t="s">
        <v>2</v>
      </c>
      <c r="B3">
        <v>796.53679653679603</v>
      </c>
    </row>
    <row r="4" spans="1:2" x14ac:dyDescent="0.25">
      <c r="A4" t="s">
        <v>3</v>
      </c>
      <c r="B4">
        <v>532.46753246753201</v>
      </c>
    </row>
    <row r="5" spans="1:2" x14ac:dyDescent="0.25">
      <c r="A5" t="s">
        <v>4</v>
      </c>
      <c r="B5">
        <v>714.28571428571399</v>
      </c>
    </row>
    <row r="6" spans="1:2" x14ac:dyDescent="0.25">
      <c r="A6" t="s">
        <v>5</v>
      </c>
      <c r="B6">
        <v>1753.2467532467499</v>
      </c>
    </row>
    <row r="7" spans="1:2" x14ac:dyDescent="0.25">
      <c r="A7" t="s">
        <v>6</v>
      </c>
      <c r="B7">
        <v>277.056277056277</v>
      </c>
    </row>
    <row r="8" spans="1:2" x14ac:dyDescent="0.25">
      <c r="A8" t="s">
        <v>7</v>
      </c>
      <c r="B8">
        <v>432.90043290043201</v>
      </c>
    </row>
    <row r="9" spans="1:2" x14ac:dyDescent="0.25">
      <c r="A9" t="s">
        <v>8</v>
      </c>
      <c r="B9">
        <v>1316.0173160173099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0"/>
  <sheetViews>
    <sheetView tabSelected="1" topLeftCell="G38" workbookViewId="0">
      <selection activeCell="G38" sqref="G38"/>
    </sheetView>
  </sheetViews>
  <sheetFormatPr defaultRowHeight="15" x14ac:dyDescent="0.25"/>
  <cols>
    <col min="1" max="2" width="20.28515625" customWidth="1"/>
    <col min="5" max="5" width="31.28515625" customWidth="1"/>
    <col min="11" max="11" width="12.7109375" customWidth="1"/>
    <col min="12" max="12" width="22.28515625" customWidth="1"/>
    <col min="15" max="15" width="11.28515625" customWidth="1"/>
    <col min="18" max="20" width="12" bestFit="1" customWidth="1"/>
    <col min="21" max="22" width="20.85546875" customWidth="1"/>
    <col min="23" max="23" width="33.28515625" customWidth="1"/>
    <col min="24" max="24" width="42.140625" customWidth="1"/>
  </cols>
  <sheetData>
    <row r="1" spans="1:25" x14ac:dyDescent="0.25">
      <c r="A1" t="s">
        <v>9</v>
      </c>
    </row>
    <row r="2" spans="1:25" x14ac:dyDescent="0.25">
      <c r="A2" t="s">
        <v>10</v>
      </c>
      <c r="C2" t="s">
        <v>11</v>
      </c>
    </row>
    <row r="3" spans="1:25" x14ac:dyDescent="0.25">
      <c r="A3" t="s">
        <v>12</v>
      </c>
      <c r="C3">
        <v>2000</v>
      </c>
      <c r="D3">
        <v>2001</v>
      </c>
      <c r="E3">
        <v>2002</v>
      </c>
      <c r="F3">
        <v>2003</v>
      </c>
      <c r="G3">
        <v>2004</v>
      </c>
      <c r="H3">
        <v>2005</v>
      </c>
      <c r="I3">
        <v>2006</v>
      </c>
      <c r="J3">
        <v>2007</v>
      </c>
      <c r="K3">
        <v>2008</v>
      </c>
      <c r="L3">
        <v>2009</v>
      </c>
      <c r="M3">
        <v>2010</v>
      </c>
      <c r="N3">
        <v>2011</v>
      </c>
      <c r="O3">
        <v>2012</v>
      </c>
      <c r="P3">
        <v>2013</v>
      </c>
      <c r="Q3">
        <v>2014</v>
      </c>
      <c r="R3">
        <v>2015</v>
      </c>
      <c r="S3">
        <v>2020</v>
      </c>
      <c r="T3">
        <v>2025</v>
      </c>
      <c r="U3">
        <v>2030</v>
      </c>
      <c r="V3">
        <v>2035</v>
      </c>
      <c r="W3">
        <v>2040</v>
      </c>
      <c r="X3">
        <v>2045</v>
      </c>
      <c r="Y3">
        <v>2050</v>
      </c>
    </row>
    <row r="4" spans="1:25" x14ac:dyDescent="0.25">
      <c r="A4" t="s">
        <v>13</v>
      </c>
    </row>
    <row r="5" spans="1:25" x14ac:dyDescent="0.25">
      <c r="A5" t="s">
        <v>14</v>
      </c>
      <c r="C5">
        <v>0</v>
      </c>
      <c r="D5">
        <v>0</v>
      </c>
      <c r="E5">
        <v>0</v>
      </c>
      <c r="F5">
        <v>0</v>
      </c>
      <c r="G5">
        <v>0</v>
      </c>
      <c r="H5">
        <v>0</v>
      </c>
      <c r="I5">
        <v>0</v>
      </c>
      <c r="J5">
        <v>0</v>
      </c>
      <c r="K5">
        <v>0</v>
      </c>
      <c r="L5">
        <v>0</v>
      </c>
      <c r="M5">
        <v>0</v>
      </c>
      <c r="N5">
        <v>0</v>
      </c>
      <c r="O5">
        <v>0</v>
      </c>
      <c r="P5">
        <v>0</v>
      </c>
      <c r="Q5">
        <v>0</v>
      </c>
      <c r="R5">
        <v>0</v>
      </c>
      <c r="S5">
        <v>0</v>
      </c>
      <c r="T5">
        <v>0</v>
      </c>
      <c r="U5">
        <v>0</v>
      </c>
      <c r="V5">
        <v>0</v>
      </c>
      <c r="W5">
        <v>0</v>
      </c>
      <c r="X5">
        <v>0</v>
      </c>
      <c r="Y5">
        <v>0</v>
      </c>
    </row>
    <row r="6" spans="1:25" x14ac:dyDescent="0.25">
      <c r="A6" t="s">
        <v>15</v>
      </c>
      <c r="C6">
        <v>0</v>
      </c>
      <c r="D6">
        <v>0</v>
      </c>
      <c r="E6">
        <v>0</v>
      </c>
      <c r="F6">
        <v>0</v>
      </c>
      <c r="G6">
        <v>0</v>
      </c>
      <c r="H6">
        <v>0</v>
      </c>
      <c r="I6">
        <v>0</v>
      </c>
      <c r="J6">
        <v>0</v>
      </c>
      <c r="K6">
        <v>0</v>
      </c>
      <c r="L6">
        <v>0</v>
      </c>
      <c r="M6">
        <v>0</v>
      </c>
      <c r="N6">
        <v>0</v>
      </c>
      <c r="O6">
        <v>0</v>
      </c>
      <c r="P6">
        <v>0</v>
      </c>
      <c r="Q6">
        <v>0</v>
      </c>
      <c r="R6">
        <v>0</v>
      </c>
      <c r="S6">
        <v>0</v>
      </c>
      <c r="T6">
        <v>0</v>
      </c>
      <c r="U6">
        <v>0</v>
      </c>
      <c r="V6">
        <v>0</v>
      </c>
      <c r="W6">
        <v>0</v>
      </c>
      <c r="X6">
        <v>0</v>
      </c>
      <c r="Y6">
        <v>0</v>
      </c>
    </row>
    <row r="7" spans="1:25" x14ac:dyDescent="0.25">
      <c r="A7" t="s">
        <v>16</v>
      </c>
      <c r="C7">
        <v>0</v>
      </c>
      <c r="D7">
        <v>0</v>
      </c>
      <c r="E7">
        <v>0</v>
      </c>
      <c r="F7">
        <v>0</v>
      </c>
      <c r="G7">
        <v>0</v>
      </c>
      <c r="H7">
        <v>0</v>
      </c>
      <c r="I7">
        <v>0</v>
      </c>
      <c r="J7">
        <v>0</v>
      </c>
      <c r="K7">
        <v>0</v>
      </c>
      <c r="L7">
        <v>0</v>
      </c>
      <c r="M7">
        <v>0</v>
      </c>
      <c r="N7">
        <v>0</v>
      </c>
      <c r="O7">
        <v>0</v>
      </c>
      <c r="P7">
        <v>0</v>
      </c>
      <c r="Q7">
        <v>0</v>
      </c>
      <c r="R7">
        <v>0</v>
      </c>
      <c r="S7">
        <v>0</v>
      </c>
      <c r="T7">
        <v>0</v>
      </c>
      <c r="U7">
        <v>0</v>
      </c>
      <c r="V7">
        <v>0</v>
      </c>
      <c r="W7">
        <v>0</v>
      </c>
      <c r="X7">
        <v>0</v>
      </c>
      <c r="Y7">
        <v>0</v>
      </c>
    </row>
    <row r="8" spans="1:25" x14ac:dyDescent="0.25">
      <c r="A8" t="s">
        <v>17</v>
      </c>
      <c r="C8">
        <v>0</v>
      </c>
      <c r="D8">
        <v>0</v>
      </c>
      <c r="E8">
        <v>0</v>
      </c>
      <c r="F8">
        <v>0</v>
      </c>
      <c r="G8">
        <v>0</v>
      </c>
      <c r="H8">
        <v>0</v>
      </c>
      <c r="I8">
        <v>0</v>
      </c>
      <c r="J8">
        <v>0</v>
      </c>
      <c r="K8">
        <v>0</v>
      </c>
      <c r="L8">
        <v>0</v>
      </c>
      <c r="M8">
        <v>0</v>
      </c>
      <c r="N8">
        <v>0</v>
      </c>
      <c r="O8">
        <v>0</v>
      </c>
      <c r="P8">
        <v>0</v>
      </c>
      <c r="Q8">
        <v>0</v>
      </c>
      <c r="R8">
        <v>0</v>
      </c>
      <c r="S8">
        <v>0</v>
      </c>
      <c r="T8">
        <v>0</v>
      </c>
      <c r="U8">
        <v>0</v>
      </c>
      <c r="V8">
        <v>0</v>
      </c>
      <c r="W8">
        <v>0</v>
      </c>
      <c r="X8">
        <v>0</v>
      </c>
      <c r="Y8">
        <v>0</v>
      </c>
    </row>
    <row r="9" spans="1:25" x14ac:dyDescent="0.25">
      <c r="A9" t="s">
        <v>18</v>
      </c>
      <c r="C9">
        <v>0</v>
      </c>
      <c r="D9">
        <v>0</v>
      </c>
      <c r="E9">
        <v>0</v>
      </c>
      <c r="F9">
        <v>0</v>
      </c>
      <c r="G9">
        <v>0</v>
      </c>
      <c r="H9">
        <v>0</v>
      </c>
      <c r="I9">
        <v>0</v>
      </c>
      <c r="J9">
        <v>0</v>
      </c>
      <c r="K9">
        <v>0</v>
      </c>
      <c r="L9">
        <v>0</v>
      </c>
      <c r="M9">
        <v>0</v>
      </c>
      <c r="N9">
        <v>0</v>
      </c>
      <c r="O9">
        <v>0</v>
      </c>
      <c r="P9">
        <v>0</v>
      </c>
      <c r="Q9">
        <v>0</v>
      </c>
      <c r="R9">
        <v>0</v>
      </c>
      <c r="S9">
        <v>0</v>
      </c>
      <c r="T9">
        <v>0</v>
      </c>
      <c r="U9">
        <v>0</v>
      </c>
      <c r="V9">
        <v>0</v>
      </c>
      <c r="W9">
        <v>0</v>
      </c>
      <c r="X9">
        <v>0</v>
      </c>
      <c r="Y9">
        <v>0</v>
      </c>
    </row>
    <row r="10" spans="1:25" x14ac:dyDescent="0.25">
      <c r="A10" t="s">
        <v>19</v>
      </c>
      <c r="C10">
        <v>0</v>
      </c>
      <c r="D10">
        <v>0</v>
      </c>
      <c r="E10">
        <v>0</v>
      </c>
      <c r="F10">
        <v>0</v>
      </c>
      <c r="G10">
        <v>0</v>
      </c>
      <c r="H10">
        <v>0</v>
      </c>
      <c r="I10">
        <v>0</v>
      </c>
      <c r="J10">
        <v>0</v>
      </c>
      <c r="K10">
        <v>0</v>
      </c>
      <c r="L10">
        <v>0</v>
      </c>
      <c r="M10">
        <v>0</v>
      </c>
      <c r="N10">
        <v>0</v>
      </c>
      <c r="O10">
        <v>0</v>
      </c>
      <c r="P10">
        <v>0</v>
      </c>
      <c r="Q10">
        <v>0</v>
      </c>
      <c r="R10">
        <v>0</v>
      </c>
      <c r="S10">
        <v>0</v>
      </c>
      <c r="T10">
        <v>0</v>
      </c>
      <c r="U10">
        <v>0</v>
      </c>
      <c r="V10">
        <v>0</v>
      </c>
      <c r="W10">
        <v>0</v>
      </c>
      <c r="X10">
        <v>0</v>
      </c>
      <c r="Y10">
        <v>0</v>
      </c>
    </row>
    <row r="11" spans="1:25" x14ac:dyDescent="0.25">
      <c r="A11" t="s">
        <v>20</v>
      </c>
      <c r="C11" s="1">
        <v>4921956257.1839504</v>
      </c>
      <c r="D11" s="1">
        <v>5099053863.8765898</v>
      </c>
      <c r="E11" s="1">
        <v>5294129243.60427</v>
      </c>
      <c r="F11" s="1">
        <v>5498723145.4281301</v>
      </c>
      <c r="G11" s="1">
        <v>5878589922.6451502</v>
      </c>
      <c r="H11" s="1">
        <v>6541206848.9817104</v>
      </c>
      <c r="I11" s="1">
        <v>7362311804.3453102</v>
      </c>
      <c r="J11" s="1">
        <v>8251072497.0926704</v>
      </c>
      <c r="K11" s="1">
        <v>8822335834.3570194</v>
      </c>
      <c r="L11" s="1">
        <v>8921027047.2379704</v>
      </c>
      <c r="M11" s="1">
        <v>9004487304.2496605</v>
      </c>
      <c r="N11" s="1">
        <v>9213412586.8328094</v>
      </c>
      <c r="O11" s="1">
        <v>9492579659.4752808</v>
      </c>
      <c r="P11" s="1">
        <v>9899136924.8113708</v>
      </c>
      <c r="Q11">
        <v>0</v>
      </c>
      <c r="R11">
        <v>0</v>
      </c>
      <c r="S11">
        <v>0</v>
      </c>
      <c r="T11">
        <v>0</v>
      </c>
      <c r="U11">
        <v>0</v>
      </c>
      <c r="V11">
        <v>0</v>
      </c>
      <c r="W11">
        <v>0</v>
      </c>
      <c r="X11">
        <v>0</v>
      </c>
      <c r="Y11">
        <v>0</v>
      </c>
    </row>
    <row r="12" spans="1:25" x14ac:dyDescent="0.25">
      <c r="A12" t="s">
        <v>21</v>
      </c>
      <c r="C12" s="1">
        <v>410042977.89118898</v>
      </c>
      <c r="D12" s="1">
        <v>370737690.55671698</v>
      </c>
      <c r="E12" s="1">
        <v>331015325.324736</v>
      </c>
      <c r="F12" s="1">
        <v>294368288.92843097</v>
      </c>
      <c r="G12" s="1">
        <v>259122445.31748801</v>
      </c>
      <c r="H12" s="1">
        <v>226865350.57570699</v>
      </c>
      <c r="I12" s="1">
        <v>202359062.217603</v>
      </c>
      <c r="J12" s="1">
        <v>193655360.21103799</v>
      </c>
      <c r="K12" s="1">
        <v>183340063.28982699</v>
      </c>
      <c r="L12" s="1">
        <v>165888354.363873</v>
      </c>
      <c r="M12" s="1">
        <v>150554675.06920499</v>
      </c>
      <c r="N12" s="1">
        <v>131162120.093216</v>
      </c>
      <c r="O12" s="1">
        <v>112959933.16729701</v>
      </c>
      <c r="P12" s="1">
        <v>96737676.215597898</v>
      </c>
      <c r="Q12">
        <v>0</v>
      </c>
      <c r="R12">
        <v>0</v>
      </c>
      <c r="S12">
        <v>0</v>
      </c>
      <c r="T12">
        <v>0</v>
      </c>
      <c r="U12">
        <v>0</v>
      </c>
      <c r="V12">
        <v>0</v>
      </c>
      <c r="W12">
        <v>0</v>
      </c>
      <c r="X12">
        <v>0</v>
      </c>
      <c r="Y12">
        <v>0</v>
      </c>
    </row>
    <row r="13" spans="1:25" x14ac:dyDescent="0.25">
      <c r="A13" t="s">
        <v>22</v>
      </c>
      <c r="C13" s="1">
        <v>1439007284.27387</v>
      </c>
      <c r="D13" s="1">
        <v>1438932495.98121</v>
      </c>
      <c r="E13" s="1">
        <v>1443336311.40832</v>
      </c>
      <c r="F13" s="1">
        <v>1520037676.80949</v>
      </c>
      <c r="G13" s="1">
        <v>1674545586.00755</v>
      </c>
      <c r="H13" s="1">
        <v>1923621581.84852</v>
      </c>
      <c r="I13" s="1">
        <v>2242843302.4307098</v>
      </c>
      <c r="J13" s="1">
        <v>2524477911.5715499</v>
      </c>
      <c r="K13" s="1">
        <v>2637231847.1627698</v>
      </c>
      <c r="L13" s="1">
        <v>2560069937.9477501</v>
      </c>
      <c r="M13" s="1">
        <v>2565336933.1240602</v>
      </c>
      <c r="N13" s="1">
        <v>2598310822.3085699</v>
      </c>
      <c r="O13" s="1">
        <v>2634298819.7623701</v>
      </c>
      <c r="P13" s="1">
        <v>2706925900.25842</v>
      </c>
      <c r="Q13">
        <v>0</v>
      </c>
      <c r="R13">
        <v>0</v>
      </c>
      <c r="S13">
        <v>0</v>
      </c>
      <c r="T13">
        <v>0</v>
      </c>
      <c r="U13">
        <v>0</v>
      </c>
      <c r="V13">
        <v>0</v>
      </c>
      <c r="W13">
        <v>0</v>
      </c>
      <c r="X13">
        <v>0</v>
      </c>
      <c r="Y13">
        <v>0</v>
      </c>
    </row>
    <row r="14" spans="1:25" x14ac:dyDescent="0.25">
      <c r="A14" t="s">
        <v>23</v>
      </c>
      <c r="C14" s="1">
        <v>10325474735.972</v>
      </c>
      <c r="D14" s="1">
        <v>10408108699.624201</v>
      </c>
      <c r="E14" s="1">
        <v>10387446032.934401</v>
      </c>
      <c r="F14" s="1">
        <v>10518911662.098101</v>
      </c>
      <c r="G14" s="1">
        <v>11041754772.270399</v>
      </c>
      <c r="H14" s="1">
        <v>12191659756.2827</v>
      </c>
      <c r="I14" s="1">
        <v>13880725465.172701</v>
      </c>
      <c r="J14" s="1">
        <v>15596219074.886299</v>
      </c>
      <c r="K14" s="1">
        <v>17139671057.161501</v>
      </c>
      <c r="L14" s="1">
        <v>17347989332.3419</v>
      </c>
      <c r="M14" s="1">
        <v>17803366590.939499</v>
      </c>
      <c r="N14" s="1">
        <v>18395363123.9716</v>
      </c>
      <c r="O14" s="1">
        <v>19040901647.7617</v>
      </c>
      <c r="P14" s="1">
        <v>19781445432.7537</v>
      </c>
      <c r="Q14">
        <v>0</v>
      </c>
      <c r="R14">
        <v>0</v>
      </c>
      <c r="S14">
        <v>0</v>
      </c>
      <c r="T14">
        <v>0</v>
      </c>
      <c r="U14">
        <v>0</v>
      </c>
      <c r="V14">
        <v>0</v>
      </c>
      <c r="W14">
        <v>0</v>
      </c>
      <c r="X14">
        <v>0</v>
      </c>
      <c r="Y14">
        <v>0</v>
      </c>
    </row>
    <row r="15" spans="1:25" x14ac:dyDescent="0.25">
      <c r="A15" t="s">
        <v>24</v>
      </c>
      <c r="C15" s="1">
        <v>3142857646.0471902</v>
      </c>
      <c r="D15" s="1">
        <v>3163553710.9335699</v>
      </c>
      <c r="E15" s="1">
        <v>3360508965.9102602</v>
      </c>
      <c r="F15" s="1">
        <v>3718616750.0770702</v>
      </c>
      <c r="G15" s="1">
        <v>4169517837.8189802</v>
      </c>
      <c r="H15" s="1">
        <v>4750316015.9672899</v>
      </c>
      <c r="I15" s="1">
        <v>5118985347.7782097</v>
      </c>
      <c r="J15" s="1">
        <v>5582352616.6046495</v>
      </c>
      <c r="K15" s="1">
        <v>6076238073.4536896</v>
      </c>
      <c r="L15" s="1">
        <v>6115863772.5595303</v>
      </c>
      <c r="M15" s="1">
        <v>6073976390.7272701</v>
      </c>
      <c r="N15" s="1">
        <v>6167191753.3151302</v>
      </c>
      <c r="O15" s="1">
        <v>6314522655.4222202</v>
      </c>
      <c r="P15" s="1">
        <v>6393958903.4098301</v>
      </c>
      <c r="Q15">
        <v>0</v>
      </c>
      <c r="R15">
        <v>0</v>
      </c>
      <c r="S15">
        <v>0</v>
      </c>
      <c r="T15">
        <v>0</v>
      </c>
      <c r="U15">
        <v>0</v>
      </c>
      <c r="V15">
        <v>0</v>
      </c>
      <c r="W15">
        <v>0</v>
      </c>
      <c r="X15">
        <v>0</v>
      </c>
      <c r="Y15">
        <v>0</v>
      </c>
    </row>
    <row r="16" spans="1:25" x14ac:dyDescent="0.25">
      <c r="A16" t="s">
        <v>25</v>
      </c>
      <c r="C16" s="1">
        <v>1424132021.0244501</v>
      </c>
      <c r="D16" s="1">
        <v>1399625225.05441</v>
      </c>
      <c r="E16" s="1">
        <v>1453626370.5898399</v>
      </c>
      <c r="F16" s="1">
        <v>1658466255.6820099</v>
      </c>
      <c r="G16" s="1">
        <v>1992944503.04461</v>
      </c>
      <c r="H16" s="1">
        <v>2107949721.68557</v>
      </c>
      <c r="I16" s="1">
        <v>2283239674.65378</v>
      </c>
      <c r="J16" s="1">
        <v>2510557895.4784098</v>
      </c>
      <c r="K16" s="1">
        <v>2719601509.7530699</v>
      </c>
      <c r="L16" s="1">
        <v>2688323593.408</v>
      </c>
      <c r="M16" s="1">
        <v>2667909651.0829101</v>
      </c>
      <c r="N16" s="1">
        <v>2687311474.2094698</v>
      </c>
      <c r="O16" s="1">
        <v>2720706512.1957598</v>
      </c>
      <c r="P16" s="1">
        <v>2835917297.6454101</v>
      </c>
      <c r="Q16">
        <v>0</v>
      </c>
      <c r="R16">
        <v>0</v>
      </c>
      <c r="S16">
        <v>0</v>
      </c>
      <c r="T16">
        <v>0</v>
      </c>
      <c r="U16">
        <v>0</v>
      </c>
      <c r="V16">
        <v>0</v>
      </c>
      <c r="W16">
        <v>0</v>
      </c>
      <c r="X16">
        <v>0</v>
      </c>
      <c r="Y16">
        <v>0</v>
      </c>
    </row>
    <row r="17" spans="1:25" x14ac:dyDescent="0.25">
      <c r="A17" t="s">
        <v>26</v>
      </c>
      <c r="C17" s="1">
        <v>25561268957.667599</v>
      </c>
      <c r="D17" s="1">
        <v>25310228541.227798</v>
      </c>
      <c r="E17" s="1">
        <v>25128190963.326401</v>
      </c>
      <c r="F17" s="1">
        <v>26363798962.447701</v>
      </c>
      <c r="G17" s="1">
        <v>29304080054.5238</v>
      </c>
      <c r="H17" s="1">
        <v>33173037611.196899</v>
      </c>
      <c r="I17" s="1">
        <v>38314387009.298599</v>
      </c>
      <c r="J17" s="1">
        <v>45209910882.873901</v>
      </c>
      <c r="K17" s="1">
        <v>52377780025.2668</v>
      </c>
      <c r="L17" s="1">
        <v>52479343403.079002</v>
      </c>
      <c r="M17" s="1">
        <v>55000166536.215302</v>
      </c>
      <c r="N17" s="1">
        <v>59776672591.105003</v>
      </c>
      <c r="O17" s="1">
        <v>64018745109.835602</v>
      </c>
      <c r="P17" s="1">
        <v>69105870600.387497</v>
      </c>
      <c r="Q17">
        <v>0</v>
      </c>
      <c r="R17">
        <v>0</v>
      </c>
      <c r="S17">
        <v>0</v>
      </c>
      <c r="T17">
        <v>0</v>
      </c>
      <c r="U17">
        <v>0</v>
      </c>
      <c r="V17">
        <v>0</v>
      </c>
      <c r="W17">
        <v>0</v>
      </c>
      <c r="X17">
        <v>0</v>
      </c>
      <c r="Y17">
        <v>0</v>
      </c>
    </row>
    <row r="18" spans="1:25" x14ac:dyDescent="0.25">
      <c r="A18" t="s">
        <v>27</v>
      </c>
      <c r="C18" s="1">
        <v>10298629016.612301</v>
      </c>
      <c r="D18" s="1">
        <v>12593526769.407101</v>
      </c>
      <c r="E18" s="1">
        <v>15552242219.2134</v>
      </c>
      <c r="F18" s="1">
        <v>18145881931.041901</v>
      </c>
      <c r="G18" s="1">
        <v>19763264797.975201</v>
      </c>
      <c r="H18" s="1">
        <v>22309265981.428799</v>
      </c>
      <c r="I18" s="1">
        <v>26594750177.664501</v>
      </c>
      <c r="J18" s="1">
        <v>30863367634.712002</v>
      </c>
      <c r="K18" s="1">
        <v>34206718938.4016</v>
      </c>
      <c r="L18" s="1">
        <v>33776621858.153</v>
      </c>
      <c r="M18" s="1">
        <v>33824622134.803001</v>
      </c>
      <c r="N18" s="1">
        <v>35972644668.240402</v>
      </c>
      <c r="O18" s="1">
        <v>37625960748.93</v>
      </c>
      <c r="P18" s="1">
        <v>39819574578.104797</v>
      </c>
      <c r="Q18">
        <v>0</v>
      </c>
      <c r="R18">
        <v>0</v>
      </c>
      <c r="S18">
        <v>0</v>
      </c>
      <c r="T18">
        <v>0</v>
      </c>
      <c r="U18">
        <v>0</v>
      </c>
      <c r="V18">
        <v>0</v>
      </c>
      <c r="W18">
        <v>0</v>
      </c>
      <c r="X18">
        <v>0</v>
      </c>
      <c r="Y18">
        <v>0</v>
      </c>
    </row>
    <row r="19" spans="1:25" x14ac:dyDescent="0.25">
      <c r="A19" t="s">
        <v>28</v>
      </c>
      <c r="C19" s="1">
        <v>124881079.274459</v>
      </c>
      <c r="D19" s="1">
        <v>116316323.21926101</v>
      </c>
      <c r="E19" s="1">
        <v>105082732.623036</v>
      </c>
      <c r="F19" s="1">
        <v>98845856.144428</v>
      </c>
      <c r="G19" s="1">
        <v>108300973.580515</v>
      </c>
      <c r="H19" s="1">
        <v>206276716.04471701</v>
      </c>
      <c r="I19" s="1">
        <v>373621946.89899701</v>
      </c>
      <c r="J19" s="1">
        <v>659459023.28282106</v>
      </c>
      <c r="K19" s="1">
        <v>915263120.22950101</v>
      </c>
      <c r="L19" s="1">
        <v>1001822670.62239</v>
      </c>
      <c r="M19" s="1">
        <v>1182426863.32934</v>
      </c>
      <c r="N19" s="1">
        <v>1415165780.4850099</v>
      </c>
      <c r="O19" s="1">
        <v>1661617739.6637299</v>
      </c>
      <c r="P19" s="1">
        <v>1849568507.3614399</v>
      </c>
      <c r="Q19">
        <v>0</v>
      </c>
      <c r="R19">
        <v>0</v>
      </c>
      <c r="S19">
        <v>0</v>
      </c>
      <c r="T19">
        <v>0</v>
      </c>
      <c r="U19">
        <v>0</v>
      </c>
      <c r="V19">
        <v>0</v>
      </c>
      <c r="W19">
        <v>0</v>
      </c>
      <c r="X19">
        <v>0</v>
      </c>
      <c r="Y19">
        <v>0</v>
      </c>
    </row>
    <row r="20" spans="1:25" x14ac:dyDescent="0.25">
      <c r="A20" t="s">
        <v>29</v>
      </c>
      <c r="C20" s="1">
        <v>164575421.275341</v>
      </c>
      <c r="D20" s="1">
        <v>145181290.91603899</v>
      </c>
      <c r="E20" s="1">
        <v>127612309.112482</v>
      </c>
      <c r="F20" s="1">
        <v>111766118.837265</v>
      </c>
      <c r="G20" s="1">
        <v>97535542.793366596</v>
      </c>
      <c r="H20" s="1">
        <v>392948113.610515</v>
      </c>
      <c r="I20" s="1">
        <v>977786585.65760005</v>
      </c>
      <c r="J20" s="1">
        <v>1260673590.3375001</v>
      </c>
      <c r="K20" s="1">
        <v>1560112291.56373</v>
      </c>
      <c r="L20" s="1">
        <v>1443471512.21105</v>
      </c>
      <c r="M20" s="1">
        <v>1332048855.8317699</v>
      </c>
      <c r="N20" s="1">
        <v>1244740913.39241</v>
      </c>
      <c r="O20" s="1">
        <v>1198923295.6430399</v>
      </c>
      <c r="P20" s="1">
        <v>1158530777.91698</v>
      </c>
      <c r="Q20">
        <v>0</v>
      </c>
      <c r="R20">
        <v>0</v>
      </c>
      <c r="S20">
        <v>0</v>
      </c>
      <c r="T20">
        <v>0</v>
      </c>
      <c r="U20">
        <v>0</v>
      </c>
      <c r="V20">
        <v>0</v>
      </c>
      <c r="W20">
        <v>0</v>
      </c>
      <c r="X20">
        <v>0</v>
      </c>
      <c r="Y20">
        <v>0</v>
      </c>
    </row>
    <row r="21" spans="1:25" x14ac:dyDescent="0.25">
      <c r="A21" t="s">
        <v>30</v>
      </c>
      <c r="C21" s="1">
        <v>9571405015.7213497</v>
      </c>
      <c r="D21" s="1">
        <v>10320677568.4464</v>
      </c>
      <c r="E21" s="1">
        <v>11034684256.265301</v>
      </c>
      <c r="F21" s="1">
        <v>11713705969.746901</v>
      </c>
      <c r="G21" s="1">
        <v>12512479861.9606</v>
      </c>
      <c r="H21" s="1">
        <v>13644203025.671</v>
      </c>
      <c r="I21" s="1">
        <v>15366543762.8629</v>
      </c>
      <c r="J21" s="1">
        <v>17058191371.615101</v>
      </c>
      <c r="K21" s="1">
        <v>18159875313.622101</v>
      </c>
      <c r="L21" s="1">
        <v>18779477973.018299</v>
      </c>
      <c r="M21" s="1">
        <v>19592484754.246201</v>
      </c>
      <c r="N21" s="1">
        <v>20648139123.255501</v>
      </c>
      <c r="O21" s="1">
        <v>21882422549.1091</v>
      </c>
      <c r="P21" s="1">
        <v>23440433492.512798</v>
      </c>
      <c r="Q21">
        <v>0</v>
      </c>
      <c r="R21">
        <v>0</v>
      </c>
      <c r="S21">
        <v>0</v>
      </c>
      <c r="T21">
        <v>0</v>
      </c>
      <c r="U21">
        <v>0</v>
      </c>
      <c r="V21">
        <v>0</v>
      </c>
      <c r="W21">
        <v>0</v>
      </c>
      <c r="X21">
        <v>0</v>
      </c>
      <c r="Y21">
        <v>0</v>
      </c>
    </row>
    <row r="22" spans="1:25" x14ac:dyDescent="0.25">
      <c r="A22" t="s">
        <v>31</v>
      </c>
      <c r="C22" s="1">
        <v>17490368769.497501</v>
      </c>
      <c r="D22" s="1">
        <v>17763947168.088501</v>
      </c>
      <c r="E22" s="1">
        <v>17771068717.210098</v>
      </c>
      <c r="F22" s="1">
        <v>17817418860.466499</v>
      </c>
      <c r="G22" s="1">
        <v>18193261904.9062</v>
      </c>
      <c r="H22" s="1">
        <v>18879213095.555</v>
      </c>
      <c r="I22" s="1">
        <v>19787282722.055901</v>
      </c>
      <c r="J22" s="1">
        <v>20535890128.728401</v>
      </c>
      <c r="K22" s="1">
        <v>20636932235.425598</v>
      </c>
      <c r="L22" s="1">
        <v>20160163602.4482</v>
      </c>
      <c r="M22" s="1">
        <v>19813186830.736401</v>
      </c>
      <c r="N22" s="1">
        <v>19707629628.057999</v>
      </c>
      <c r="O22" s="1">
        <v>19542966120.888802</v>
      </c>
      <c r="P22" s="1">
        <v>19208966355.619701</v>
      </c>
      <c r="Q22">
        <v>0</v>
      </c>
      <c r="R22">
        <v>0</v>
      </c>
      <c r="S22">
        <v>0</v>
      </c>
      <c r="T22">
        <v>0</v>
      </c>
      <c r="U22">
        <v>0</v>
      </c>
      <c r="V22">
        <v>0</v>
      </c>
      <c r="W22">
        <v>0</v>
      </c>
      <c r="X22">
        <v>0</v>
      </c>
      <c r="Y22">
        <v>0</v>
      </c>
    </row>
    <row r="23" spans="1:25" x14ac:dyDescent="0.25">
      <c r="A23" t="s">
        <v>32</v>
      </c>
      <c r="C23">
        <v>0</v>
      </c>
      <c r="D23">
        <v>0</v>
      </c>
      <c r="E23">
        <v>0</v>
      </c>
      <c r="F23">
        <v>0</v>
      </c>
      <c r="G23">
        <v>0</v>
      </c>
      <c r="H23">
        <v>0</v>
      </c>
      <c r="I23">
        <v>0</v>
      </c>
      <c r="J23">
        <v>0</v>
      </c>
      <c r="K23">
        <v>0</v>
      </c>
      <c r="L23">
        <v>0</v>
      </c>
      <c r="M23">
        <v>0</v>
      </c>
      <c r="N23">
        <v>0</v>
      </c>
      <c r="O23">
        <v>0</v>
      </c>
      <c r="P23">
        <v>0</v>
      </c>
      <c r="Q23">
        <v>0</v>
      </c>
      <c r="R23">
        <v>0</v>
      </c>
      <c r="S23">
        <v>0</v>
      </c>
      <c r="T23">
        <v>0</v>
      </c>
      <c r="U23">
        <v>0</v>
      </c>
      <c r="V23">
        <v>0</v>
      </c>
      <c r="W23">
        <v>0</v>
      </c>
      <c r="X23">
        <v>0</v>
      </c>
      <c r="Y23">
        <v>0</v>
      </c>
    </row>
    <row r="24" spans="1:25" x14ac:dyDescent="0.25">
      <c r="A24" t="s">
        <v>33</v>
      </c>
      <c r="C24">
        <v>0</v>
      </c>
      <c r="D24">
        <v>0</v>
      </c>
      <c r="E24">
        <v>0</v>
      </c>
      <c r="F24">
        <v>0</v>
      </c>
      <c r="G24">
        <v>0</v>
      </c>
      <c r="H24">
        <v>0</v>
      </c>
      <c r="I24">
        <v>0</v>
      </c>
      <c r="J24">
        <v>0</v>
      </c>
      <c r="K24">
        <v>0</v>
      </c>
      <c r="L24">
        <v>0</v>
      </c>
      <c r="M24">
        <v>0</v>
      </c>
      <c r="N24">
        <v>0</v>
      </c>
      <c r="O24">
        <v>0</v>
      </c>
      <c r="P24">
        <v>0</v>
      </c>
      <c r="Q24">
        <v>0</v>
      </c>
      <c r="R24">
        <v>0</v>
      </c>
      <c r="S24">
        <v>0</v>
      </c>
      <c r="T24">
        <v>0</v>
      </c>
      <c r="U24">
        <v>0</v>
      </c>
      <c r="V24">
        <v>0</v>
      </c>
      <c r="W24">
        <v>0</v>
      </c>
      <c r="X24">
        <v>0</v>
      </c>
      <c r="Y24">
        <v>0</v>
      </c>
    </row>
    <row r="25" spans="1:25" x14ac:dyDescent="0.25">
      <c r="A25" t="s">
        <v>34</v>
      </c>
      <c r="C25">
        <v>0</v>
      </c>
      <c r="D25">
        <v>0</v>
      </c>
      <c r="E25">
        <v>0</v>
      </c>
      <c r="F25">
        <v>0</v>
      </c>
      <c r="G25">
        <v>0</v>
      </c>
      <c r="H25">
        <v>0</v>
      </c>
      <c r="I25">
        <v>0</v>
      </c>
      <c r="J25">
        <v>0</v>
      </c>
      <c r="K25">
        <v>0</v>
      </c>
      <c r="L25">
        <v>0</v>
      </c>
      <c r="M25">
        <v>0</v>
      </c>
      <c r="N25">
        <v>0</v>
      </c>
      <c r="O25">
        <v>0</v>
      </c>
      <c r="P25">
        <v>0</v>
      </c>
      <c r="Q25">
        <v>0</v>
      </c>
      <c r="R25">
        <v>0</v>
      </c>
      <c r="S25">
        <v>0</v>
      </c>
      <c r="T25">
        <v>0</v>
      </c>
      <c r="U25">
        <v>0</v>
      </c>
      <c r="V25">
        <v>0</v>
      </c>
      <c r="W25">
        <v>0</v>
      </c>
      <c r="X25">
        <v>0</v>
      </c>
      <c r="Y25">
        <v>0</v>
      </c>
    </row>
    <row r="26" spans="1:25" x14ac:dyDescent="0.25">
      <c r="A26" t="s">
        <v>35</v>
      </c>
      <c r="C26">
        <v>0</v>
      </c>
      <c r="D26">
        <v>0</v>
      </c>
      <c r="E26">
        <v>0</v>
      </c>
      <c r="F26">
        <v>0</v>
      </c>
      <c r="G26">
        <v>0</v>
      </c>
      <c r="H26">
        <v>0</v>
      </c>
      <c r="I26">
        <v>0</v>
      </c>
      <c r="J26">
        <v>0</v>
      </c>
      <c r="K26">
        <v>0</v>
      </c>
      <c r="L26">
        <v>0</v>
      </c>
      <c r="M26">
        <v>0</v>
      </c>
      <c r="N26">
        <v>0</v>
      </c>
      <c r="O26">
        <v>0</v>
      </c>
      <c r="P26">
        <v>0</v>
      </c>
      <c r="Q26">
        <v>0</v>
      </c>
      <c r="R26">
        <v>0</v>
      </c>
      <c r="S26">
        <v>0</v>
      </c>
      <c r="T26">
        <v>0</v>
      </c>
      <c r="U26">
        <v>0</v>
      </c>
      <c r="V26">
        <v>0</v>
      </c>
      <c r="W26">
        <v>0</v>
      </c>
      <c r="X26">
        <v>0</v>
      </c>
      <c r="Y26">
        <v>0</v>
      </c>
    </row>
    <row r="27" spans="1:25" x14ac:dyDescent="0.25">
      <c r="A27" t="s">
        <v>36</v>
      </c>
      <c r="C27">
        <v>0</v>
      </c>
      <c r="D27">
        <v>0</v>
      </c>
      <c r="E27">
        <v>0</v>
      </c>
      <c r="F27">
        <v>0</v>
      </c>
      <c r="G27">
        <v>0</v>
      </c>
      <c r="H27">
        <v>0</v>
      </c>
      <c r="I27">
        <v>0</v>
      </c>
      <c r="J27">
        <v>0</v>
      </c>
      <c r="K27">
        <v>0</v>
      </c>
      <c r="L27">
        <v>0</v>
      </c>
      <c r="M27">
        <v>0</v>
      </c>
      <c r="N27">
        <v>0</v>
      </c>
      <c r="O27">
        <v>0</v>
      </c>
      <c r="P27">
        <v>0</v>
      </c>
      <c r="Q27">
        <v>0</v>
      </c>
      <c r="R27">
        <v>0</v>
      </c>
      <c r="S27">
        <v>0</v>
      </c>
      <c r="T27">
        <v>0</v>
      </c>
      <c r="U27">
        <v>0</v>
      </c>
      <c r="V27">
        <v>0</v>
      </c>
      <c r="W27">
        <v>0</v>
      </c>
      <c r="X27">
        <v>0</v>
      </c>
      <c r="Y27">
        <v>0</v>
      </c>
    </row>
    <row r="28" spans="1:25" x14ac:dyDescent="0.25">
      <c r="A28" t="s">
        <v>37</v>
      </c>
      <c r="C28">
        <v>0</v>
      </c>
      <c r="D28">
        <v>0</v>
      </c>
      <c r="E28">
        <v>0</v>
      </c>
      <c r="F28">
        <v>0</v>
      </c>
      <c r="G28">
        <v>0</v>
      </c>
      <c r="H28">
        <v>0</v>
      </c>
      <c r="I28">
        <v>0</v>
      </c>
      <c r="J28">
        <v>0</v>
      </c>
      <c r="K28">
        <v>0</v>
      </c>
      <c r="L28">
        <v>0</v>
      </c>
      <c r="M28">
        <v>0</v>
      </c>
      <c r="N28">
        <v>0</v>
      </c>
      <c r="O28">
        <v>0</v>
      </c>
      <c r="P28">
        <v>0</v>
      </c>
      <c r="Q28">
        <v>0</v>
      </c>
      <c r="R28">
        <v>0</v>
      </c>
      <c r="S28">
        <v>0</v>
      </c>
      <c r="T28">
        <v>0</v>
      </c>
      <c r="U28">
        <v>0</v>
      </c>
      <c r="V28">
        <v>0</v>
      </c>
      <c r="W28">
        <v>0</v>
      </c>
      <c r="X28">
        <v>0</v>
      </c>
      <c r="Y28">
        <v>0</v>
      </c>
    </row>
    <row r="30" spans="1:25" x14ac:dyDescent="0.25">
      <c r="C30">
        <f t="shared" ref="C30:O30" si="0">SUM(C5:C28)/1000000000</f>
        <v>84.874599182441187</v>
      </c>
      <c r="D30">
        <f t="shared" si="0"/>
        <v>88.129889347331797</v>
      </c>
      <c r="E30">
        <f t="shared" si="0"/>
        <v>91.988943447522558</v>
      </c>
      <c r="F30">
        <f t="shared" si="0"/>
        <v>97.46054147770792</v>
      </c>
      <c r="G30">
        <f t="shared" si="0"/>
        <v>104.99539820284387</v>
      </c>
      <c r="H30">
        <f t="shared" si="0"/>
        <v>116.34656381884845</v>
      </c>
      <c r="I30">
        <f t="shared" si="0"/>
        <v>132.50483686103681</v>
      </c>
      <c r="J30">
        <f t="shared" si="0"/>
        <v>150.24582798739434</v>
      </c>
      <c r="K30">
        <f t="shared" si="0"/>
        <v>165.43510030968719</v>
      </c>
      <c r="L30">
        <f t="shared" si="0"/>
        <v>165.44006305739097</v>
      </c>
      <c r="M30">
        <f t="shared" si="0"/>
        <v>169.01056752035461</v>
      </c>
      <c r="N30">
        <f t="shared" si="0"/>
        <v>177.95774458526708</v>
      </c>
      <c r="O30">
        <f t="shared" si="0"/>
        <v>186.24660479185488</v>
      </c>
      <c r="P30">
        <f>SUM(P5:P28)/1000000000</f>
        <v>196.29706644699752</v>
      </c>
    </row>
    <row r="32" spans="1:25" ht="30" x14ac:dyDescent="0.25">
      <c r="A32" t="s">
        <v>38</v>
      </c>
      <c r="D32" s="69" t="s">
        <v>87</v>
      </c>
      <c r="E32" t="s">
        <v>39</v>
      </c>
      <c r="G32" s="29" t="s">
        <v>91</v>
      </c>
      <c r="H32" s="29" t="s">
        <v>92</v>
      </c>
      <c r="I32" s="29" t="s">
        <v>93</v>
      </c>
      <c r="J32" s="29" t="s">
        <v>94</v>
      </c>
      <c r="K32" s="66" t="s">
        <v>129</v>
      </c>
      <c r="L32" s="62" t="s">
        <v>95</v>
      </c>
    </row>
    <row r="33" spans="1:24" x14ac:dyDescent="0.25">
      <c r="A33" t="s">
        <v>13</v>
      </c>
      <c r="D33" s="67"/>
      <c r="E33" t="s">
        <v>13</v>
      </c>
      <c r="G33" s="48"/>
      <c r="H33" s="48"/>
      <c r="I33" s="49"/>
      <c r="J33" s="49"/>
      <c r="K33" s="67"/>
    </row>
    <row r="34" spans="1:24" x14ac:dyDescent="0.25">
      <c r="A34" t="s">
        <v>14</v>
      </c>
      <c r="C34">
        <v>25</v>
      </c>
      <c r="D34" s="67"/>
      <c r="E34" t="s">
        <v>14</v>
      </c>
      <c r="F34">
        <v>0</v>
      </c>
      <c r="G34" s="32"/>
      <c r="H34" s="32"/>
      <c r="I34" s="50"/>
      <c r="J34" s="50"/>
      <c r="K34" s="67"/>
    </row>
    <row r="35" spans="1:24" x14ac:dyDescent="0.25">
      <c r="A35" t="s">
        <v>15</v>
      </c>
      <c r="C35">
        <v>1.4</v>
      </c>
      <c r="D35" s="67"/>
      <c r="E35" t="s">
        <v>15</v>
      </c>
      <c r="F35">
        <v>0</v>
      </c>
      <c r="G35" s="32"/>
      <c r="H35" s="32"/>
      <c r="I35" s="50"/>
      <c r="J35" s="50"/>
      <c r="K35" s="67"/>
    </row>
    <row r="36" spans="1:24" x14ac:dyDescent="0.25">
      <c r="A36" t="s">
        <v>16</v>
      </c>
      <c r="C36">
        <v>1.4</v>
      </c>
      <c r="D36" s="67"/>
      <c r="E36" t="s">
        <v>16</v>
      </c>
      <c r="F36">
        <v>0</v>
      </c>
      <c r="G36" s="32"/>
      <c r="H36" s="32"/>
      <c r="I36" s="50"/>
      <c r="J36" s="50"/>
      <c r="K36" s="67"/>
    </row>
    <row r="37" spans="1:24" x14ac:dyDescent="0.25">
      <c r="A37" t="s">
        <v>17</v>
      </c>
      <c r="C37">
        <v>1.4</v>
      </c>
      <c r="D37" s="67"/>
      <c r="E37" t="s">
        <v>17</v>
      </c>
      <c r="F37">
        <v>0</v>
      </c>
      <c r="G37" s="32"/>
      <c r="H37" s="32"/>
      <c r="I37" s="50"/>
      <c r="J37" s="50"/>
      <c r="K37" s="67"/>
    </row>
    <row r="38" spans="1:24" x14ac:dyDescent="0.25">
      <c r="A38" t="s">
        <v>18</v>
      </c>
      <c r="C38">
        <v>1.4</v>
      </c>
      <c r="D38" s="67"/>
      <c r="E38" t="s">
        <v>18</v>
      </c>
      <c r="F38">
        <v>0</v>
      </c>
      <c r="G38" s="32"/>
      <c r="H38" s="32"/>
      <c r="I38" s="50"/>
      <c r="J38" s="50"/>
      <c r="K38" s="67"/>
    </row>
    <row r="39" spans="1:24" ht="30" x14ac:dyDescent="0.25">
      <c r="A39" t="s">
        <v>19</v>
      </c>
      <c r="C39">
        <v>1.4</v>
      </c>
      <c r="D39" s="67"/>
      <c r="E39" t="s">
        <v>19</v>
      </c>
      <c r="F39">
        <v>0</v>
      </c>
      <c r="G39" s="32"/>
      <c r="H39" s="32"/>
      <c r="I39" s="50"/>
      <c r="J39" s="50"/>
      <c r="K39" s="67"/>
      <c r="O39" s="79" t="s">
        <v>139</v>
      </c>
      <c r="P39" s="72" t="s">
        <v>140</v>
      </c>
      <c r="R39" s="72" t="s">
        <v>130</v>
      </c>
      <c r="S39" s="72" t="s">
        <v>88</v>
      </c>
      <c r="T39" s="72" t="s">
        <v>131</v>
      </c>
      <c r="U39" s="41" t="s">
        <v>136</v>
      </c>
      <c r="V39" t="s">
        <v>137</v>
      </c>
    </row>
    <row r="40" spans="1:24" x14ac:dyDescent="0.25">
      <c r="A40" t="s">
        <v>20</v>
      </c>
      <c r="B40" s="44" t="s">
        <v>73</v>
      </c>
      <c r="C40">
        <v>0.5</v>
      </c>
      <c r="D40" s="70">
        <f t="shared" ref="D40:D43" si="1">C40</f>
        <v>0.5</v>
      </c>
      <c r="E40" t="s">
        <v>20</v>
      </c>
      <c r="F40">
        <v>3.9</v>
      </c>
      <c r="G40" s="32">
        <v>3.0322950935785147</v>
      </c>
      <c r="H40" s="32">
        <v>2.2258089958450968E-12</v>
      </c>
      <c r="I40" s="52">
        <v>0.99999127549349043</v>
      </c>
      <c r="J40" s="52">
        <v>1.1663620895341563E-5</v>
      </c>
      <c r="K40" s="68">
        <f t="shared" ref="K40:K45" si="2">G40*I40+H40*J40</f>
        <v>3.032268638300232</v>
      </c>
      <c r="O40" s="71">
        <f>P11*D40/C40*K40/F40</f>
        <v>7696626267.5244417</v>
      </c>
      <c r="P40" s="80">
        <f>O40/SUM($O$40:$O$51)</f>
        <v>2.5234364936981984E-2</v>
      </c>
      <c r="R40" s="72">
        <v>3.6539493142217695E-2</v>
      </c>
      <c r="S40" s="73">
        <v>0.91054777766967399</v>
      </c>
      <c r="T40" s="73">
        <f>1-SUM(R40:S40)</f>
        <v>5.2912729188108298E-2</v>
      </c>
      <c r="U40" s="64">
        <f>ABS(1-SUM(R40:T40))</f>
        <v>0</v>
      </c>
      <c r="V40" s="64">
        <f>ABS(1-SUM(I40:J40))</f>
        <v>2.9391143858692459E-6</v>
      </c>
      <c r="W40" t="s">
        <v>20</v>
      </c>
      <c r="X40" s="44" t="s">
        <v>73</v>
      </c>
    </row>
    <row r="41" spans="1:24" x14ac:dyDescent="0.25">
      <c r="A41" t="s">
        <v>21</v>
      </c>
      <c r="B41" s="44" t="s">
        <v>73</v>
      </c>
      <c r="C41">
        <v>0.5</v>
      </c>
      <c r="D41" s="70">
        <f t="shared" si="1"/>
        <v>0.5</v>
      </c>
      <c r="E41" t="s">
        <v>21</v>
      </c>
      <c r="F41">
        <v>3.9</v>
      </c>
      <c r="G41" s="32">
        <v>3.0023158038595232</v>
      </c>
      <c r="H41" s="32">
        <v>7.4606211651736598E-12</v>
      </c>
      <c r="I41" s="52">
        <v>0.99775245647785371</v>
      </c>
      <c r="J41" s="50">
        <v>2.2368301455566735E-3</v>
      </c>
      <c r="K41" s="68">
        <f t="shared" si="2"/>
        <v>2.995567968423138</v>
      </c>
      <c r="O41" s="71">
        <f t="shared" ref="O41:O51" si="3">P12*D41/C41*K41/F41</f>
        <v>74303662.618239462</v>
      </c>
      <c r="P41" s="80">
        <f>O41/SUM($O$40:$O$51)</f>
        <v>2.4361397753903434E-4</v>
      </c>
      <c r="R41" s="72">
        <v>7.7069743323050333E-2</v>
      </c>
      <c r="S41" s="73">
        <v>0.87110088053706458</v>
      </c>
      <c r="T41" s="73">
        <f t="shared" ref="T41:T51" si="4">1-SUM(R41:S41)</f>
        <v>5.1829376139885142E-2</v>
      </c>
      <c r="U41" s="64">
        <f t="shared" ref="U41:U51" si="5">ABS(1-SUM(R41:T41))</f>
        <v>0</v>
      </c>
      <c r="V41" s="64">
        <f t="shared" ref="V41:V51" si="6">ABS(1-SUM(I41:J41))</f>
        <v>1.0713376589643886E-5</v>
      </c>
      <c r="W41" t="s">
        <v>21</v>
      </c>
      <c r="X41" s="44" t="s">
        <v>73</v>
      </c>
    </row>
    <row r="42" spans="1:24" x14ac:dyDescent="0.25">
      <c r="A42" t="s">
        <v>22</v>
      </c>
      <c r="B42" s="44" t="s">
        <v>75</v>
      </c>
      <c r="C42">
        <v>0.5</v>
      </c>
      <c r="D42" s="70">
        <f t="shared" si="1"/>
        <v>0.5</v>
      </c>
      <c r="E42" t="s">
        <v>22</v>
      </c>
      <c r="F42">
        <v>5.8</v>
      </c>
      <c r="G42" s="32">
        <v>5.0000724447901614</v>
      </c>
      <c r="H42" s="32">
        <v>9.3975768659104383E-11</v>
      </c>
      <c r="I42" s="52">
        <v>0.99774477058460942</v>
      </c>
      <c r="J42" s="50">
        <v>2.255560366981308E-3</v>
      </c>
      <c r="K42" s="68">
        <f t="shared" si="2"/>
        <v>4.988796134333799</v>
      </c>
      <c r="O42" s="71">
        <f t="shared" si="3"/>
        <v>2328327839.1615939</v>
      </c>
      <c r="P42" s="80">
        <f>O42/SUM($O$40:$O$51)</f>
        <v>7.6337179881330094E-3</v>
      </c>
      <c r="R42" s="74">
        <v>0.10111227726010255</v>
      </c>
      <c r="S42" s="73">
        <v>0.54011445046492679</v>
      </c>
      <c r="T42" s="73">
        <f t="shared" si="4"/>
        <v>0.35877327227497069</v>
      </c>
      <c r="U42" s="64">
        <f t="shared" si="5"/>
        <v>0</v>
      </c>
      <c r="V42" s="64">
        <f t="shared" si="6"/>
        <v>3.3095159079898906E-7</v>
      </c>
      <c r="W42" t="s">
        <v>22</v>
      </c>
      <c r="X42" s="44" t="s">
        <v>75</v>
      </c>
    </row>
    <row r="43" spans="1:24" x14ac:dyDescent="0.25">
      <c r="A43" t="s">
        <v>23</v>
      </c>
      <c r="B43" s="44" t="s">
        <v>76</v>
      </c>
      <c r="C43">
        <v>0.65</v>
      </c>
      <c r="D43" s="70">
        <v>0.6</v>
      </c>
      <c r="E43" t="s">
        <v>23</v>
      </c>
      <c r="F43">
        <v>8</v>
      </c>
      <c r="G43" s="32">
        <v>6.9917457627869988</v>
      </c>
      <c r="H43" s="32">
        <v>7.9738181249534463</v>
      </c>
      <c r="I43" s="52">
        <v>0.59968659076090292</v>
      </c>
      <c r="J43" s="52">
        <v>0.40031286188267662</v>
      </c>
      <c r="K43" s="68">
        <f t="shared" si="2"/>
        <v>7.3848781336847962</v>
      </c>
      <c r="O43" s="71">
        <f t="shared" si="3"/>
        <v>16855795826.425589</v>
      </c>
      <c r="P43" s="80">
        <f>O43/SUM($O$40:$O$51)</f>
        <v>5.526386346469829E-2</v>
      </c>
      <c r="R43" s="74">
        <v>0.23507428066974684</v>
      </c>
      <c r="S43" s="73">
        <v>0.39903771804459559</v>
      </c>
      <c r="T43" s="73">
        <f t="shared" si="4"/>
        <v>0.36588800128565757</v>
      </c>
      <c r="U43" s="64">
        <f t="shared" si="5"/>
        <v>0</v>
      </c>
      <c r="V43" s="64">
        <f t="shared" si="6"/>
        <v>5.4735642041059407E-7</v>
      </c>
      <c r="W43" t="s">
        <v>23</v>
      </c>
      <c r="X43" s="44" t="s">
        <v>76</v>
      </c>
    </row>
    <row r="44" spans="1:24" x14ac:dyDescent="0.25">
      <c r="A44" t="s">
        <v>24</v>
      </c>
      <c r="B44" s="44" t="s">
        <v>77</v>
      </c>
      <c r="C44">
        <v>0.65</v>
      </c>
      <c r="D44" s="70">
        <v>0.7</v>
      </c>
      <c r="E44" t="s">
        <v>24</v>
      </c>
      <c r="F44">
        <v>12</v>
      </c>
      <c r="G44" s="32">
        <v>9.9876625315752605</v>
      </c>
      <c r="H44" s="32">
        <v>11.986953863120336</v>
      </c>
      <c r="I44" s="52">
        <v>0.40016065502990661</v>
      </c>
      <c r="J44" s="52">
        <v>0.59984144176322018</v>
      </c>
      <c r="K44" s="68">
        <f t="shared" si="2"/>
        <v>11.186941268456115</v>
      </c>
      <c r="O44" s="71">
        <f t="shared" si="3"/>
        <v>6419255116.3791647</v>
      </c>
      <c r="P44" s="80">
        <f>O44/SUM($O$40:$O$51)</f>
        <v>2.1046341682691844E-2</v>
      </c>
      <c r="R44" s="74">
        <v>0.38095962167647401</v>
      </c>
      <c r="S44" s="73">
        <v>0.24909965967343983</v>
      </c>
      <c r="T44" s="73">
        <f t="shared" si="4"/>
        <v>0.36994071865008615</v>
      </c>
      <c r="U44" s="64">
        <f t="shared" si="5"/>
        <v>0</v>
      </c>
      <c r="V44" s="64">
        <f t="shared" si="6"/>
        <v>2.096793126682428E-6</v>
      </c>
      <c r="W44" t="s">
        <v>24</v>
      </c>
      <c r="X44" s="44" t="s">
        <v>77</v>
      </c>
    </row>
    <row r="45" spans="1:24" x14ac:dyDescent="0.25">
      <c r="A45" t="s">
        <v>25</v>
      </c>
      <c r="B45" s="44" t="s">
        <v>78</v>
      </c>
      <c r="C45">
        <v>0.5</v>
      </c>
      <c r="D45" s="70">
        <v>0.8</v>
      </c>
      <c r="E45" t="s">
        <v>25</v>
      </c>
      <c r="F45">
        <v>15</v>
      </c>
      <c r="G45" s="32">
        <v>11.983620578029328</v>
      </c>
      <c r="H45" s="32">
        <v>19.956283553568252</v>
      </c>
      <c r="I45" s="52">
        <v>0.39605568493002097</v>
      </c>
      <c r="J45" s="52">
        <v>0.60394235082291947</v>
      </c>
      <c r="K45" s="68">
        <f t="shared" si="2"/>
        <v>16.798625859003675</v>
      </c>
      <c r="O45" s="71">
        <f t="shared" si="3"/>
        <v>5081548122.6903486</v>
      </c>
      <c r="P45" s="80">
        <f>O45/SUM($O$40:$O$51)</f>
        <v>1.6660499719710051E-2</v>
      </c>
      <c r="R45" s="74">
        <v>0.53439447383442751</v>
      </c>
      <c r="S45" s="73">
        <v>8.9630440293124669E-2</v>
      </c>
      <c r="T45" s="73">
        <f t="shared" si="4"/>
        <v>0.37597508587244777</v>
      </c>
      <c r="U45" s="64">
        <f t="shared" si="5"/>
        <v>0</v>
      </c>
      <c r="V45" s="64">
        <f t="shared" si="6"/>
        <v>1.9642470595604422E-6</v>
      </c>
      <c r="W45" t="s">
        <v>25</v>
      </c>
      <c r="X45" s="44" t="s">
        <v>78</v>
      </c>
    </row>
    <row r="46" spans="1:24" s="45" customFormat="1" x14ac:dyDescent="0.25">
      <c r="A46" s="45" t="s">
        <v>26</v>
      </c>
      <c r="B46" s="46" t="s">
        <v>79</v>
      </c>
      <c r="C46" s="45">
        <v>0.5</v>
      </c>
      <c r="D46" s="70">
        <v>0.85</v>
      </c>
      <c r="E46" s="45" t="s">
        <v>26</v>
      </c>
      <c r="F46" s="45">
        <v>20</v>
      </c>
      <c r="G46" s="51">
        <v>12.755048283667586</v>
      </c>
      <c r="H46" s="51">
        <v>28.743625693436769</v>
      </c>
      <c r="I46" s="47">
        <v>4.9793235755774233E-2</v>
      </c>
      <c r="J46" s="47">
        <v>0.95020298979798945</v>
      </c>
      <c r="K46" s="68">
        <f>G46*I46+H46*J46</f>
        <v>27.947394197802868</v>
      </c>
      <c r="L46" s="45" t="s">
        <v>135</v>
      </c>
      <c r="O46" s="71">
        <f t="shared" si="3"/>
        <v>164162965599.36774</v>
      </c>
      <c r="P46" s="81">
        <f>O46/SUM($O$40:$O$51)</f>
        <v>0.53822909403188191</v>
      </c>
      <c r="R46" s="75">
        <v>0.53</v>
      </c>
      <c r="S46" s="75">
        <v>0.13863805352087558</v>
      </c>
      <c r="T46" s="73">
        <f t="shared" si="4"/>
        <v>0.33136194647912443</v>
      </c>
      <c r="U46" s="64">
        <f t="shared" si="5"/>
        <v>0</v>
      </c>
      <c r="V46" s="64">
        <f t="shared" si="6"/>
        <v>3.774446236337603E-6</v>
      </c>
      <c r="W46" s="45" t="s">
        <v>26</v>
      </c>
      <c r="X46" s="46" t="s">
        <v>79</v>
      </c>
    </row>
    <row r="47" spans="1:24" x14ac:dyDescent="0.25">
      <c r="A47" t="s">
        <v>27</v>
      </c>
      <c r="B47" s="44" t="s">
        <v>81</v>
      </c>
      <c r="C47">
        <v>0.75</v>
      </c>
      <c r="D47" s="70">
        <v>0.85</v>
      </c>
      <c r="E47" t="s">
        <v>27</v>
      </c>
      <c r="F47">
        <v>24</v>
      </c>
      <c r="G47" s="32">
        <v>16.59699628017718</v>
      </c>
      <c r="H47" s="32">
        <v>39.158686881388405</v>
      </c>
      <c r="I47" s="52">
        <v>5.0085167918466171E-2</v>
      </c>
      <c r="J47" s="52">
        <v>0.9499175892888706</v>
      </c>
      <c r="K47" s="68">
        <f t="shared" ref="K47:K51" si="7">G47*I47+H47*J47</f>
        <v>38.028788787721027</v>
      </c>
      <c r="O47" s="71">
        <f t="shared" si="3"/>
        <v>71508147920.028061</v>
      </c>
      <c r="P47" s="80">
        <f>O47/SUM($O$40:$O$51)</f>
        <v>0.23444852820716061</v>
      </c>
      <c r="R47" s="73">
        <v>0.55000000000000004</v>
      </c>
      <c r="S47" s="73">
        <v>0.17990473877101432</v>
      </c>
      <c r="T47" s="73">
        <f t="shared" si="4"/>
        <v>0.27009526122898564</v>
      </c>
      <c r="U47" s="64">
        <f t="shared" si="5"/>
        <v>0</v>
      </c>
      <c r="V47" s="64">
        <f t="shared" si="6"/>
        <v>2.757207336667733E-6</v>
      </c>
      <c r="W47" t="s">
        <v>27</v>
      </c>
      <c r="X47" s="44" t="s">
        <v>81</v>
      </c>
    </row>
    <row r="48" spans="1:24" x14ac:dyDescent="0.25">
      <c r="A48" t="s">
        <v>28</v>
      </c>
      <c r="B48" s="44" t="s">
        <v>83</v>
      </c>
      <c r="C48">
        <v>0.75</v>
      </c>
      <c r="D48" s="70">
        <v>0.85</v>
      </c>
      <c r="E48" t="s">
        <v>28</v>
      </c>
      <c r="F48">
        <v>30</v>
      </c>
      <c r="G48" s="32">
        <v>20.881499217928354</v>
      </c>
      <c r="H48" s="32">
        <v>49.841392985498324</v>
      </c>
      <c r="I48" s="52">
        <v>0.95001416490643797</v>
      </c>
      <c r="J48" s="52">
        <v>4.998702270103892E-2</v>
      </c>
      <c r="K48" s="68">
        <f t="shared" si="7"/>
        <v>22.32914288413215</v>
      </c>
      <c r="O48" s="71">
        <f t="shared" si="3"/>
        <v>1560195002.3837743</v>
      </c>
      <c r="P48" s="80">
        <f>O48/SUM($O$40:$O$51)</f>
        <v>5.1152971048015888E-3</v>
      </c>
      <c r="R48" s="73">
        <v>0.55000000000000004</v>
      </c>
      <c r="S48" s="73">
        <v>0.14778651771697801</v>
      </c>
      <c r="T48" s="73">
        <f t="shared" si="4"/>
        <v>0.30221348228302192</v>
      </c>
      <c r="U48" s="64">
        <f t="shared" si="5"/>
        <v>0</v>
      </c>
      <c r="V48" s="64">
        <f t="shared" si="6"/>
        <v>1.1876074768046863E-6</v>
      </c>
      <c r="W48" t="s">
        <v>28</v>
      </c>
      <c r="X48" s="44" t="s">
        <v>83</v>
      </c>
    </row>
    <row r="49" spans="1:24" x14ac:dyDescent="0.25">
      <c r="A49" t="s">
        <v>29</v>
      </c>
      <c r="B49" s="44" t="s">
        <v>85</v>
      </c>
      <c r="C49">
        <v>0.75</v>
      </c>
      <c r="D49" s="70">
        <v>0.85</v>
      </c>
      <c r="E49" t="s">
        <v>29</v>
      </c>
      <c r="F49">
        <v>30</v>
      </c>
      <c r="G49" s="32">
        <v>24.135159125209626</v>
      </c>
      <c r="H49" s="32">
        <v>57.550607284245814</v>
      </c>
      <c r="I49" s="52">
        <v>0.95006053425613224</v>
      </c>
      <c r="J49" s="52">
        <v>4.9943702125318637E-2</v>
      </c>
      <c r="K49" s="68">
        <f t="shared" si="7"/>
        <v>25.804152560188989</v>
      </c>
      <c r="O49" s="71">
        <f t="shared" si="3"/>
        <v>1129363075.4750023</v>
      </c>
      <c r="P49" s="80">
        <f>O49/SUM($O$40:$O$51)</f>
        <v>3.7027600148831102E-3</v>
      </c>
      <c r="R49" s="73">
        <v>0.55000000000000004</v>
      </c>
      <c r="S49" s="73">
        <v>0.1685064211120739</v>
      </c>
      <c r="T49" s="73">
        <f t="shared" si="4"/>
        <v>0.28149357888792603</v>
      </c>
      <c r="U49" s="64">
        <f t="shared" si="5"/>
        <v>0</v>
      </c>
      <c r="V49" s="64">
        <f t="shared" si="6"/>
        <v>4.2363814509727149E-6</v>
      </c>
      <c r="W49" t="s">
        <v>29</v>
      </c>
      <c r="X49" s="44" t="s">
        <v>85</v>
      </c>
    </row>
    <row r="50" spans="1:24" x14ac:dyDescent="0.25">
      <c r="A50" t="s">
        <v>30</v>
      </c>
      <c r="C50">
        <v>0.75</v>
      </c>
      <c r="D50" s="70">
        <v>0.5</v>
      </c>
      <c r="E50" t="s">
        <v>30</v>
      </c>
      <c r="F50">
        <v>1</v>
      </c>
      <c r="G50" s="32">
        <v>0.9945901497648213</v>
      </c>
      <c r="H50" s="32">
        <v>7.6307170689794761E-9</v>
      </c>
      <c r="I50" s="52">
        <v>0.99518669797540926</v>
      </c>
      <c r="J50" s="52">
        <v>4.8123410207194005E-3</v>
      </c>
      <c r="K50" s="68">
        <f t="shared" si="7"/>
        <v>0.98980288702004193</v>
      </c>
      <c r="O50" s="71">
        <f t="shared" si="3"/>
        <v>15467605829.260302</v>
      </c>
      <c r="P50" s="80">
        <f>O50/SUM($O$40:$O$51)</f>
        <v>5.071250657497315E-2</v>
      </c>
      <c r="R50" s="73">
        <v>0.55000000000000004</v>
      </c>
      <c r="S50" s="73">
        <v>0.17414246499841982</v>
      </c>
      <c r="T50" s="73">
        <f t="shared" si="4"/>
        <v>0.27585753500158017</v>
      </c>
      <c r="U50" s="64">
        <f t="shared" si="5"/>
        <v>0</v>
      </c>
      <c r="V50" s="64">
        <f t="shared" si="6"/>
        <v>9.6100387136921483E-7</v>
      </c>
      <c r="W50" t="s">
        <v>30</v>
      </c>
    </row>
    <row r="51" spans="1:24" x14ac:dyDescent="0.25">
      <c r="A51" t="s">
        <v>31</v>
      </c>
      <c r="C51">
        <v>0.75</v>
      </c>
      <c r="D51" s="70">
        <v>0.5</v>
      </c>
      <c r="E51" t="s">
        <v>31</v>
      </c>
      <c r="F51">
        <v>1</v>
      </c>
      <c r="G51" s="32">
        <v>0.99942832657542624</v>
      </c>
      <c r="H51" s="32">
        <v>7.822025001226173E-9</v>
      </c>
      <c r="I51" s="52">
        <v>0.99398011990243429</v>
      </c>
      <c r="J51" s="52">
        <v>6.0069403551451456E-3</v>
      </c>
      <c r="K51" s="68">
        <f t="shared" si="7"/>
        <v>0.99341188793031787</v>
      </c>
      <c r="O51" s="71">
        <f t="shared" si="3"/>
        <v>12721610355.017416</v>
      </c>
      <c r="P51" s="80">
        <f>O51/SUM($O$40:$O$51)</f>
        <v>4.1709412296545421E-2</v>
      </c>
      <c r="R51" s="73">
        <v>0.55000000000000004</v>
      </c>
      <c r="S51" s="73">
        <v>0.17173386998143414</v>
      </c>
      <c r="T51" s="73">
        <f t="shared" si="4"/>
        <v>0.27826613001856582</v>
      </c>
      <c r="U51" s="64">
        <f t="shared" si="5"/>
        <v>0</v>
      </c>
      <c r="V51" s="64">
        <f t="shared" si="6"/>
        <v>1.2939742420559064E-5</v>
      </c>
      <c r="W51" t="s">
        <v>31</v>
      </c>
    </row>
    <row r="52" spans="1:24" x14ac:dyDescent="0.25">
      <c r="A52" t="s">
        <v>32</v>
      </c>
      <c r="C52">
        <v>14</v>
      </c>
      <c r="D52" s="67"/>
      <c r="E52" t="s">
        <v>32</v>
      </c>
      <c r="F52">
        <v>0</v>
      </c>
      <c r="G52" s="32"/>
      <c r="H52" s="32"/>
      <c r="I52" s="50"/>
      <c r="J52" s="50"/>
      <c r="K52" s="67"/>
    </row>
    <row r="53" spans="1:24" x14ac:dyDescent="0.25">
      <c r="A53" t="s">
        <v>33</v>
      </c>
      <c r="C53">
        <v>14</v>
      </c>
      <c r="D53" s="67"/>
      <c r="E53" t="s">
        <v>33</v>
      </c>
      <c r="F53">
        <v>0</v>
      </c>
      <c r="G53" s="32"/>
      <c r="H53" s="32"/>
      <c r="I53" s="50"/>
      <c r="J53" s="50"/>
      <c r="K53" s="67"/>
      <c r="N53" s="76" t="s">
        <v>132</v>
      </c>
      <c r="O53" s="77">
        <f>SUM(O40:O51)/1000000000</f>
        <v>305.00574461633164</v>
      </c>
      <c r="P53" s="76"/>
      <c r="Q53" s="76"/>
      <c r="R53" s="78">
        <f>SUMPRODUCT($O$40:$O$51,R40:R51)</f>
        <v>152964951199.69064</v>
      </c>
      <c r="S53" s="78">
        <f t="shared" ref="S53:T53" si="8">SUMPRODUCT($O$40:$O$51,S40:S51)</f>
        <v>58034097187.793198</v>
      </c>
      <c r="T53" s="78">
        <f t="shared" si="8"/>
        <v>94006696228.847839</v>
      </c>
    </row>
    <row r="54" spans="1:24" x14ac:dyDescent="0.25">
      <c r="A54" t="s">
        <v>34</v>
      </c>
      <c r="C54">
        <v>1.4</v>
      </c>
      <c r="D54" s="67"/>
      <c r="E54" t="s">
        <v>34</v>
      </c>
      <c r="F54">
        <v>0</v>
      </c>
      <c r="G54" s="32"/>
      <c r="H54" s="32"/>
      <c r="I54" s="50"/>
      <c r="J54" s="50"/>
      <c r="K54" s="67"/>
      <c r="N54" s="76" t="s">
        <v>133</v>
      </c>
      <c r="O54" s="77">
        <f>SUM(R54:T54)/1000000000</f>
        <v>305</v>
      </c>
      <c r="P54" s="76"/>
      <c r="Q54" s="76"/>
      <c r="R54" s="78">
        <f>(80+73)*1000000000</f>
        <v>153000000000</v>
      </c>
      <c r="S54" s="78">
        <v>60000000000</v>
      </c>
      <c r="T54" s="78">
        <v>92000000000</v>
      </c>
    </row>
    <row r="55" spans="1:24" x14ac:dyDescent="0.25">
      <c r="A55" t="s">
        <v>35</v>
      </c>
      <c r="C55">
        <v>1.4</v>
      </c>
      <c r="D55" s="67"/>
      <c r="E55" t="s">
        <v>35</v>
      </c>
      <c r="F55">
        <v>0</v>
      </c>
      <c r="G55" s="32"/>
      <c r="H55" s="32"/>
      <c r="I55" s="50"/>
      <c r="J55" s="50"/>
      <c r="K55" s="67"/>
      <c r="N55" s="76" t="s">
        <v>134</v>
      </c>
      <c r="O55" s="77">
        <f>ABS(O53-O54)</f>
        <v>5.7446163316399179E-3</v>
      </c>
      <c r="P55" s="76"/>
      <c r="Q55" s="76"/>
      <c r="R55" s="78">
        <f>ABS((R53-R54)/1000000000)</f>
        <v>3.5048800309356691E-2</v>
      </c>
      <c r="S55" s="78">
        <f t="shared" ref="S55:T55" si="9">ABS((S53-S54)/1000000000)</f>
        <v>1.9659028122068023</v>
      </c>
      <c r="T55" s="78">
        <f t="shared" si="9"/>
        <v>2.0066962288478392</v>
      </c>
      <c r="U55" s="65">
        <f>SUM(O55:T55)+SUM(U40:U51)*100+SUM(V40:V51)*100</f>
        <v>4.0178372804922056</v>
      </c>
    </row>
    <row r="56" spans="1:24" x14ac:dyDescent="0.25">
      <c r="A56" t="s">
        <v>36</v>
      </c>
      <c r="C56">
        <v>1.4</v>
      </c>
      <c r="D56" s="67"/>
      <c r="E56" t="s">
        <v>36</v>
      </c>
      <c r="F56">
        <v>0</v>
      </c>
      <c r="G56" s="32"/>
      <c r="H56" s="32"/>
      <c r="I56" s="50"/>
      <c r="J56" s="50"/>
      <c r="K56" s="67"/>
      <c r="R56" s="63"/>
      <c r="U56" s="42" t="s">
        <v>138</v>
      </c>
    </row>
    <row r="57" spans="1:24" x14ac:dyDescent="0.25">
      <c r="A57" t="s">
        <v>37</v>
      </c>
      <c r="C57">
        <v>0</v>
      </c>
      <c r="D57" s="67"/>
      <c r="E57" t="s">
        <v>37</v>
      </c>
      <c r="F57">
        <v>0</v>
      </c>
      <c r="G57" s="32"/>
      <c r="H57" s="32"/>
      <c r="I57" s="50"/>
      <c r="J57" s="50"/>
      <c r="K57" s="67"/>
    </row>
    <row r="60" spans="1:24" x14ac:dyDescent="0.25">
      <c r="B60" s="28">
        <v>9.1590000000000007</v>
      </c>
      <c r="C60" t="s">
        <v>61</v>
      </c>
    </row>
    <row r="61" spans="1:24" x14ac:dyDescent="0.25">
      <c r="B61">
        <v>38.1</v>
      </c>
      <c r="C61" t="s">
        <v>62</v>
      </c>
    </row>
    <row r="62" spans="1:24" ht="30" x14ac:dyDescent="0.25">
      <c r="A62" s="29" t="s">
        <v>63</v>
      </c>
      <c r="B62" s="29" t="s">
        <v>64</v>
      </c>
    </row>
    <row r="63" spans="1:24" x14ac:dyDescent="0.25">
      <c r="A63" s="30">
        <v>300</v>
      </c>
      <c r="B63" s="31">
        <f>$B$60*$B$61/A63</f>
        <v>1.1631930000000001</v>
      </c>
    </row>
    <row r="64" spans="1:24" x14ac:dyDescent="0.25">
      <c r="A64" s="30">
        <f>A63-25</f>
        <v>275</v>
      </c>
      <c r="B64" s="31">
        <f>$B$60*$B$61/A64</f>
        <v>1.2689378181818183</v>
      </c>
    </row>
    <row r="65" spans="1:2" x14ac:dyDescent="0.25">
      <c r="A65" s="30">
        <f t="shared" ref="A65:A70" si="10">A64-25</f>
        <v>250</v>
      </c>
      <c r="B65" s="31">
        <f>$B$60*$B$61/A65</f>
        <v>1.3958316000000002</v>
      </c>
    </row>
    <row r="66" spans="1:2" x14ac:dyDescent="0.25">
      <c r="A66" s="30">
        <f t="shared" si="10"/>
        <v>225</v>
      </c>
      <c r="B66" s="31">
        <f>$B$60*$B$61/A66</f>
        <v>1.5509240000000002</v>
      </c>
    </row>
    <row r="67" spans="1:2" x14ac:dyDescent="0.25">
      <c r="A67" s="32">
        <f t="shared" si="10"/>
        <v>200</v>
      </c>
      <c r="B67" s="33">
        <f>$B$60*$B$61/A67</f>
        <v>1.7447895000000002</v>
      </c>
    </row>
    <row r="68" spans="1:2" x14ac:dyDescent="0.25">
      <c r="A68" s="32">
        <f t="shared" si="10"/>
        <v>175</v>
      </c>
      <c r="B68" s="33">
        <f>$B$60*$B$61/A68</f>
        <v>1.9940451428571431</v>
      </c>
    </row>
    <row r="69" spans="1:2" x14ac:dyDescent="0.25">
      <c r="A69" s="30">
        <f t="shared" si="10"/>
        <v>150</v>
      </c>
      <c r="B69" s="31">
        <f>$B$60*$B$61/A69</f>
        <v>2.3263860000000003</v>
      </c>
    </row>
    <row r="70" spans="1:2" x14ac:dyDescent="0.25">
      <c r="A70" s="30">
        <f t="shared" si="10"/>
        <v>125</v>
      </c>
      <c r="B70" s="31">
        <f>$B$60*$B$61/A70</f>
        <v>2.7916632000000003</v>
      </c>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U28"/>
  <sheetViews>
    <sheetView topLeftCell="A4" workbookViewId="0">
      <selection activeCell="C13" sqref="C13"/>
    </sheetView>
  </sheetViews>
  <sheetFormatPr defaultRowHeight="15" x14ac:dyDescent="0.25"/>
  <cols>
    <col min="1" max="1" width="53.28515625" bestFit="1" customWidth="1"/>
  </cols>
  <sheetData>
    <row r="3" spans="1:15" ht="87.75" customHeight="1" x14ac:dyDescent="0.25">
      <c r="A3" s="43" t="s">
        <v>89</v>
      </c>
      <c r="B3" s="43"/>
      <c r="C3" s="43"/>
      <c r="D3" s="43"/>
      <c r="E3" s="43"/>
      <c r="F3" s="43"/>
      <c r="G3" s="43"/>
      <c r="H3" s="43"/>
      <c r="I3" s="43"/>
      <c r="J3" s="43"/>
      <c r="K3" s="43"/>
      <c r="L3" s="43"/>
      <c r="M3" s="43"/>
      <c r="N3" s="43"/>
      <c r="O3" s="43"/>
    </row>
    <row r="5" spans="1:15" x14ac:dyDescent="0.25">
      <c r="A5" t="s">
        <v>90</v>
      </c>
    </row>
    <row r="7" spans="1:15" x14ac:dyDescent="0.25">
      <c r="A7" s="61" t="s">
        <v>124</v>
      </c>
      <c r="B7" s="30">
        <v>28</v>
      </c>
    </row>
    <row r="8" spans="1:15" x14ac:dyDescent="0.25">
      <c r="A8" t="s">
        <v>125</v>
      </c>
      <c r="B8" s="30">
        <v>9.1</v>
      </c>
    </row>
    <row r="9" spans="1:15" x14ac:dyDescent="0.25">
      <c r="A9" t="s">
        <v>126</v>
      </c>
      <c r="B9" s="30">
        <v>3</v>
      </c>
    </row>
    <row r="10" spans="1:15" x14ac:dyDescent="0.25">
      <c r="A10" t="s">
        <v>128</v>
      </c>
      <c r="B10" s="30">
        <f>(B7-0.7*B8)/(B9-1)</f>
        <v>10.815000000000001</v>
      </c>
    </row>
    <row r="11" spans="1:15" x14ac:dyDescent="0.25">
      <c r="A11" s="61" t="s">
        <v>127</v>
      </c>
      <c r="B11" s="30">
        <v>57</v>
      </c>
    </row>
    <row r="12" spans="1:15" x14ac:dyDescent="0.25">
      <c r="A12" s="61" t="s">
        <v>99</v>
      </c>
      <c r="B12" s="30">
        <v>13.5</v>
      </c>
    </row>
    <row r="13" spans="1:15" x14ac:dyDescent="0.25">
      <c r="A13" s="61" t="s">
        <v>98</v>
      </c>
      <c r="B13" s="30">
        <f>B11-B12-B8</f>
        <v>34.4</v>
      </c>
    </row>
    <row r="18" spans="1:21" x14ac:dyDescent="0.25">
      <c r="A18" s="53" t="s">
        <v>97</v>
      </c>
      <c r="B18" s="30">
        <v>60</v>
      </c>
    </row>
    <row r="19" spans="1:21" x14ac:dyDescent="0.25">
      <c r="A19" s="53" t="s">
        <v>98</v>
      </c>
      <c r="B19" s="30">
        <f>600*106/1000/2</f>
        <v>31.8</v>
      </c>
    </row>
    <row r="20" spans="1:21" x14ac:dyDescent="0.25">
      <c r="A20" s="53" t="s">
        <v>96</v>
      </c>
      <c r="B20" s="30">
        <v>25</v>
      </c>
    </row>
    <row r="21" spans="1:21" x14ac:dyDescent="0.25">
      <c r="A21" s="53" t="s">
        <v>99</v>
      </c>
      <c r="B21" s="30">
        <f>B18-B19-B20</f>
        <v>3.1999999999999993</v>
      </c>
    </row>
    <row r="23" spans="1:21" x14ac:dyDescent="0.25">
      <c r="P23">
        <v>14.5</v>
      </c>
      <c r="Q23">
        <v>36.299999999999997</v>
      </c>
      <c r="T23">
        <f>Q23-P23</f>
        <v>21.799999999999997</v>
      </c>
    </row>
    <row r="24" spans="1:21" x14ac:dyDescent="0.25">
      <c r="P24">
        <v>16.100000000000001</v>
      </c>
      <c r="Q24">
        <v>36.299999999999997</v>
      </c>
      <c r="T24">
        <f>Q24-P24</f>
        <v>20.199999999999996</v>
      </c>
    </row>
    <row r="26" spans="1:21" x14ac:dyDescent="0.25">
      <c r="P26">
        <v>15.6</v>
      </c>
      <c r="Q26">
        <v>44</v>
      </c>
      <c r="R26">
        <v>54.4</v>
      </c>
      <c r="T26">
        <f>Q26-P26</f>
        <v>28.4</v>
      </c>
      <c r="U26">
        <f>R26-P26</f>
        <v>38.799999999999997</v>
      </c>
    </row>
    <row r="27" spans="1:21" x14ac:dyDescent="0.25">
      <c r="P27">
        <v>19.7</v>
      </c>
      <c r="Q27">
        <v>44</v>
      </c>
      <c r="R27">
        <v>54.4</v>
      </c>
      <c r="T27">
        <f t="shared" ref="T27:T28" si="0">Q27-P27</f>
        <v>24.3</v>
      </c>
      <c r="U27">
        <f t="shared" ref="U27:U28" si="1">R27-P27</f>
        <v>34.700000000000003</v>
      </c>
    </row>
    <row r="28" spans="1:21" x14ac:dyDescent="0.25">
      <c r="T28">
        <f t="shared" si="0"/>
        <v>0</v>
      </c>
      <c r="U28">
        <f t="shared" si="1"/>
        <v>0</v>
      </c>
    </row>
  </sheetData>
  <mergeCells count="1">
    <mergeCell ref="A3:O3"/>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workbookViewId="0">
      <selection activeCell="O10" sqref="O10"/>
    </sheetView>
  </sheetViews>
  <sheetFormatPr defaultRowHeight="15" x14ac:dyDescent="0.25"/>
  <sheetData>
    <row r="1" spans="1:17" x14ac:dyDescent="0.25">
      <c r="A1" s="54" t="s">
        <v>100</v>
      </c>
      <c r="B1" s="54"/>
      <c r="C1" s="54"/>
      <c r="D1" s="54"/>
      <c r="E1" s="54"/>
      <c r="F1" s="54"/>
      <c r="G1" s="54"/>
      <c r="H1" s="54"/>
      <c r="I1" s="54"/>
      <c r="J1" s="54"/>
      <c r="K1" s="54"/>
      <c r="L1" s="54"/>
      <c r="M1" s="54"/>
      <c r="N1" s="54"/>
      <c r="O1" s="54"/>
      <c r="P1" s="54"/>
      <c r="Q1" s="54"/>
    </row>
    <row r="2" spans="1:17" x14ac:dyDescent="0.25">
      <c r="A2" s="54"/>
      <c r="B2" s="54"/>
      <c r="C2" s="54"/>
      <c r="D2" s="54"/>
      <c r="E2" s="54"/>
      <c r="F2" s="54"/>
      <c r="G2" s="54"/>
      <c r="H2" s="54"/>
      <c r="I2" s="54"/>
      <c r="J2" s="54"/>
      <c r="K2" s="54"/>
      <c r="L2" s="54"/>
      <c r="M2" s="54"/>
      <c r="N2" s="54"/>
      <c r="O2" s="54"/>
      <c r="P2" s="54"/>
      <c r="Q2" s="54"/>
    </row>
    <row r="3" spans="1:17" x14ac:dyDescent="0.25">
      <c r="A3" s="54"/>
      <c r="B3" s="54"/>
      <c r="C3" s="54"/>
      <c r="D3" s="54"/>
      <c r="E3" s="54"/>
      <c r="F3" s="54"/>
      <c r="G3" s="54"/>
      <c r="H3" s="54"/>
      <c r="I3" s="54"/>
      <c r="J3" s="54"/>
      <c r="K3" s="54"/>
      <c r="L3" s="54"/>
      <c r="M3" s="54"/>
      <c r="N3" s="54"/>
      <c r="O3" s="54"/>
      <c r="P3" s="54"/>
      <c r="Q3" s="54"/>
    </row>
    <row r="4" spans="1:17" x14ac:dyDescent="0.25">
      <c r="A4" s="54"/>
      <c r="B4" s="54"/>
      <c r="C4" s="54"/>
      <c r="D4" s="54"/>
      <c r="E4" s="54"/>
      <c r="F4" s="54"/>
      <c r="G4" s="54"/>
      <c r="H4" s="54"/>
      <c r="I4" s="54"/>
      <c r="J4" s="54"/>
      <c r="K4" s="54"/>
      <c r="L4" s="54"/>
      <c r="M4" s="54"/>
      <c r="N4" s="54"/>
      <c r="O4" s="54"/>
      <c r="P4" s="54"/>
      <c r="Q4" s="54"/>
    </row>
    <row r="5" spans="1:17" x14ac:dyDescent="0.25">
      <c r="A5" s="54"/>
      <c r="B5" s="54"/>
      <c r="C5" s="54"/>
      <c r="D5" s="54"/>
      <c r="E5" s="54"/>
      <c r="F5" s="54"/>
      <c r="G5" s="54"/>
      <c r="H5" s="54"/>
      <c r="I5" s="54"/>
      <c r="J5" s="54"/>
      <c r="K5" s="54"/>
      <c r="L5" s="54"/>
      <c r="M5" s="54"/>
      <c r="N5" s="54"/>
      <c r="O5" s="54"/>
      <c r="P5" s="54"/>
      <c r="Q5" s="54"/>
    </row>
  </sheetData>
  <mergeCells count="1">
    <mergeCell ref="A1:Q5"/>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S33"/>
  <sheetViews>
    <sheetView topLeftCell="A19" workbookViewId="0">
      <selection activeCell="A33" sqref="A33"/>
    </sheetView>
  </sheetViews>
  <sheetFormatPr defaultRowHeight="15" x14ac:dyDescent="0.25"/>
  <cols>
    <col min="2" max="2" width="19" bestFit="1" customWidth="1"/>
    <col min="3" max="3" width="12" bestFit="1" customWidth="1"/>
    <col min="4" max="5" width="13.7109375" bestFit="1" customWidth="1"/>
    <col min="6" max="6" width="11" bestFit="1" customWidth="1"/>
    <col min="7" max="9" width="12" bestFit="1" customWidth="1"/>
    <col min="10" max="10" width="13.7109375" bestFit="1" customWidth="1"/>
    <col min="11" max="11" width="12" bestFit="1" customWidth="1"/>
    <col min="12" max="12" width="13.7109375" bestFit="1" customWidth="1"/>
    <col min="13" max="15" width="12" bestFit="1" customWidth="1"/>
    <col min="16" max="16" width="13.7109375" bestFit="1" customWidth="1"/>
    <col min="17" max="17" width="7.85546875" bestFit="1" customWidth="1"/>
    <col min="18" max="18" width="11" bestFit="1" customWidth="1"/>
  </cols>
  <sheetData>
    <row r="3" spans="1:19" x14ac:dyDescent="0.25">
      <c r="A3" s="25" t="s">
        <v>40</v>
      </c>
      <c r="B3" s="25" t="s">
        <v>41</v>
      </c>
      <c r="C3" s="3"/>
      <c r="D3" s="3"/>
      <c r="E3" s="3"/>
      <c r="F3" s="3"/>
      <c r="G3" s="3"/>
      <c r="H3" s="3"/>
      <c r="I3" s="3"/>
      <c r="J3" s="3"/>
      <c r="K3" s="3"/>
      <c r="L3" s="3"/>
      <c r="M3" s="3"/>
      <c r="N3" s="3"/>
      <c r="O3" s="3"/>
      <c r="P3" s="3"/>
      <c r="Q3" s="3"/>
      <c r="R3" s="3"/>
      <c r="S3" s="4"/>
    </row>
    <row r="4" spans="1:19" ht="75" x14ac:dyDescent="0.25">
      <c r="A4" s="25" t="s">
        <v>42</v>
      </c>
      <c r="B4" s="5" t="s">
        <v>43</v>
      </c>
      <c r="C4" s="6" t="s">
        <v>44</v>
      </c>
      <c r="D4" s="6" t="s">
        <v>45</v>
      </c>
      <c r="E4" s="6" t="s">
        <v>46</v>
      </c>
      <c r="F4" s="6" t="s">
        <v>47</v>
      </c>
      <c r="G4" s="6" t="s">
        <v>48</v>
      </c>
      <c r="H4" s="6" t="s">
        <v>49</v>
      </c>
      <c r="I4" s="7" t="s">
        <v>50</v>
      </c>
      <c r="J4" s="7" t="s">
        <v>51</v>
      </c>
      <c r="K4" s="6" t="s">
        <v>52</v>
      </c>
      <c r="L4" s="6" t="s">
        <v>53</v>
      </c>
      <c r="M4" s="6" t="s">
        <v>54</v>
      </c>
      <c r="N4" s="8" t="s">
        <v>55</v>
      </c>
      <c r="O4" s="6" t="s">
        <v>56</v>
      </c>
      <c r="P4" s="9" t="s">
        <v>57</v>
      </c>
      <c r="Q4" s="6" t="s">
        <v>58</v>
      </c>
      <c r="R4" s="6" t="s">
        <v>59</v>
      </c>
      <c r="S4" s="10" t="s">
        <v>60</v>
      </c>
    </row>
    <row r="5" spans="1:19" x14ac:dyDescent="0.25">
      <c r="A5" s="2">
        <v>1999</v>
      </c>
      <c r="B5" s="11">
        <v>1112713208</v>
      </c>
      <c r="C5" s="12">
        <v>269590948</v>
      </c>
      <c r="D5" s="12">
        <v>695350424</v>
      </c>
      <c r="E5" s="12">
        <v>372293833</v>
      </c>
      <c r="F5" s="12">
        <v>79960074</v>
      </c>
      <c r="G5" s="12">
        <v>60110</v>
      </c>
      <c r="H5" s="12">
        <v>105959624</v>
      </c>
      <c r="I5" s="12">
        <v>85703658</v>
      </c>
      <c r="J5" s="12">
        <v>522199221</v>
      </c>
      <c r="K5" s="12">
        <v>205229685</v>
      </c>
      <c r="L5" s="12">
        <v>1376834962</v>
      </c>
      <c r="M5" s="12">
        <v>921418707</v>
      </c>
      <c r="N5" s="12">
        <v>227714200</v>
      </c>
      <c r="O5" s="12">
        <v>958052</v>
      </c>
      <c r="P5" s="13">
        <v>0</v>
      </c>
      <c r="Q5" s="12">
        <v>0</v>
      </c>
      <c r="R5" s="12">
        <v>0</v>
      </c>
      <c r="S5" s="14">
        <v>5975986706</v>
      </c>
    </row>
    <row r="6" spans="1:19" x14ac:dyDescent="0.25">
      <c r="A6" s="15">
        <v>2002</v>
      </c>
      <c r="B6" s="16">
        <v>1026652324</v>
      </c>
      <c r="C6" s="17">
        <v>218987365</v>
      </c>
      <c r="D6" s="17">
        <v>760888747</v>
      </c>
      <c r="E6" s="17">
        <v>872564144</v>
      </c>
      <c r="F6" s="17">
        <v>95526829</v>
      </c>
      <c r="G6" s="17">
        <v>101281</v>
      </c>
      <c r="H6" s="17">
        <v>57820868</v>
      </c>
      <c r="I6" s="17">
        <v>106042798</v>
      </c>
      <c r="J6" s="17">
        <v>655850537</v>
      </c>
      <c r="K6" s="17">
        <v>188266427</v>
      </c>
      <c r="L6" s="17">
        <v>1697876143</v>
      </c>
      <c r="M6" s="17">
        <v>872220043</v>
      </c>
      <c r="N6" s="17">
        <v>241327646</v>
      </c>
      <c r="O6" s="17">
        <v>0</v>
      </c>
      <c r="P6" s="18">
        <v>0</v>
      </c>
      <c r="Q6" s="17">
        <v>0</v>
      </c>
      <c r="R6" s="17">
        <v>0</v>
      </c>
      <c r="S6" s="19">
        <v>6794125152</v>
      </c>
    </row>
    <row r="7" spans="1:19" x14ac:dyDescent="0.25">
      <c r="A7" s="15">
        <v>2003</v>
      </c>
      <c r="B7" s="16">
        <v>998221248.0999999</v>
      </c>
      <c r="C7" s="17">
        <v>244063124.04000002</v>
      </c>
      <c r="D7" s="17">
        <v>593636289.71999991</v>
      </c>
      <c r="E7" s="17">
        <v>1063316631.5589999</v>
      </c>
      <c r="F7" s="17">
        <v>62205375</v>
      </c>
      <c r="G7" s="17">
        <v>0</v>
      </c>
      <c r="H7" s="17">
        <v>54372541.799999997</v>
      </c>
      <c r="I7" s="17">
        <v>106530194.19999999</v>
      </c>
      <c r="J7" s="17">
        <v>706133315.35000002</v>
      </c>
      <c r="K7" s="17">
        <v>206751735.45999995</v>
      </c>
      <c r="L7" s="17">
        <v>2058787392.8999996</v>
      </c>
      <c r="M7" s="17">
        <v>940557426.38999999</v>
      </c>
      <c r="N7" s="17">
        <v>228504582.80000004</v>
      </c>
      <c r="O7" s="17">
        <v>0</v>
      </c>
      <c r="P7" s="18">
        <v>0</v>
      </c>
      <c r="Q7" s="17">
        <v>0</v>
      </c>
      <c r="R7" s="17">
        <v>0</v>
      </c>
      <c r="S7" s="19">
        <v>7263079857.3190002</v>
      </c>
    </row>
    <row r="8" spans="1:19" x14ac:dyDescent="0.25">
      <c r="A8" s="15">
        <v>2004</v>
      </c>
      <c r="B8" s="16">
        <v>980872588.7099998</v>
      </c>
      <c r="C8" s="17">
        <v>223676701.85000002</v>
      </c>
      <c r="D8" s="17">
        <v>832326711.43000019</v>
      </c>
      <c r="E8" s="17">
        <v>1119440842.8199999</v>
      </c>
      <c r="F8" s="17">
        <v>46272359</v>
      </c>
      <c r="G8" s="17">
        <v>0</v>
      </c>
      <c r="H8" s="17">
        <v>51331709</v>
      </c>
      <c r="I8" s="17">
        <v>104312409.39999999</v>
      </c>
      <c r="J8" s="17">
        <v>709741294.91999996</v>
      </c>
      <c r="K8" s="17">
        <v>161976978.19999999</v>
      </c>
      <c r="L8" s="17">
        <v>2331847768.04</v>
      </c>
      <c r="M8" s="17">
        <v>906631985.24000001</v>
      </c>
      <c r="N8" s="17">
        <v>200298961.30000001</v>
      </c>
      <c r="O8" s="17">
        <v>0</v>
      </c>
      <c r="P8" s="18">
        <v>0</v>
      </c>
      <c r="Q8" s="17">
        <v>0</v>
      </c>
      <c r="R8" s="17">
        <v>0</v>
      </c>
      <c r="S8" s="19">
        <v>7668730309.9100008</v>
      </c>
    </row>
    <row r="9" spans="1:19" x14ac:dyDescent="0.25">
      <c r="A9" s="15">
        <v>2005</v>
      </c>
      <c r="B9" s="16">
        <v>947528321</v>
      </c>
      <c r="C9" s="17">
        <v>224328722</v>
      </c>
      <c r="D9" s="17">
        <v>961220308</v>
      </c>
      <c r="E9" s="17">
        <v>1338617158</v>
      </c>
      <c r="F9" s="17">
        <v>22099551</v>
      </c>
      <c r="G9" s="17">
        <v>0</v>
      </c>
      <c r="H9" s="17">
        <v>51961466</v>
      </c>
      <c r="I9" s="17">
        <v>103900733</v>
      </c>
      <c r="J9" s="17">
        <v>747196224</v>
      </c>
      <c r="K9" s="17">
        <v>169475011</v>
      </c>
      <c r="L9" s="17">
        <v>2617905234</v>
      </c>
      <c r="M9" s="17">
        <v>859722578</v>
      </c>
      <c r="N9" s="17">
        <v>72741384</v>
      </c>
      <c r="O9" s="17">
        <v>0</v>
      </c>
      <c r="P9" s="18">
        <v>0</v>
      </c>
      <c r="Q9" s="17">
        <v>0</v>
      </c>
      <c r="R9" s="17">
        <v>0</v>
      </c>
      <c r="S9" s="19">
        <v>8116696690</v>
      </c>
    </row>
    <row r="10" spans="1:19" x14ac:dyDescent="0.25">
      <c r="A10" s="15">
        <v>2006</v>
      </c>
      <c r="B10" s="16">
        <v>951847479</v>
      </c>
      <c r="C10" s="17">
        <v>212864373</v>
      </c>
      <c r="D10" s="17">
        <v>999038414</v>
      </c>
      <c r="E10" s="17">
        <v>1472784179</v>
      </c>
      <c r="F10" s="17">
        <v>45827476</v>
      </c>
      <c r="G10" s="17">
        <v>36958428</v>
      </c>
      <c r="H10" s="17">
        <v>47504562</v>
      </c>
      <c r="I10" s="17">
        <v>96117106</v>
      </c>
      <c r="J10" s="17">
        <v>765003098</v>
      </c>
      <c r="K10" s="17">
        <v>180485569</v>
      </c>
      <c r="L10" s="17">
        <v>2979043909</v>
      </c>
      <c r="M10" s="17">
        <v>842106901</v>
      </c>
      <c r="N10" s="17">
        <v>77200295</v>
      </c>
      <c r="O10" s="17">
        <v>0</v>
      </c>
      <c r="P10" s="18">
        <v>0</v>
      </c>
      <c r="Q10" s="17">
        <v>0</v>
      </c>
      <c r="R10" s="17">
        <v>0</v>
      </c>
      <c r="S10" s="19">
        <v>8706781789</v>
      </c>
    </row>
    <row r="11" spans="1:19" x14ac:dyDescent="0.25">
      <c r="A11" s="15">
        <v>2007</v>
      </c>
      <c r="B11" s="16">
        <v>923343045</v>
      </c>
      <c r="C11" s="17">
        <v>240771534</v>
      </c>
      <c r="D11" s="17">
        <v>1681802486</v>
      </c>
      <c r="E11" s="17">
        <v>1542417229</v>
      </c>
      <c r="F11" s="17">
        <v>32916465</v>
      </c>
      <c r="G11" s="17">
        <v>0</v>
      </c>
      <c r="H11" s="17">
        <v>37084547</v>
      </c>
      <c r="I11" s="17">
        <v>123261102</v>
      </c>
      <c r="J11" s="17">
        <v>761815776</v>
      </c>
      <c r="K11" s="17">
        <v>162261527</v>
      </c>
      <c r="L11" s="17">
        <v>3337942753</v>
      </c>
      <c r="M11" s="17">
        <v>812759666</v>
      </c>
      <c r="N11" s="17">
        <v>86831741</v>
      </c>
      <c r="O11" s="17">
        <v>0</v>
      </c>
      <c r="P11" s="18">
        <v>0</v>
      </c>
      <c r="Q11" s="17">
        <v>0</v>
      </c>
      <c r="R11" s="17">
        <v>0</v>
      </c>
      <c r="S11" s="19">
        <v>9743207871</v>
      </c>
    </row>
    <row r="12" spans="1:19" x14ac:dyDescent="0.25">
      <c r="A12" s="15">
        <v>2008</v>
      </c>
      <c r="B12" s="16">
        <v>199082513</v>
      </c>
      <c r="C12" s="17">
        <v>66675162</v>
      </c>
      <c r="D12" s="17">
        <v>569325113</v>
      </c>
      <c r="E12" s="17">
        <v>363056596</v>
      </c>
      <c r="F12" s="17">
        <v>10474754</v>
      </c>
      <c r="G12" s="17">
        <v>0</v>
      </c>
      <c r="H12" s="17">
        <v>13019608</v>
      </c>
      <c r="I12" s="17">
        <v>29946044</v>
      </c>
      <c r="J12" s="17">
        <v>174891746</v>
      </c>
      <c r="K12" s="17">
        <v>32827107</v>
      </c>
      <c r="L12" s="17">
        <v>845303511</v>
      </c>
      <c r="M12" s="17">
        <v>219613068</v>
      </c>
      <c r="N12" s="17">
        <v>10295830</v>
      </c>
      <c r="O12" s="17">
        <v>0</v>
      </c>
      <c r="P12" s="18">
        <v>0</v>
      </c>
      <c r="Q12" s="17">
        <v>0</v>
      </c>
      <c r="R12" s="17">
        <v>0</v>
      </c>
      <c r="S12" s="19">
        <v>2534511052</v>
      </c>
    </row>
    <row r="13" spans="1:19" x14ac:dyDescent="0.25">
      <c r="A13" s="15">
        <v>2009</v>
      </c>
      <c r="B13" s="16">
        <v>771771610</v>
      </c>
      <c r="C13" s="17">
        <v>374752722</v>
      </c>
      <c r="D13" s="17">
        <v>1536489930</v>
      </c>
      <c r="E13" s="17">
        <v>1384878614</v>
      </c>
      <c r="F13" s="17">
        <v>62798815</v>
      </c>
      <c r="G13" s="17">
        <v>418964995</v>
      </c>
      <c r="H13" s="17">
        <v>47901128</v>
      </c>
      <c r="I13" s="17">
        <v>202612444</v>
      </c>
      <c r="J13" s="17">
        <v>800291238</v>
      </c>
      <c r="K13" s="17">
        <v>160768310</v>
      </c>
      <c r="L13" s="17">
        <v>3684259870</v>
      </c>
      <c r="M13" s="17">
        <v>820233794</v>
      </c>
      <c r="N13" s="17">
        <v>44227174</v>
      </c>
      <c r="O13" s="17">
        <v>0</v>
      </c>
      <c r="P13" s="18">
        <v>0</v>
      </c>
      <c r="Q13" s="17">
        <v>0</v>
      </c>
      <c r="R13" s="17">
        <v>0</v>
      </c>
      <c r="S13" s="19">
        <v>10309950644</v>
      </c>
    </row>
    <row r="14" spans="1:19" x14ac:dyDescent="0.25">
      <c r="A14" s="15">
        <v>2010</v>
      </c>
      <c r="B14" s="16">
        <v>905522845</v>
      </c>
      <c r="C14" s="17">
        <v>298964912</v>
      </c>
      <c r="D14" s="17">
        <v>245701888</v>
      </c>
      <c r="E14" s="17">
        <v>1971105032</v>
      </c>
      <c r="F14" s="17">
        <v>38137170</v>
      </c>
      <c r="G14" s="17">
        <v>526489409</v>
      </c>
      <c r="H14" s="17">
        <v>28782438</v>
      </c>
      <c r="I14" s="17">
        <v>109580724</v>
      </c>
      <c r="J14" s="17">
        <v>917231089</v>
      </c>
      <c r="K14" s="17">
        <v>132972453</v>
      </c>
      <c r="L14" s="17">
        <v>3733317373</v>
      </c>
      <c r="M14" s="17">
        <v>786793186</v>
      </c>
      <c r="N14" s="17">
        <v>45704072</v>
      </c>
      <c r="O14" s="17">
        <v>1328844</v>
      </c>
      <c r="P14" s="18">
        <v>1005190388</v>
      </c>
      <c r="Q14" s="17">
        <v>11826</v>
      </c>
      <c r="R14" s="17">
        <v>0</v>
      </c>
      <c r="S14" s="19">
        <v>10746833649</v>
      </c>
    </row>
    <row r="15" spans="1:19" x14ac:dyDescent="0.25">
      <c r="A15" s="15">
        <v>2011</v>
      </c>
      <c r="B15" s="16">
        <v>1001250213</v>
      </c>
      <c r="C15" s="17">
        <v>279439216</v>
      </c>
      <c r="D15" s="17">
        <v>241318656</v>
      </c>
      <c r="E15" s="17">
        <v>2124446239</v>
      </c>
      <c r="F15" s="17">
        <v>31941627</v>
      </c>
      <c r="G15" s="17">
        <v>650937967</v>
      </c>
      <c r="H15" s="17">
        <v>29478481</v>
      </c>
      <c r="I15" s="17">
        <v>101684851</v>
      </c>
      <c r="J15" s="17">
        <v>1176638196</v>
      </c>
      <c r="K15" s="17">
        <v>136634216</v>
      </c>
      <c r="L15" s="17">
        <v>3946603336</v>
      </c>
      <c r="M15" s="17">
        <v>722418933</v>
      </c>
      <c r="N15" s="17">
        <v>49649772</v>
      </c>
      <c r="O15" s="17">
        <v>287263330</v>
      </c>
      <c r="P15" s="18">
        <v>1069822210</v>
      </c>
      <c r="Q15" s="17">
        <v>0</v>
      </c>
      <c r="R15" s="17">
        <v>60512483</v>
      </c>
      <c r="S15" s="19">
        <v>11910039726</v>
      </c>
    </row>
    <row r="16" spans="1:19" x14ac:dyDescent="0.25">
      <c r="A16" s="15">
        <v>2012</v>
      </c>
      <c r="B16" s="16">
        <v>985508989</v>
      </c>
      <c r="C16" s="17">
        <v>276586728</v>
      </c>
      <c r="D16" s="17">
        <v>269037829</v>
      </c>
      <c r="E16" s="17">
        <v>2004318914</v>
      </c>
      <c r="F16" s="17">
        <v>23380142</v>
      </c>
      <c r="G16" s="17">
        <v>574748642</v>
      </c>
      <c r="H16" s="17">
        <v>27847667</v>
      </c>
      <c r="I16" s="17">
        <v>94797798</v>
      </c>
      <c r="J16" s="17">
        <v>1290356553</v>
      </c>
      <c r="K16" s="17">
        <v>145593933</v>
      </c>
      <c r="L16" s="17">
        <v>4073706854</v>
      </c>
      <c r="M16" s="17">
        <v>706171997</v>
      </c>
      <c r="N16" s="17">
        <v>56052226</v>
      </c>
      <c r="O16" s="17">
        <v>282190372</v>
      </c>
      <c r="P16" s="18">
        <v>1127424160</v>
      </c>
      <c r="Q16" s="17">
        <v>0</v>
      </c>
      <c r="R16" s="17">
        <v>42484974</v>
      </c>
      <c r="S16" s="19">
        <v>11980207778</v>
      </c>
    </row>
    <row r="17" spans="1:19" x14ac:dyDescent="0.25">
      <c r="A17" s="20" t="s">
        <v>60</v>
      </c>
      <c r="B17" s="21">
        <v>10804314383.809999</v>
      </c>
      <c r="C17" s="22">
        <v>2930701507.8899999</v>
      </c>
      <c r="D17" s="22">
        <v>9386136796.1499996</v>
      </c>
      <c r="E17" s="22">
        <v>15629239412.379</v>
      </c>
      <c r="F17" s="22">
        <v>551540637</v>
      </c>
      <c r="G17" s="22">
        <v>2208260832</v>
      </c>
      <c r="H17" s="22">
        <v>553064639.79999995</v>
      </c>
      <c r="I17" s="22">
        <v>1264489861.5999999</v>
      </c>
      <c r="J17" s="22">
        <v>9227348288.2700005</v>
      </c>
      <c r="K17" s="22">
        <v>1883242951.6599998</v>
      </c>
      <c r="L17" s="22">
        <v>32683429105.939999</v>
      </c>
      <c r="M17" s="22">
        <v>9410648284.6300011</v>
      </c>
      <c r="N17" s="22">
        <v>1340547884.1000001</v>
      </c>
      <c r="O17" s="22">
        <v>571740598</v>
      </c>
      <c r="P17" s="23">
        <v>3202436758</v>
      </c>
      <c r="Q17" s="22">
        <v>11826</v>
      </c>
      <c r="R17" s="22">
        <v>102997457</v>
      </c>
      <c r="S17" s="24">
        <v>101750151224.229</v>
      </c>
    </row>
    <row r="20" spans="1:19" ht="45" x14ac:dyDescent="0.25">
      <c r="A20" s="2" t="s">
        <v>42</v>
      </c>
      <c r="B20" s="5" t="s">
        <v>43</v>
      </c>
      <c r="C20" s="6" t="s">
        <v>44</v>
      </c>
      <c r="D20" s="6" t="s">
        <v>45</v>
      </c>
      <c r="E20" s="6" t="s">
        <v>46</v>
      </c>
      <c r="F20" s="6" t="s">
        <v>47</v>
      </c>
      <c r="G20" s="6" t="s">
        <v>48</v>
      </c>
      <c r="H20" s="6" t="s">
        <v>49</v>
      </c>
      <c r="I20" s="7" t="s">
        <v>50</v>
      </c>
      <c r="J20" s="7" t="s">
        <v>51</v>
      </c>
      <c r="K20" s="6" t="s">
        <v>52</v>
      </c>
      <c r="L20" s="6" t="s">
        <v>53</v>
      </c>
      <c r="M20" s="6" t="s">
        <v>54</v>
      </c>
      <c r="N20" s="8" t="s">
        <v>55</v>
      </c>
      <c r="O20" s="6" t="s">
        <v>56</v>
      </c>
      <c r="P20" s="9" t="s">
        <v>57</v>
      </c>
      <c r="Q20" s="6" t="s">
        <v>58</v>
      </c>
      <c r="R20" s="6" t="s">
        <v>59</v>
      </c>
      <c r="S20" s="10" t="s">
        <v>60</v>
      </c>
    </row>
    <row r="21" spans="1:19" x14ac:dyDescent="0.25">
      <c r="A21" s="2">
        <v>1999</v>
      </c>
      <c r="B21" s="26">
        <f>B5/$S5</f>
        <v>0.18619740349870853</v>
      </c>
      <c r="C21" s="26">
        <f>C5/$S5</f>
        <v>4.5112374117118728E-2</v>
      </c>
      <c r="D21" s="26">
        <f t="shared" ref="D21:R21" si="0">D5/$S5</f>
        <v>0.11635742484196886</v>
      </c>
      <c r="E21" s="26">
        <f t="shared" si="0"/>
        <v>6.2298303412591294E-2</v>
      </c>
      <c r="F21" s="26">
        <f t="shared" si="0"/>
        <v>1.3380229564386182E-2</v>
      </c>
      <c r="G21" s="26">
        <f t="shared" si="0"/>
        <v>1.0058589979734804E-5</v>
      </c>
      <c r="H21" s="26">
        <f t="shared" si="0"/>
        <v>1.7730900219977832E-2</v>
      </c>
      <c r="I21" s="26">
        <f t="shared" si="0"/>
        <v>1.4341340136173992E-2</v>
      </c>
      <c r="J21" s="26">
        <f t="shared" si="0"/>
        <v>8.738292882674964E-2</v>
      </c>
      <c r="K21" s="26">
        <f t="shared" si="0"/>
        <v>3.4342393163951594E-2</v>
      </c>
      <c r="L21" s="26">
        <f t="shared" si="0"/>
        <v>0.23039458247415986</v>
      </c>
      <c r="M21" s="26">
        <f t="shared" si="0"/>
        <v>0.15418687362120112</v>
      </c>
      <c r="N21" s="27">
        <f t="shared" si="0"/>
        <v>3.8104870576664902E-2</v>
      </c>
      <c r="O21" s="26">
        <f t="shared" si="0"/>
        <v>1.6031695636774062E-4</v>
      </c>
      <c r="P21" s="26">
        <f t="shared" si="0"/>
        <v>0</v>
      </c>
      <c r="Q21" s="26">
        <f t="shared" si="0"/>
        <v>0</v>
      </c>
      <c r="R21" s="26">
        <f t="shared" si="0"/>
        <v>0</v>
      </c>
      <c r="S21" s="14">
        <v>5975986706</v>
      </c>
    </row>
    <row r="22" spans="1:19" x14ac:dyDescent="0.25">
      <c r="A22" s="15">
        <v>2002</v>
      </c>
      <c r="B22" s="26">
        <f t="shared" ref="B22:R22" si="1">B6/$S6</f>
        <v>0.15110883315091456</v>
      </c>
      <c r="C22" s="26">
        <f t="shared" si="1"/>
        <v>3.2231870932718433E-2</v>
      </c>
      <c r="D22" s="26">
        <f t="shared" si="1"/>
        <v>0.11199215939906784</v>
      </c>
      <c r="E22" s="26">
        <f t="shared" si="1"/>
        <v>0.12842921266222798</v>
      </c>
      <c r="F22" s="26">
        <f t="shared" si="1"/>
        <v>1.4060210382182844E-2</v>
      </c>
      <c r="G22" s="26">
        <f t="shared" si="1"/>
        <v>1.4907143706380756E-5</v>
      </c>
      <c r="H22" s="26">
        <f t="shared" si="1"/>
        <v>8.510421387068378E-3</v>
      </c>
      <c r="I22" s="26">
        <f t="shared" si="1"/>
        <v>1.5608013633482153E-2</v>
      </c>
      <c r="J22" s="26">
        <f t="shared" si="1"/>
        <v>9.65320070394841E-2</v>
      </c>
      <c r="K22" s="26">
        <f t="shared" si="1"/>
        <v>2.7710179425320072E-2</v>
      </c>
      <c r="L22" s="26">
        <f t="shared" si="1"/>
        <v>0.24990357183811854</v>
      </c>
      <c r="M22" s="26">
        <f t="shared" si="1"/>
        <v>0.12837856581774076</v>
      </c>
      <c r="N22" s="27">
        <f t="shared" si="1"/>
        <v>3.552004718796796E-2</v>
      </c>
      <c r="O22" s="26">
        <f t="shared" si="1"/>
        <v>0</v>
      </c>
      <c r="P22" s="26">
        <f t="shared" si="1"/>
        <v>0</v>
      </c>
      <c r="Q22" s="26">
        <f t="shared" si="1"/>
        <v>0</v>
      </c>
      <c r="R22" s="26">
        <f t="shared" si="1"/>
        <v>0</v>
      </c>
      <c r="S22" s="19">
        <v>6794125152</v>
      </c>
    </row>
    <row r="23" spans="1:19" x14ac:dyDescent="0.25">
      <c r="A23" s="15">
        <v>2003</v>
      </c>
      <c r="B23" s="26">
        <f t="shared" ref="B23:R23" si="2">B7/$S7</f>
        <v>0.13743773546618698</v>
      </c>
      <c r="C23" s="26">
        <f t="shared" si="2"/>
        <v>3.3603254932417934E-2</v>
      </c>
      <c r="D23" s="26">
        <f t="shared" si="2"/>
        <v>8.1733410809436857E-2</v>
      </c>
      <c r="E23" s="26">
        <f t="shared" si="2"/>
        <v>0.14640023962940413</v>
      </c>
      <c r="F23" s="26">
        <f t="shared" si="2"/>
        <v>8.5646001726548127E-3</v>
      </c>
      <c r="G23" s="26">
        <f t="shared" si="2"/>
        <v>0</v>
      </c>
      <c r="H23" s="26">
        <f t="shared" si="2"/>
        <v>7.4861550290141483E-3</v>
      </c>
      <c r="I23" s="26">
        <f t="shared" si="2"/>
        <v>1.4667358240960215E-2</v>
      </c>
      <c r="J23" s="26">
        <f t="shared" si="2"/>
        <v>9.7222298146485336E-2</v>
      </c>
      <c r="K23" s="26">
        <f t="shared" si="2"/>
        <v>2.8466124498363648E-2</v>
      </c>
      <c r="L23" s="26">
        <f t="shared" si="2"/>
        <v>0.28345928082084365</v>
      </c>
      <c r="M23" s="26">
        <f t="shared" si="2"/>
        <v>0.12949842833439329</v>
      </c>
      <c r="N23" s="27">
        <f t="shared" si="2"/>
        <v>3.1461113919838864E-2</v>
      </c>
      <c r="O23" s="26">
        <f t="shared" si="2"/>
        <v>0</v>
      </c>
      <c r="P23" s="26">
        <f t="shared" si="2"/>
        <v>0</v>
      </c>
      <c r="Q23" s="26">
        <f t="shared" si="2"/>
        <v>0</v>
      </c>
      <c r="R23" s="26">
        <f t="shared" si="2"/>
        <v>0</v>
      </c>
      <c r="S23" s="19">
        <v>7263079857.3190002</v>
      </c>
    </row>
    <row r="24" spans="1:19" x14ac:dyDescent="0.25">
      <c r="A24" s="15">
        <v>2004</v>
      </c>
      <c r="B24" s="26">
        <f t="shared" ref="B24:R24" si="3">B8/$S8</f>
        <v>0.12790547444893927</v>
      </c>
      <c r="C24" s="26">
        <f t="shared" si="3"/>
        <v>2.9167370974169132E-2</v>
      </c>
      <c r="D24" s="26">
        <f t="shared" si="3"/>
        <v>0.10853513916826843</v>
      </c>
      <c r="E24" s="26">
        <f t="shared" si="3"/>
        <v>0.14597473083300247</v>
      </c>
      <c r="F24" s="26">
        <f t="shared" si="3"/>
        <v>6.0339009366653616E-3</v>
      </c>
      <c r="G24" s="26">
        <f t="shared" si="3"/>
        <v>0</v>
      </c>
      <c r="H24" s="26">
        <f t="shared" si="3"/>
        <v>6.6936385719114462E-3</v>
      </c>
      <c r="I24" s="26">
        <f t="shared" si="3"/>
        <v>1.3602305099346255E-2</v>
      </c>
      <c r="J24" s="26">
        <f t="shared" si="3"/>
        <v>9.2550039737716291E-2</v>
      </c>
      <c r="K24" s="26">
        <f t="shared" si="3"/>
        <v>2.1121746580484577E-2</v>
      </c>
      <c r="L24" s="26">
        <f t="shared" si="3"/>
        <v>0.30407220932344486</v>
      </c>
      <c r="M24" s="26">
        <f t="shared" si="3"/>
        <v>0.11822452330451559</v>
      </c>
      <c r="N24" s="27">
        <f t="shared" si="3"/>
        <v>2.6118921021536182E-2</v>
      </c>
      <c r="O24" s="26">
        <f t="shared" si="3"/>
        <v>0</v>
      </c>
      <c r="P24" s="26">
        <f t="shared" si="3"/>
        <v>0</v>
      </c>
      <c r="Q24" s="26">
        <f t="shared" si="3"/>
        <v>0</v>
      </c>
      <c r="R24" s="26">
        <f t="shared" si="3"/>
        <v>0</v>
      </c>
      <c r="S24" s="19">
        <v>7668730309.9100008</v>
      </c>
    </row>
    <row r="25" spans="1:19" x14ac:dyDescent="0.25">
      <c r="A25" s="15">
        <v>2005</v>
      </c>
      <c r="B25" s="26">
        <f t="shared" ref="B25:R25" si="4">B9/$S9</f>
        <v>0.11673817036521542</v>
      </c>
      <c r="C25" s="26">
        <f t="shared" si="4"/>
        <v>2.7637933332704097E-2</v>
      </c>
      <c r="D25" s="26">
        <f t="shared" si="4"/>
        <v>0.11842506190778948</v>
      </c>
      <c r="E25" s="26">
        <f t="shared" si="4"/>
        <v>0.164921421746511</v>
      </c>
      <c r="F25" s="26">
        <f t="shared" si="4"/>
        <v>2.7227272182324212E-3</v>
      </c>
      <c r="G25" s="26">
        <f t="shared" si="4"/>
        <v>0</v>
      </c>
      <c r="H25" s="26">
        <f t="shared" si="4"/>
        <v>6.4017996464027045E-3</v>
      </c>
      <c r="I25" s="26">
        <f t="shared" si="4"/>
        <v>1.2800864313188965E-2</v>
      </c>
      <c r="J25" s="26">
        <f t="shared" si="4"/>
        <v>9.2056689135688277E-2</v>
      </c>
      <c r="K25" s="26">
        <f t="shared" si="4"/>
        <v>2.087980091812449E-2</v>
      </c>
      <c r="L25" s="26">
        <f t="shared" si="4"/>
        <v>0.32253333270729867</v>
      </c>
      <c r="M25" s="26">
        <f t="shared" si="4"/>
        <v>0.10592025436397082</v>
      </c>
      <c r="N25" s="27">
        <f t="shared" si="4"/>
        <v>8.9619443448736291E-3</v>
      </c>
      <c r="O25" s="26">
        <f t="shared" si="4"/>
        <v>0</v>
      </c>
      <c r="P25" s="26">
        <f t="shared" si="4"/>
        <v>0</v>
      </c>
      <c r="Q25" s="26">
        <f t="shared" si="4"/>
        <v>0</v>
      </c>
      <c r="R25" s="26">
        <f t="shared" si="4"/>
        <v>0</v>
      </c>
      <c r="S25" s="19">
        <v>8116696690</v>
      </c>
    </row>
    <row r="26" spans="1:19" x14ac:dyDescent="0.25">
      <c r="A26" s="15">
        <v>2006</v>
      </c>
      <c r="B26" s="26">
        <f t="shared" ref="B26:R26" si="5">B10/$S10</f>
        <v>0.10932253754223493</v>
      </c>
      <c r="C26" s="26">
        <f t="shared" si="5"/>
        <v>2.4448111616731823E-2</v>
      </c>
      <c r="D26" s="26">
        <f t="shared" si="5"/>
        <v>0.11474255795202863</v>
      </c>
      <c r="E26" s="26">
        <f t="shared" si="5"/>
        <v>0.1691536798201019</v>
      </c>
      <c r="F26" s="26">
        <f t="shared" si="5"/>
        <v>5.2634230546466263E-3</v>
      </c>
      <c r="G26" s="26">
        <f t="shared" si="5"/>
        <v>4.2447862936788707E-3</v>
      </c>
      <c r="H26" s="26">
        <f t="shared" si="5"/>
        <v>5.4560414113072704E-3</v>
      </c>
      <c r="I26" s="26">
        <f t="shared" si="5"/>
        <v>1.1039337878139167E-2</v>
      </c>
      <c r="J26" s="26">
        <f t="shared" si="5"/>
        <v>8.7862900040344638E-2</v>
      </c>
      <c r="K26" s="26">
        <f t="shared" si="5"/>
        <v>2.0729308873689976E-2</v>
      </c>
      <c r="L26" s="26">
        <f t="shared" si="5"/>
        <v>0.34215212706532666</v>
      </c>
      <c r="M26" s="26">
        <f t="shared" si="5"/>
        <v>9.6718503048267901E-2</v>
      </c>
      <c r="N26" s="27">
        <f t="shared" si="5"/>
        <v>8.8666854035016167E-3</v>
      </c>
      <c r="O26" s="26">
        <f t="shared" si="5"/>
        <v>0</v>
      </c>
      <c r="P26" s="26">
        <f t="shared" si="5"/>
        <v>0</v>
      </c>
      <c r="Q26" s="26">
        <f t="shared" si="5"/>
        <v>0</v>
      </c>
      <c r="R26" s="26">
        <f t="shared" si="5"/>
        <v>0</v>
      </c>
      <c r="S26" s="19">
        <v>8706781789</v>
      </c>
    </row>
    <row r="27" spans="1:19" x14ac:dyDescent="0.25">
      <c r="A27" s="15">
        <v>2007</v>
      </c>
      <c r="B27" s="26">
        <f t="shared" ref="B27:R27" si="6">B11/$S11</f>
        <v>9.4767868778440845E-2</v>
      </c>
      <c r="C27" s="26">
        <f t="shared" si="6"/>
        <v>2.4711731206786648E-2</v>
      </c>
      <c r="D27" s="26">
        <f t="shared" si="6"/>
        <v>0.17261280968927817</v>
      </c>
      <c r="E27" s="26">
        <f t="shared" si="6"/>
        <v>0.15830692000228186</v>
      </c>
      <c r="F27" s="26">
        <f t="shared" si="6"/>
        <v>3.3784011832461909E-3</v>
      </c>
      <c r="G27" s="26">
        <f t="shared" si="6"/>
        <v>0</v>
      </c>
      <c r="H27" s="26">
        <f t="shared" si="6"/>
        <v>3.806194786255115E-3</v>
      </c>
      <c r="I27" s="26">
        <f t="shared" si="6"/>
        <v>1.2650977340520297E-2</v>
      </c>
      <c r="J27" s="26">
        <f t="shared" si="6"/>
        <v>7.8189420372267046E-2</v>
      </c>
      <c r="K27" s="26">
        <f t="shared" si="6"/>
        <v>1.6653809417631383E-2</v>
      </c>
      <c r="L27" s="26">
        <f t="shared" si="6"/>
        <v>0.34259176209666647</v>
      </c>
      <c r="M27" s="26">
        <f t="shared" si="6"/>
        <v>8.3418077163181975E-2</v>
      </c>
      <c r="N27" s="27">
        <f t="shared" si="6"/>
        <v>8.9120279634440323E-3</v>
      </c>
      <c r="O27" s="26">
        <f t="shared" si="6"/>
        <v>0</v>
      </c>
      <c r="P27" s="26">
        <f t="shared" si="6"/>
        <v>0</v>
      </c>
      <c r="Q27" s="26">
        <f t="shared" si="6"/>
        <v>0</v>
      </c>
      <c r="R27" s="26">
        <f t="shared" si="6"/>
        <v>0</v>
      </c>
      <c r="S27" s="19">
        <v>9743207871</v>
      </c>
    </row>
    <row r="28" spans="1:19" x14ac:dyDescent="0.25">
      <c r="A28" s="15">
        <v>2008</v>
      </c>
      <c r="B28" s="26">
        <f t="shared" ref="B28:R28" si="7">B12/$S12</f>
        <v>7.8548686084009237E-2</v>
      </c>
      <c r="C28" s="26">
        <f t="shared" si="7"/>
        <v>2.6306913101596528E-2</v>
      </c>
      <c r="D28" s="26">
        <f t="shared" si="7"/>
        <v>0.22462916961862986</v>
      </c>
      <c r="E28" s="26">
        <f t="shared" si="7"/>
        <v>0.14324522109047802</v>
      </c>
      <c r="F28" s="26">
        <f t="shared" si="7"/>
        <v>4.1328499995035729E-3</v>
      </c>
      <c r="G28" s="26">
        <f t="shared" si="7"/>
        <v>0</v>
      </c>
      <c r="H28" s="26">
        <f t="shared" si="7"/>
        <v>5.1369308449951872E-3</v>
      </c>
      <c r="I28" s="26">
        <f t="shared" si="7"/>
        <v>1.1815314033201541E-2</v>
      </c>
      <c r="J28" s="26">
        <f t="shared" si="7"/>
        <v>6.9004136266043001E-2</v>
      </c>
      <c r="K28" s="26">
        <f t="shared" si="7"/>
        <v>1.295204728900113E-2</v>
      </c>
      <c r="L28" s="26">
        <f t="shared" si="7"/>
        <v>0.33351739000426345</v>
      </c>
      <c r="M28" s="26">
        <f t="shared" si="7"/>
        <v>8.6649086744641265E-2</v>
      </c>
      <c r="N28" s="27">
        <f t="shared" si="7"/>
        <v>4.06225492363724E-3</v>
      </c>
      <c r="O28" s="26">
        <f t="shared" si="7"/>
        <v>0</v>
      </c>
      <c r="P28" s="26">
        <f t="shared" si="7"/>
        <v>0</v>
      </c>
      <c r="Q28" s="26">
        <f t="shared" si="7"/>
        <v>0</v>
      </c>
      <c r="R28" s="26">
        <f t="shared" si="7"/>
        <v>0</v>
      </c>
      <c r="S28" s="19">
        <v>2534511052</v>
      </c>
    </row>
    <row r="29" spans="1:19" x14ac:dyDescent="0.25">
      <c r="A29" s="15">
        <v>2009</v>
      </c>
      <c r="B29" s="26">
        <f t="shared" ref="B29:R29" si="8">B13/$S13</f>
        <v>7.4856964562593886E-2</v>
      </c>
      <c r="C29" s="26">
        <f t="shared" si="8"/>
        <v>3.6348643649239183E-2</v>
      </c>
      <c r="D29" s="26">
        <f t="shared" si="8"/>
        <v>0.14902980460863591</v>
      </c>
      <c r="E29" s="26">
        <f t="shared" si="8"/>
        <v>0.13432446592806405</v>
      </c>
      <c r="F29" s="26">
        <f t="shared" si="8"/>
        <v>6.0910878401291401E-3</v>
      </c>
      <c r="G29" s="26">
        <f t="shared" si="8"/>
        <v>4.0636954478906424E-2</v>
      </c>
      <c r="H29" s="26">
        <f t="shared" si="8"/>
        <v>4.646106431932983E-3</v>
      </c>
      <c r="I29" s="26">
        <f t="shared" si="8"/>
        <v>1.9652125504394411E-2</v>
      </c>
      <c r="J29" s="26">
        <f t="shared" si="8"/>
        <v>7.7623188086330869E-2</v>
      </c>
      <c r="K29" s="26">
        <f t="shared" si="8"/>
        <v>1.559350917878167E-2</v>
      </c>
      <c r="L29" s="26">
        <f t="shared" si="8"/>
        <v>0.3573499037208388</v>
      </c>
      <c r="M29" s="26">
        <f t="shared" si="8"/>
        <v>7.9557489877737184E-2</v>
      </c>
      <c r="N29" s="27">
        <f t="shared" si="8"/>
        <v>4.289756132415487E-3</v>
      </c>
      <c r="O29" s="26">
        <f t="shared" si="8"/>
        <v>0</v>
      </c>
      <c r="P29" s="26">
        <f t="shared" si="8"/>
        <v>0</v>
      </c>
      <c r="Q29" s="26">
        <f t="shared" si="8"/>
        <v>0</v>
      </c>
      <c r="R29" s="26">
        <f t="shared" si="8"/>
        <v>0</v>
      </c>
      <c r="S29" s="19">
        <v>10309950644</v>
      </c>
    </row>
    <row r="30" spans="1:19" x14ac:dyDescent="0.25">
      <c r="A30" s="15">
        <v>2010</v>
      </c>
      <c r="B30" s="26">
        <f t="shared" ref="B30:R30" si="9">B14/$S14</f>
        <v>8.4259501409911508E-2</v>
      </c>
      <c r="C30" s="26">
        <f t="shared" si="9"/>
        <v>2.7818883381322171E-2</v>
      </c>
      <c r="D30" s="26">
        <f t="shared" si="9"/>
        <v>2.2862723665855081E-2</v>
      </c>
      <c r="E30" s="26">
        <f t="shared" si="9"/>
        <v>0.18341263076900913</v>
      </c>
      <c r="F30" s="26">
        <f t="shared" si="9"/>
        <v>3.5486889669636497E-3</v>
      </c>
      <c r="G30" s="26">
        <f t="shared" si="9"/>
        <v>4.8990188756572982E-2</v>
      </c>
      <c r="H30" s="26">
        <f t="shared" si="9"/>
        <v>2.6782249488600043E-3</v>
      </c>
      <c r="I30" s="26">
        <f t="shared" si="9"/>
        <v>1.0196559059067278E-2</v>
      </c>
      <c r="J30" s="26">
        <f t="shared" si="9"/>
        <v>8.5348961280827959E-2</v>
      </c>
      <c r="K30" s="26">
        <f t="shared" si="9"/>
        <v>1.2373174959526164E-2</v>
      </c>
      <c r="L30" s="26">
        <f t="shared" si="9"/>
        <v>0.34738765807055993</v>
      </c>
      <c r="M30" s="26">
        <f t="shared" si="9"/>
        <v>7.3211627880106961E-2</v>
      </c>
      <c r="N30" s="27">
        <f t="shared" si="9"/>
        <v>4.2527942176022043E-3</v>
      </c>
      <c r="O30" s="26">
        <f t="shared" si="9"/>
        <v>1.2364981569465809E-4</v>
      </c>
      <c r="P30" s="26">
        <f t="shared" si="9"/>
        <v>9.353363240097548E-2</v>
      </c>
      <c r="Q30" s="26">
        <f t="shared" si="9"/>
        <v>1.100417144830414E-6</v>
      </c>
      <c r="R30" s="26">
        <f t="shared" si="9"/>
        <v>0</v>
      </c>
      <c r="S30" s="19">
        <v>10746833649</v>
      </c>
    </row>
    <row r="31" spans="1:19" x14ac:dyDescent="0.25">
      <c r="A31" s="15">
        <v>2011</v>
      </c>
      <c r="B31" s="26">
        <f t="shared" ref="B31:R31" si="10">B15/$S15</f>
        <v>8.4067747550349362E-2</v>
      </c>
      <c r="C31" s="26">
        <f t="shared" si="10"/>
        <v>2.3462492353402919E-2</v>
      </c>
      <c r="D31" s="26">
        <f t="shared" si="10"/>
        <v>2.0261784305655471E-2</v>
      </c>
      <c r="E31" s="26">
        <f t="shared" si="10"/>
        <v>0.17837440410566099</v>
      </c>
      <c r="F31" s="26">
        <f t="shared" si="10"/>
        <v>2.6819076791381644E-3</v>
      </c>
      <c r="G31" s="26">
        <f t="shared" si="10"/>
        <v>5.4654558840721706E-2</v>
      </c>
      <c r="H31" s="26">
        <f t="shared" si="10"/>
        <v>2.4750951028020105E-3</v>
      </c>
      <c r="I31" s="26">
        <f t="shared" si="10"/>
        <v>8.5377423870399601E-3</v>
      </c>
      <c r="J31" s="26">
        <f t="shared" si="10"/>
        <v>9.8793809514451991E-2</v>
      </c>
      <c r="K31" s="26">
        <f t="shared" si="10"/>
        <v>1.1472188098728429E-2</v>
      </c>
      <c r="L31" s="26">
        <f t="shared" si="10"/>
        <v>0.33136777263508516</v>
      </c>
      <c r="M31" s="26">
        <f t="shared" si="10"/>
        <v>6.0656299191255945E-2</v>
      </c>
      <c r="N31" s="27">
        <f t="shared" si="10"/>
        <v>4.1687326946200651E-3</v>
      </c>
      <c r="O31" s="26">
        <f t="shared" si="10"/>
        <v>2.4119426686117169E-2</v>
      </c>
      <c r="P31" s="26">
        <f t="shared" si="10"/>
        <v>8.98252427877754E-2</v>
      </c>
      <c r="Q31" s="26">
        <f t="shared" si="10"/>
        <v>0</v>
      </c>
      <c r="R31" s="26">
        <f t="shared" si="10"/>
        <v>5.0807960671952505E-3</v>
      </c>
      <c r="S31" s="19">
        <v>11910039726</v>
      </c>
    </row>
    <row r="32" spans="1:19" x14ac:dyDescent="0.25">
      <c r="A32" s="15">
        <v>2012</v>
      </c>
      <c r="B32" s="26">
        <f t="shared" ref="B32:R32" si="11">B16/$S16</f>
        <v>8.2261427118964614E-2</v>
      </c>
      <c r="C32" s="26">
        <f t="shared" si="11"/>
        <v>2.3086972540485768E-2</v>
      </c>
      <c r="D32" s="26">
        <f t="shared" si="11"/>
        <v>2.2456858343813609E-2</v>
      </c>
      <c r="E32" s="26">
        <f t="shared" si="11"/>
        <v>0.16730251687960332</v>
      </c>
      <c r="F32" s="26">
        <f t="shared" si="11"/>
        <v>1.9515639822987384E-3</v>
      </c>
      <c r="G32" s="26">
        <f t="shared" si="11"/>
        <v>4.7974847569459245E-2</v>
      </c>
      <c r="H32" s="26">
        <f t="shared" si="11"/>
        <v>2.3244727901245922E-3</v>
      </c>
      <c r="I32" s="26">
        <f t="shared" si="11"/>
        <v>7.9128676026874161E-3</v>
      </c>
      <c r="J32" s="26">
        <f t="shared" si="11"/>
        <v>0.10770736008181443</v>
      </c>
      <c r="K32" s="26">
        <f t="shared" si="11"/>
        <v>1.2152872111898024E-2</v>
      </c>
      <c r="L32" s="26">
        <f t="shared" si="11"/>
        <v>0.34003641084429281</v>
      </c>
      <c r="M32" s="26">
        <f t="shared" si="11"/>
        <v>5.8944887274558586E-2</v>
      </c>
      <c r="N32" s="27">
        <f t="shared" si="11"/>
        <v>4.6787357146619935E-3</v>
      </c>
      <c r="O32" s="26">
        <f t="shared" si="11"/>
        <v>2.3554714344621277E-2</v>
      </c>
      <c r="P32" s="26">
        <f t="shared" si="11"/>
        <v>9.4107229264450573E-2</v>
      </c>
      <c r="Q32" s="26">
        <f t="shared" si="11"/>
        <v>0</v>
      </c>
      <c r="R32" s="26">
        <f t="shared" si="11"/>
        <v>3.546263536265022E-3</v>
      </c>
      <c r="S32" s="19">
        <v>11980207778</v>
      </c>
    </row>
    <row r="33" spans="1:19" x14ac:dyDescent="0.25">
      <c r="A33" s="20" t="s">
        <v>60</v>
      </c>
      <c r="B33" s="21">
        <v>10804314383.809999</v>
      </c>
      <c r="C33" s="22">
        <v>2930701507.8899999</v>
      </c>
      <c r="D33" s="22">
        <v>9386136796.1499996</v>
      </c>
      <c r="E33" s="22">
        <v>15629239412.379</v>
      </c>
      <c r="F33" s="22">
        <v>551540637</v>
      </c>
      <c r="G33" s="22">
        <v>2208260832</v>
      </c>
      <c r="H33" s="22">
        <v>553064639.79999995</v>
      </c>
      <c r="I33" s="22">
        <v>1264489861.5999999</v>
      </c>
      <c r="J33" s="22">
        <v>9227348288.2700005</v>
      </c>
      <c r="K33" s="22">
        <v>1883242951.6599998</v>
      </c>
      <c r="L33" s="22">
        <v>32683429105.939999</v>
      </c>
      <c r="M33" s="22">
        <v>9410648284.6300011</v>
      </c>
      <c r="N33" s="22">
        <v>1340547884.1000001</v>
      </c>
      <c r="O33" s="22">
        <v>571740598</v>
      </c>
      <c r="P33" s="23">
        <v>3202436758</v>
      </c>
      <c r="Q33" s="22">
        <v>11826</v>
      </c>
      <c r="R33" s="22">
        <v>102997457</v>
      </c>
      <c r="S33" s="24">
        <v>101750151224.229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workbookViewId="0">
      <selection activeCell="B5" sqref="B5:B13"/>
    </sheetView>
  </sheetViews>
  <sheetFormatPr defaultRowHeight="15" x14ac:dyDescent="0.25"/>
  <cols>
    <col min="1" max="1" width="40.140625" customWidth="1"/>
    <col min="2" max="2" width="28.140625" customWidth="1"/>
    <col min="3" max="3" width="19" customWidth="1"/>
    <col min="4" max="4" width="21" customWidth="1"/>
  </cols>
  <sheetData>
    <row r="1" spans="1:4" ht="15.75" thickBot="1" x14ac:dyDescent="0.3">
      <c r="A1" s="34" t="s">
        <v>65</v>
      </c>
      <c r="B1" s="35" t="s">
        <v>66</v>
      </c>
      <c r="C1" s="35" t="s">
        <v>67</v>
      </c>
      <c r="D1" s="35" t="s">
        <v>68</v>
      </c>
    </row>
    <row r="2" spans="1:4" ht="15.75" thickBot="1" x14ac:dyDescent="0.3">
      <c r="A2" s="36" t="s">
        <v>69</v>
      </c>
      <c r="B2" s="37" t="s">
        <v>70</v>
      </c>
      <c r="C2" s="37" t="s">
        <v>11</v>
      </c>
      <c r="D2" s="37" t="s">
        <v>30</v>
      </c>
    </row>
    <row r="3" spans="1:4" ht="15.75" thickBot="1" x14ac:dyDescent="0.3">
      <c r="A3" s="36" t="s">
        <v>69</v>
      </c>
      <c r="B3" s="37" t="s">
        <v>70</v>
      </c>
      <c r="C3" s="37" t="s">
        <v>71</v>
      </c>
      <c r="D3" s="37" t="s">
        <v>31</v>
      </c>
    </row>
    <row r="4" spans="1:4" ht="15.75" thickBot="1" x14ac:dyDescent="0.3">
      <c r="A4" s="36" t="s">
        <v>72</v>
      </c>
      <c r="B4" s="37" t="s">
        <v>73</v>
      </c>
      <c r="C4" s="37" t="s">
        <v>71</v>
      </c>
      <c r="D4" s="37" t="s">
        <v>21</v>
      </c>
    </row>
    <row r="5" spans="1:4" ht="15.75" thickBot="1" x14ac:dyDescent="0.3">
      <c r="A5" s="36" t="s">
        <v>72</v>
      </c>
      <c r="B5" s="37" t="s">
        <v>73</v>
      </c>
      <c r="C5" s="37" t="s">
        <v>11</v>
      </c>
      <c r="D5" s="37" t="s">
        <v>20</v>
      </c>
    </row>
    <row r="6" spans="1:4" ht="15.75" thickBot="1" x14ac:dyDescent="0.3">
      <c r="A6" s="36" t="s">
        <v>74</v>
      </c>
      <c r="B6" s="37" t="s">
        <v>75</v>
      </c>
      <c r="C6" s="37" t="s">
        <v>11</v>
      </c>
      <c r="D6" s="37" t="s">
        <v>22</v>
      </c>
    </row>
    <row r="7" spans="1:4" ht="15.75" thickBot="1" x14ac:dyDescent="0.3">
      <c r="A7" s="36" t="s">
        <v>74</v>
      </c>
      <c r="B7" s="37" t="s">
        <v>76</v>
      </c>
      <c r="C7" s="37" t="s">
        <v>11</v>
      </c>
      <c r="D7" s="37" t="s">
        <v>23</v>
      </c>
    </row>
    <row r="8" spans="1:4" ht="15.75" thickBot="1" x14ac:dyDescent="0.3">
      <c r="A8" s="36" t="s">
        <v>74</v>
      </c>
      <c r="B8" s="37" t="s">
        <v>77</v>
      </c>
      <c r="C8" s="37" t="s">
        <v>11</v>
      </c>
      <c r="D8" s="37" t="s">
        <v>24</v>
      </c>
    </row>
    <row r="9" spans="1:4" ht="15.75" thickBot="1" x14ac:dyDescent="0.3">
      <c r="A9" s="36" t="s">
        <v>74</v>
      </c>
      <c r="B9" s="37" t="s">
        <v>78</v>
      </c>
      <c r="C9" s="37" t="s">
        <v>11</v>
      </c>
      <c r="D9" s="37" t="s">
        <v>25</v>
      </c>
    </row>
    <row r="10" spans="1:4" ht="15.75" thickBot="1" x14ac:dyDescent="0.3">
      <c r="A10" s="36" t="s">
        <v>74</v>
      </c>
      <c r="B10" s="37" t="s">
        <v>79</v>
      </c>
      <c r="C10" s="37" t="s">
        <v>11</v>
      </c>
      <c r="D10" s="37" t="s">
        <v>26</v>
      </c>
    </row>
    <row r="11" spans="1:4" ht="15.75" thickBot="1" x14ac:dyDescent="0.3">
      <c r="A11" s="36" t="s">
        <v>80</v>
      </c>
      <c r="B11" s="37" t="s">
        <v>81</v>
      </c>
      <c r="C11" s="37" t="s">
        <v>11</v>
      </c>
      <c r="D11" s="37" t="s">
        <v>27</v>
      </c>
    </row>
    <row r="12" spans="1:4" ht="15.75" thickBot="1" x14ac:dyDescent="0.3">
      <c r="A12" s="36" t="s">
        <v>82</v>
      </c>
      <c r="B12" s="37" t="s">
        <v>83</v>
      </c>
      <c r="C12" s="37" t="s">
        <v>11</v>
      </c>
      <c r="D12" s="37" t="s">
        <v>28</v>
      </c>
    </row>
    <row r="13" spans="1:4" ht="15.75" thickBot="1" x14ac:dyDescent="0.3">
      <c r="A13" s="36" t="s">
        <v>84</v>
      </c>
      <c r="B13" s="37" t="s">
        <v>85</v>
      </c>
      <c r="C13" s="37" t="s">
        <v>11</v>
      </c>
      <c r="D13" s="37" t="s">
        <v>29</v>
      </c>
    </row>
    <row r="14" spans="1:4" ht="15.75" thickBot="1" x14ac:dyDescent="0.3">
      <c r="A14" s="38" t="s">
        <v>86</v>
      </c>
      <c r="B14" s="39"/>
      <c r="C14" s="39"/>
      <c r="D14" s="40"/>
    </row>
  </sheetData>
  <mergeCells count="1">
    <mergeCell ref="A14:D14"/>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3"/>
  <sheetViews>
    <sheetView workbookViewId="0">
      <selection activeCell="E8" sqref="E8"/>
    </sheetView>
  </sheetViews>
  <sheetFormatPr defaultRowHeight="15" x14ac:dyDescent="0.2"/>
  <cols>
    <col min="1" max="16384" width="9.140625" style="55"/>
  </cols>
  <sheetData>
    <row r="1" spans="1:19" ht="15.75" x14ac:dyDescent="0.2">
      <c r="A1" s="58" t="s">
        <v>101</v>
      </c>
    </row>
    <row r="2" spans="1:19" ht="42.75" customHeight="1" x14ac:dyDescent="0.2">
      <c r="A2" s="59" t="s">
        <v>102</v>
      </c>
      <c r="B2" s="59"/>
      <c r="C2" s="59"/>
      <c r="D2" s="59"/>
      <c r="E2" s="59"/>
      <c r="F2" s="59"/>
      <c r="G2" s="59"/>
      <c r="H2" s="59"/>
      <c r="I2" s="59"/>
      <c r="J2" s="59"/>
      <c r="K2" s="59"/>
      <c r="L2" s="59"/>
      <c r="M2" s="59"/>
      <c r="N2" s="59"/>
      <c r="O2" s="59"/>
      <c r="P2" s="59"/>
      <c r="Q2" s="59"/>
      <c r="R2" s="59"/>
      <c r="S2" s="59"/>
    </row>
    <row r="3" spans="1:19" ht="15.75" x14ac:dyDescent="0.2">
      <c r="A3" s="58" t="s">
        <v>103</v>
      </c>
    </row>
    <row r="4" spans="1:19" ht="39.75" customHeight="1" x14ac:dyDescent="0.2">
      <c r="A4" s="60" t="s">
        <v>104</v>
      </c>
      <c r="B4" s="60"/>
      <c r="C4" s="60"/>
      <c r="D4" s="60"/>
      <c r="E4" s="60"/>
      <c r="F4" s="60"/>
      <c r="G4" s="60"/>
      <c r="H4" s="60"/>
      <c r="I4" s="60"/>
      <c r="J4" s="60"/>
      <c r="K4" s="60"/>
      <c r="L4" s="60"/>
      <c r="M4" s="60"/>
      <c r="N4" s="60"/>
      <c r="O4" s="60"/>
      <c r="P4" s="60"/>
      <c r="Q4" s="60"/>
      <c r="R4" s="60"/>
      <c r="S4" s="60"/>
    </row>
    <row r="5" spans="1:19" ht="15.75" x14ac:dyDescent="0.2">
      <c r="A5" s="58" t="s">
        <v>105</v>
      </c>
    </row>
    <row r="6" spans="1:19" x14ac:dyDescent="0.2">
      <c r="A6" s="56" t="s">
        <v>106</v>
      </c>
    </row>
    <row r="7" spans="1:19" ht="15.75" x14ac:dyDescent="0.2">
      <c r="A7" s="58" t="s">
        <v>107</v>
      </c>
    </row>
    <row r="8" spans="1:19" x14ac:dyDescent="0.2">
      <c r="A8" s="56" t="s">
        <v>108</v>
      </c>
    </row>
    <row r="9" spans="1:19" ht="15.75" x14ac:dyDescent="0.2">
      <c r="A9" s="58" t="s">
        <v>109</v>
      </c>
    </row>
    <row r="10" spans="1:19" x14ac:dyDescent="0.2">
      <c r="A10" s="56" t="s">
        <v>110</v>
      </c>
    </row>
    <row r="11" spans="1:19" x14ac:dyDescent="0.2">
      <c r="A11" s="56" t="s">
        <v>111</v>
      </c>
    </row>
    <row r="12" spans="1:19" ht="15.75" x14ac:dyDescent="0.2">
      <c r="A12" s="58" t="s">
        <v>112</v>
      </c>
    </row>
    <row r="13" spans="1:19" x14ac:dyDescent="0.2">
      <c r="A13" s="57" t="s">
        <v>113</v>
      </c>
    </row>
    <row r="14" spans="1:19" ht="15.75" x14ac:dyDescent="0.2">
      <c r="A14" s="58" t="s">
        <v>114</v>
      </c>
    </row>
    <row r="15" spans="1:19" x14ac:dyDescent="0.2">
      <c r="A15" s="56" t="s">
        <v>115</v>
      </c>
    </row>
    <row r="16" spans="1:19" ht="15.75" x14ac:dyDescent="0.2">
      <c r="A16" s="58" t="s">
        <v>116</v>
      </c>
    </row>
    <row r="17" spans="1:1" x14ac:dyDescent="0.2">
      <c r="A17" s="56" t="s">
        <v>117</v>
      </c>
    </row>
    <row r="18" spans="1:1" ht="15.75" x14ac:dyDescent="0.2">
      <c r="A18" s="58" t="s">
        <v>118</v>
      </c>
    </row>
    <row r="19" spans="1:1" x14ac:dyDescent="0.2">
      <c r="A19" s="56" t="s">
        <v>119</v>
      </c>
    </row>
    <row r="20" spans="1:1" x14ac:dyDescent="0.2">
      <c r="A20" s="56" t="s">
        <v>120</v>
      </c>
    </row>
    <row r="21" spans="1:1" x14ac:dyDescent="0.2">
      <c r="A21" s="56" t="s">
        <v>121</v>
      </c>
    </row>
    <row r="22" spans="1:1" x14ac:dyDescent="0.2">
      <c r="A22" s="56" t="s">
        <v>122</v>
      </c>
    </row>
    <row r="23" spans="1:1" x14ac:dyDescent="0.2">
      <c r="A23" s="56" t="s">
        <v>123</v>
      </c>
    </row>
  </sheetData>
  <mergeCells count="2">
    <mergeCell ref="A2:S2"/>
    <mergeCell ref="A4:S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Default Dataset (7)</vt:lpstr>
      <vt:lpstr>Load Factors</vt:lpstr>
      <vt:lpstr>GVM vs GCM</vt:lpstr>
      <vt:lpstr>Load and FC</vt:lpstr>
      <vt:lpstr>Sheet3</vt:lpstr>
      <vt:lpstr>Sheet1</vt:lpstr>
      <vt:lpstr>Sheet5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Adrian Stone</dc:creator>
  <cp:lastModifiedBy>Adrian Stone</cp:lastModifiedBy>
  <dcterms:created xsi:type="dcterms:W3CDTF">2017-02-03T12:53:22Z</dcterms:created>
  <dcterms:modified xsi:type="dcterms:W3CDTF">2017-03-01T14:52:50Z</dcterms:modified>
</cp:coreProperties>
</file>