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60" yWindow="890" windowWidth="27780" windowHeight="13500"/>
  </bookViews>
  <sheets>
    <sheet name="Coal_data" sheetId="1" r:id="rId1"/>
    <sheet name="CoalParams" sheetId="2" r:id="rId2"/>
  </sheets>
  <externalReferences>
    <externalReference r:id="rId3"/>
    <externalReference r:id="rId4"/>
    <externalReference r:id="rId5"/>
    <externalReference r:id="rId6"/>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1832</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Demand.Sectors">[2]Index!$D$2:$J$2</definedName>
    <definedName name="DieselLHV">[3]Analytica!$AO$13</definedName>
    <definedName name="emissions_start">[2]NameConv!$AY$4</definedName>
    <definedName name="emissions_types">[2]NameConv!$AX$3</definedName>
    <definedName name="epp_start">[4]PWR!$B$45</definedName>
    <definedName name="eps">CoalParams!$D$32</definedName>
    <definedName name="etech_data">[4]PWR!$B$46:$BH$68</definedName>
    <definedName name="etech_parameters">[4]PWR!$B$42:$BI$42</definedName>
    <definedName name="flagPenetrationOnly">[3]NT_TRP!$AJ$61</definedName>
    <definedName name="fuel_types">[4]NameConv!$B$8</definedName>
    <definedName name="FuelNames">[2]NameConv!$B$5:$C$44</definedName>
    <definedName name="GasolineLHV">[3]Analytica!$AO$10</definedName>
    <definedName name="inchtocentimetre">[2]Distribution!$A$17</definedName>
    <definedName name="MitiScen">[1]Index!$D$2</definedName>
    <definedName name="Model_RUN_code">[2]Index!$A$2</definedName>
    <definedName name="newtech_data">[4]NT_PWR!$C$39:$BD$121</definedName>
    <definedName name="newtech_parameters">[4]NT_PWR!$C$35:$BD$35</definedName>
    <definedName name="Newtech_Start">[4]NT_PWR!$C$38</definedName>
    <definedName name="Pal_Workbook_GUID" hidden="1">"E2D7SR7Q3BDXUD24G1M1SK63"</definedName>
    <definedName name="PV_BOS_Cost_Ratios">[1]PVLiterature!$F$163:$F$166</definedName>
    <definedName name="PV_BOS_Sims">[1]PVSamples!#REF!</definedName>
    <definedName name="PV_Module_Sims">[1]PVSamples!#REF!</definedName>
    <definedName name="reftrofits">[3]TRP_Retrofit!$AL$67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ector.Agriculture">[2]Index!$D$2</definedName>
    <definedName name="Sector.Commercial">[2]Index!$E$2</definedName>
    <definedName name="Sector.Industry">[2]Index!$F$2</definedName>
    <definedName name="Sector.Power">[2]Index!$I$2</definedName>
    <definedName name="Sector.Residential">[2]Index!$H$2</definedName>
    <definedName name="Sector.Supply">[2]Index!$J$2</definedName>
    <definedName name="Sector.Transport">[2]Index!$G$2</definedName>
    <definedName name="sector_prefix">[2]UPS!$B$6</definedName>
    <definedName name="XLSIMSIM" hidden="1">{"Sim",3,"Output 1","'Reworked data'!$AI$84","Output 2","'Reworked data'!$AJ$84","Output 3","'Reworked data'!$AK$84","1","2","100","0"}</definedName>
  </definedNames>
  <calcPr calcId="145621"/>
</workbook>
</file>

<file path=xl/calcChain.xml><?xml version="1.0" encoding="utf-8"?>
<calcChain xmlns="http://schemas.openxmlformats.org/spreadsheetml/2006/main">
  <c r="E117" i="2" l="1"/>
  <c r="E115" i="2"/>
  <c r="E111" i="2"/>
  <c r="E109" i="2"/>
  <c r="E107" i="2"/>
  <c r="F111" i="2" s="1"/>
  <c r="E102" i="2"/>
  <c r="E104" i="2" s="1"/>
  <c r="H101" i="2"/>
  <c r="E101" i="2"/>
  <c r="N100" i="2"/>
  <c r="M100" i="2"/>
  <c r="L100" i="2"/>
  <c r="K100" i="2"/>
  <c r="J100" i="2"/>
  <c r="H100" i="2"/>
  <c r="P99" i="2"/>
  <c r="N99" i="2"/>
  <c r="M99" i="2"/>
  <c r="L99" i="2"/>
  <c r="K99" i="2"/>
  <c r="J99" i="2"/>
  <c r="H99" i="2"/>
  <c r="P97" i="2"/>
  <c r="O97" i="2"/>
  <c r="N97" i="2"/>
  <c r="M97" i="2"/>
  <c r="L97" i="2"/>
  <c r="K97" i="2"/>
  <c r="J97" i="2"/>
  <c r="I97" i="2"/>
  <c r="H97" i="2"/>
  <c r="P96" i="2"/>
  <c r="M96" i="2"/>
  <c r="L96" i="2"/>
  <c r="K96" i="2"/>
  <c r="J96" i="2"/>
  <c r="I96" i="2"/>
  <c r="H96" i="2"/>
  <c r="P88" i="2"/>
  <c r="N88" i="2"/>
  <c r="K88" i="2"/>
  <c r="J88" i="2"/>
  <c r="I88" i="2"/>
  <c r="H88" i="2"/>
  <c r="M85" i="2"/>
  <c r="G84" i="2"/>
  <c r="V75" i="2"/>
  <c r="AA74" i="2"/>
  <c r="H72" i="2"/>
  <c r="K66" i="2"/>
  <c r="L66" i="2" s="1"/>
  <c r="P66" i="2" s="1"/>
  <c r="Q66" i="2" s="1"/>
  <c r="J66" i="2"/>
  <c r="I66" i="2"/>
  <c r="H66" i="2"/>
  <c r="V64" i="2"/>
  <c r="Q63" i="2"/>
  <c r="Q64" i="2" s="1"/>
  <c r="K63" i="2"/>
  <c r="H63" i="2"/>
  <c r="N62" i="2"/>
  <c r="H62" i="2"/>
  <c r="W61" i="2"/>
  <c r="V61" i="2"/>
  <c r="V62" i="2" s="1"/>
  <c r="H61" i="2"/>
  <c r="G61" i="2" s="1"/>
  <c r="Y59" i="2"/>
  <c r="O88" i="2" s="1"/>
  <c r="W59" i="2"/>
  <c r="V59" i="2"/>
  <c r="M88" i="2" s="1"/>
  <c r="U59" i="2"/>
  <c r="R59" i="2"/>
  <c r="L88" i="2" s="1"/>
  <c r="L59" i="2"/>
  <c r="K59" i="2"/>
  <c r="J59" i="2"/>
  <c r="H58" i="2"/>
  <c r="H87" i="2" s="1"/>
  <c r="W57" i="2"/>
  <c r="U57" i="2"/>
  <c r="L57" i="2"/>
  <c r="K57" i="2"/>
  <c r="I57" i="2"/>
  <c r="G57" i="2"/>
  <c r="V56" i="2"/>
  <c r="M86" i="2" s="1"/>
  <c r="I56" i="2"/>
  <c r="I86" i="2" s="1"/>
  <c r="H56" i="2"/>
  <c r="H86" i="2" s="1"/>
  <c r="Y55" i="2"/>
  <c r="X55" i="2"/>
  <c r="V55" i="2"/>
  <c r="U55" i="2" s="1"/>
  <c r="K55" i="2"/>
  <c r="I55" i="2"/>
  <c r="H55" i="2"/>
  <c r="G55" i="2" s="1"/>
  <c r="G56" i="2" s="1"/>
  <c r="Z54" i="2"/>
  <c r="P85" i="2" s="1"/>
  <c r="V54" i="2"/>
  <c r="P54" i="2"/>
  <c r="J85" i="2" s="1"/>
  <c r="J54" i="2"/>
  <c r="I54" i="2"/>
  <c r="H54" i="2"/>
  <c r="H85" i="2" s="1"/>
  <c r="Z53" i="2"/>
  <c r="P101" i="2" s="1"/>
  <c r="V53" i="2"/>
  <c r="M101" i="2" s="1"/>
  <c r="U53" i="2"/>
  <c r="R53" i="2"/>
  <c r="L101" i="2" s="1"/>
  <c r="Q53" i="2"/>
  <c r="Q54" i="2" s="1"/>
  <c r="K85" i="2" s="1"/>
  <c r="P53" i="2"/>
  <c r="J101" i="2" s="1"/>
  <c r="J53" i="2"/>
  <c r="B53" i="2"/>
  <c r="R54" i="2" s="1"/>
  <c r="L85" i="2" s="1"/>
  <c r="AC52" i="2"/>
  <c r="AB52" i="2"/>
  <c r="AB53" i="2" s="1"/>
  <c r="AA52" i="2"/>
  <c r="Z52" i="2"/>
  <c r="P100" i="2" s="1"/>
  <c r="X52" i="2"/>
  <c r="X53" i="2" s="1"/>
  <c r="U52" i="2"/>
  <c r="L52" i="2"/>
  <c r="L53" i="2" s="1"/>
  <c r="L54" i="2" s="1"/>
  <c r="K52" i="2"/>
  <c r="AB51" i="2"/>
  <c r="Y51" i="2"/>
  <c r="W51" i="2"/>
  <c r="U51" i="2"/>
  <c r="U54" i="2" s="1"/>
  <c r="L51" i="2"/>
  <c r="K51" i="2"/>
  <c r="I99" i="2" s="1"/>
  <c r="AF49" i="2"/>
  <c r="AC49" i="2"/>
  <c r="AB49" i="2"/>
  <c r="AA49" i="2"/>
  <c r="Y49" i="2"/>
  <c r="W49" i="2"/>
  <c r="U49" i="2"/>
  <c r="L49" i="2"/>
  <c r="J49" i="2"/>
  <c r="AF48" i="2"/>
  <c r="AB48" i="2"/>
  <c r="W48" i="2"/>
  <c r="X48" i="2" s="1"/>
  <c r="U48" i="2"/>
  <c r="L48" i="2"/>
  <c r="J48" i="2"/>
  <c r="I48" i="2"/>
  <c r="G48" i="2"/>
  <c r="H47" i="2"/>
  <c r="H50" i="2" s="1"/>
  <c r="W46" i="2"/>
  <c r="X46" i="2" s="1"/>
  <c r="Y46" i="2" s="1"/>
  <c r="Z46" i="2" s="1"/>
  <c r="AA46" i="2" s="1"/>
  <c r="AB46" i="2" s="1"/>
  <c r="AC46" i="2" s="1"/>
  <c r="I46" i="2"/>
  <c r="J46" i="2" s="1"/>
  <c r="K46" i="2" s="1"/>
  <c r="L46" i="2" s="1"/>
  <c r="P46" i="2" s="1"/>
  <c r="Q46" i="2" s="1"/>
  <c r="R46" i="2" s="1"/>
  <c r="G46" i="2"/>
  <c r="AB45" i="2"/>
  <c r="AB74" i="2" s="1"/>
  <c r="V45" i="2"/>
  <c r="Y45" i="2" s="1"/>
  <c r="U45" i="2"/>
  <c r="H45" i="2"/>
  <c r="G45" i="2"/>
  <c r="V44" i="2"/>
  <c r="U44" i="2"/>
  <c r="H44" i="2"/>
  <c r="W43" i="2"/>
  <c r="V43" i="2"/>
  <c r="V72" i="2" s="1"/>
  <c r="K43" i="2"/>
  <c r="L43" i="2" s="1"/>
  <c r="J43" i="2"/>
  <c r="I43" i="2"/>
  <c r="I72" i="2" s="1"/>
  <c r="G43" i="2"/>
  <c r="U43" i="2" s="1"/>
  <c r="U72" i="2" s="1"/>
  <c r="Z42" i="2"/>
  <c r="AC42" i="2" s="1"/>
  <c r="Y42" i="2"/>
  <c r="AB42" i="2" s="1"/>
  <c r="X42" i="2"/>
  <c r="AA42" i="2" s="1"/>
  <c r="R42" i="2"/>
  <c r="L42" i="2"/>
  <c r="K42" i="2"/>
  <c r="Q42" i="2" s="1"/>
  <c r="J42" i="2"/>
  <c r="P42" i="2" s="1"/>
  <c r="D32" i="2"/>
  <c r="AH24" i="2"/>
  <c r="AH23" i="2"/>
  <c r="E14" i="2"/>
  <c r="D13" i="2"/>
  <c r="E12" i="2"/>
  <c r="D11" i="2"/>
  <c r="E10" i="2"/>
  <c r="D9" i="2"/>
  <c r="E16" i="2" s="1"/>
  <c r="E8" i="2"/>
  <c r="B163" i="1"/>
  <c r="E160" i="1"/>
  <c r="N140" i="1"/>
  <c r="S139" i="1"/>
  <c r="R139" i="1"/>
  <c r="Q139" i="1"/>
  <c r="N139" i="1"/>
  <c r="N137" i="1"/>
  <c r="N136" i="1"/>
  <c r="Q136" i="1" s="1"/>
  <c r="R136" i="1" s="1"/>
  <c r="S136" i="1" s="1"/>
  <c r="N134" i="1"/>
  <c r="M134" i="1"/>
  <c r="Q133" i="1"/>
  <c r="P133" i="1"/>
  <c r="R133" i="1" s="1"/>
  <c r="S133" i="1" s="1"/>
  <c r="N133" i="1"/>
  <c r="M133" i="1"/>
  <c r="N130" i="1"/>
  <c r="Q130" i="1" s="1"/>
  <c r="M130" i="1"/>
  <c r="P130" i="1" s="1"/>
  <c r="L130" i="1"/>
  <c r="O130" i="1" s="1"/>
  <c r="I128" i="1"/>
  <c r="G128" i="1"/>
  <c r="F128" i="1"/>
  <c r="H128" i="1" s="1"/>
  <c r="R112" i="1"/>
  <c r="Q112" i="1"/>
  <c r="P112" i="1"/>
  <c r="K102" i="1"/>
  <c r="K104" i="1" s="1"/>
  <c r="K96" i="1"/>
  <c r="K99" i="1" s="1"/>
  <c r="M95" i="1"/>
  <c r="M96" i="1" s="1"/>
  <c r="N96" i="1" s="1"/>
  <c r="K91" i="1"/>
  <c r="M86" i="1"/>
  <c r="M89" i="1" s="1"/>
  <c r="M83" i="1"/>
  <c r="M84" i="1" s="1"/>
  <c r="N84" i="1" s="1"/>
  <c r="N79" i="1"/>
  <c r="R55" i="1"/>
  <c r="S55" i="1" s="1"/>
  <c r="Q55" i="1"/>
  <c r="N55" i="1"/>
  <c r="R54" i="1"/>
  <c r="S54" i="1" s="1"/>
  <c r="Q54" i="1"/>
  <c r="N54" i="1"/>
  <c r="Q53" i="1"/>
  <c r="R53" i="1" s="1"/>
  <c r="S53" i="1" s="1"/>
  <c r="N53" i="1"/>
  <c r="Z33" i="1"/>
  <c r="Z32" i="1"/>
  <c r="F32" i="1"/>
  <c r="F33" i="1" s="1"/>
  <c r="E32" i="1"/>
  <c r="E33" i="1" s="1"/>
  <c r="BV31" i="1"/>
  <c r="AA31" i="1"/>
  <c r="D31" i="1"/>
  <c r="BV29" i="1"/>
  <c r="F29" i="1"/>
  <c r="F28" i="1"/>
  <c r="E28" i="1"/>
  <c r="E29" i="1" s="1"/>
  <c r="G27" i="1"/>
  <c r="F27" i="1"/>
  <c r="F26" i="1"/>
  <c r="G26" i="1" s="1"/>
  <c r="G29" i="1" s="1"/>
  <c r="F25" i="1"/>
  <c r="G25" i="1" s="1"/>
  <c r="BV24" i="1"/>
  <c r="BX24" i="1" s="1"/>
  <c r="E22" i="1"/>
  <c r="BY16" i="1"/>
  <c r="BP4" i="1"/>
  <c r="BP7" i="1" s="1"/>
  <c r="R130" i="1" l="1"/>
  <c r="R143" i="1" s="1"/>
  <c r="Y48" i="2"/>
  <c r="N96" i="2"/>
  <c r="G28" i="1"/>
  <c r="G32" i="1"/>
  <c r="G33" i="1" s="1"/>
  <c r="S57" i="1"/>
  <c r="M90" i="1"/>
  <c r="M91" i="1" s="1"/>
  <c r="M93" i="1"/>
  <c r="M97" i="1" s="1"/>
  <c r="M98" i="1" s="1"/>
  <c r="M99" i="1" s="1"/>
  <c r="R43" i="2"/>
  <c r="L72" i="2"/>
  <c r="Y58" i="2"/>
  <c r="O87" i="2" s="1"/>
  <c r="W58" i="2"/>
  <c r="K64" i="2"/>
  <c r="U73" i="2"/>
  <c r="X44" i="2"/>
  <c r="Y74" i="2"/>
  <c r="K106" i="1"/>
  <c r="M106" i="1" s="1"/>
  <c r="M104" i="1"/>
  <c r="Q43" i="2"/>
  <c r="K72" i="2"/>
  <c r="M102" i="1"/>
  <c r="X45" i="2"/>
  <c r="X74" i="2" s="1"/>
  <c r="U74" i="2"/>
  <c r="AB44" i="2"/>
  <c r="AB73" i="2" s="1"/>
  <c r="V47" i="2"/>
  <c r="V50" i="2" s="1"/>
  <c r="Y44" i="2"/>
  <c r="Y73" i="2" s="1"/>
  <c r="V73" i="2"/>
  <c r="W72" i="2"/>
  <c r="H84" i="2"/>
  <c r="H89" i="2" s="1"/>
  <c r="H60" i="2"/>
  <c r="G58" i="2"/>
  <c r="L55" i="2"/>
  <c r="L56" i="2" s="1"/>
  <c r="Q55" i="2"/>
  <c r="K56" i="2"/>
  <c r="K58" i="2" s="1"/>
  <c r="J55" i="2"/>
  <c r="J56" i="2" s="1"/>
  <c r="K45" i="2"/>
  <c r="I45" i="2"/>
  <c r="H74" i="2"/>
  <c r="N101" i="2"/>
  <c r="X54" i="2"/>
  <c r="N85" i="2" s="1"/>
  <c r="U56" i="2"/>
  <c r="U58" i="2" s="1"/>
  <c r="AA53" i="2"/>
  <c r="AA54" i="2" s="1"/>
  <c r="Y52" i="2"/>
  <c r="O99" i="2"/>
  <c r="AB54" i="2"/>
  <c r="W44" i="2"/>
  <c r="I100" i="2"/>
  <c r="K53" i="2"/>
  <c r="I101" i="2" s="1"/>
  <c r="J45" i="2"/>
  <c r="G74" i="2"/>
  <c r="I58" i="2"/>
  <c r="I87" i="2" s="1"/>
  <c r="H73" i="2"/>
  <c r="G44" i="2"/>
  <c r="K44" i="2"/>
  <c r="J72" i="2"/>
  <c r="P43" i="2"/>
  <c r="I44" i="2"/>
  <c r="U47" i="2"/>
  <c r="U50" i="2" s="1"/>
  <c r="K54" i="2"/>
  <c r="I85" i="2" s="1"/>
  <c r="X56" i="2"/>
  <c r="N86" i="2" s="1"/>
  <c r="R66" i="2"/>
  <c r="Q65" i="2"/>
  <c r="W55" i="2"/>
  <c r="W56" i="2" s="1"/>
  <c r="I61" i="2"/>
  <c r="V74" i="2"/>
  <c r="K101" i="2"/>
  <c r="AC53" i="2"/>
  <c r="AC54" i="2" s="1"/>
  <c r="G54" i="2"/>
  <c r="Z55" i="2"/>
  <c r="J57" i="2"/>
  <c r="J58" i="2" s="1"/>
  <c r="G72" i="2"/>
  <c r="K61" i="2"/>
  <c r="H64" i="2"/>
  <c r="W52" i="2"/>
  <c r="W53" i="2" s="1"/>
  <c r="Y56" i="2"/>
  <c r="O86" i="2" s="1"/>
  <c r="U61" i="2"/>
  <c r="V58" i="2"/>
  <c r="M87" i="2" s="1"/>
  <c r="Q44" i="2" l="1"/>
  <c r="Q73" i="2" s="1"/>
  <c r="K73" i="2"/>
  <c r="G73" i="2"/>
  <c r="G47" i="2"/>
  <c r="G50" i="2" s="1"/>
  <c r="G60" i="2" s="1"/>
  <c r="G67" i="2" s="1"/>
  <c r="G69" i="2" s="1"/>
  <c r="J44" i="2"/>
  <c r="Q56" i="2"/>
  <c r="K86" i="2" s="1"/>
  <c r="AB55" i="2"/>
  <c r="R55" i="2"/>
  <c r="P55" i="2"/>
  <c r="U60" i="2"/>
  <c r="U67" i="2" s="1"/>
  <c r="U69" i="2" s="1"/>
  <c r="W54" i="2"/>
  <c r="X58" i="2"/>
  <c r="N87" i="2" s="1"/>
  <c r="K62" i="2"/>
  <c r="L61" i="2"/>
  <c r="B49" i="2" s="1"/>
  <c r="A48" i="2"/>
  <c r="J61" i="2"/>
  <c r="A49" i="2"/>
  <c r="L44" i="2"/>
  <c r="I73" i="2"/>
  <c r="Y53" i="2"/>
  <c r="O100" i="2"/>
  <c r="H67" i="2"/>
  <c r="H69" i="2" s="1"/>
  <c r="I47" i="2"/>
  <c r="I50" i="2" s="1"/>
  <c r="I60" i="2" s="1"/>
  <c r="I67" i="2" s="1"/>
  <c r="I69" i="2" s="1"/>
  <c r="P72" i="2"/>
  <c r="X43" i="2"/>
  <c r="P45" i="2"/>
  <c r="P74" i="2" s="1"/>
  <c r="J74" i="2"/>
  <c r="L45" i="2"/>
  <c r="I74" i="2"/>
  <c r="AC45" i="2"/>
  <c r="AC74" i="2" s="1"/>
  <c r="AE48" i="2"/>
  <c r="O96" i="2"/>
  <c r="K74" i="2"/>
  <c r="Q45" i="2"/>
  <c r="Q74" i="2" s="1"/>
  <c r="AA44" i="2"/>
  <c r="AA73" i="2" s="1"/>
  <c r="X73" i="2"/>
  <c r="Y63" i="2"/>
  <c r="R144" i="1"/>
  <c r="R149" i="1" s="1"/>
  <c r="Z44" i="2"/>
  <c r="W73" i="2"/>
  <c r="Q72" i="2"/>
  <c r="Q47" i="2"/>
  <c r="Q50" i="2" s="1"/>
  <c r="K47" i="2"/>
  <c r="K50" i="2" s="1"/>
  <c r="V60" i="2"/>
  <c r="M84" i="2"/>
  <c r="M89" i="2" s="1"/>
  <c r="Z56" i="2"/>
  <c r="P86" i="2" s="1"/>
  <c r="R72" i="2"/>
  <c r="Z43" i="2"/>
  <c r="L58" i="2"/>
  <c r="O99" i="1"/>
  <c r="N99" i="1"/>
  <c r="S130" i="1"/>
  <c r="S145" i="1" s="1"/>
  <c r="AC43" i="2" l="1"/>
  <c r="Z72" i="2"/>
  <c r="O101" i="2"/>
  <c r="Y54" i="2"/>
  <c r="O85" i="2" s="1"/>
  <c r="X47" i="2"/>
  <c r="X50" i="2" s="1"/>
  <c r="AA43" i="2"/>
  <c r="X72" i="2"/>
  <c r="Y43" i="2"/>
  <c r="P44" i="2"/>
  <c r="J73" i="2"/>
  <c r="J47" i="2"/>
  <c r="J50" i="2" s="1"/>
  <c r="J60" i="2" s="1"/>
  <c r="J67" i="2" s="1"/>
  <c r="J69" i="2" s="1"/>
  <c r="K84" i="2"/>
  <c r="K89" i="2" s="1"/>
  <c r="Q60" i="2"/>
  <c r="Q67" i="2" s="1"/>
  <c r="Q69" i="2" s="1"/>
  <c r="AC55" i="2"/>
  <c r="AA55" i="2"/>
  <c r="AB56" i="2"/>
  <c r="AB58" i="2" s="1"/>
  <c r="Z73" i="2"/>
  <c r="AC44" i="2"/>
  <c r="AC73" i="2" s="1"/>
  <c r="R44" i="2"/>
  <c r="L73" i="2"/>
  <c r="L47" i="2"/>
  <c r="L50" i="2" s="1"/>
  <c r="L60" i="2" s="1"/>
  <c r="L67" i="2" s="1"/>
  <c r="L69" i="2" s="1"/>
  <c r="Z58" i="2"/>
  <c r="P87" i="2" s="1"/>
  <c r="Q58" i="2"/>
  <c r="K87" i="2" s="1"/>
  <c r="V67" i="2"/>
  <c r="V69" i="2" s="1"/>
  <c r="Y64" i="2"/>
  <c r="AB63" i="2"/>
  <c r="AB64" i="2" s="1"/>
  <c r="P56" i="2"/>
  <c r="J86" i="2" s="1"/>
  <c r="K60" i="2"/>
  <c r="I84" i="2"/>
  <c r="I89" i="2" s="1"/>
  <c r="L74" i="2"/>
  <c r="R45" i="2"/>
  <c r="R56" i="2"/>
  <c r="L86" i="2" s="1"/>
  <c r="AC56" i="2" l="1"/>
  <c r="AC58" i="2" s="1"/>
  <c r="K67" i="2"/>
  <c r="K69" i="2" s="1"/>
  <c r="N60" i="2"/>
  <c r="N67" i="2" s="1"/>
  <c r="N69" i="2" s="1"/>
  <c r="H65" i="2"/>
  <c r="AA56" i="2"/>
  <c r="AA58" i="2"/>
  <c r="AA72" i="2"/>
  <c r="AA47" i="2"/>
  <c r="AA50" i="2" s="1"/>
  <c r="P58" i="2"/>
  <c r="J87" i="2" s="1"/>
  <c r="N84" i="2"/>
  <c r="N89" i="2" s="1"/>
  <c r="X60" i="2"/>
  <c r="X67" i="2" s="1"/>
  <c r="X69" i="2" s="1"/>
  <c r="R73" i="2"/>
  <c r="R47" i="2"/>
  <c r="R50" i="2" s="1"/>
  <c r="R58" i="2"/>
  <c r="L87" i="2" s="1"/>
  <c r="R74" i="2"/>
  <c r="W45" i="2"/>
  <c r="P73" i="2"/>
  <c r="P47" i="2"/>
  <c r="P50" i="2" s="1"/>
  <c r="AC72" i="2"/>
  <c r="AC47" i="2"/>
  <c r="AC50" i="2" s="1"/>
  <c r="Y47" i="2"/>
  <c r="Y50" i="2" s="1"/>
  <c r="AB43" i="2"/>
  <c r="Y72" i="2"/>
  <c r="R60" i="2" l="1"/>
  <c r="R67" i="2" s="1"/>
  <c r="R69" i="2" s="1"/>
  <c r="L84" i="2"/>
  <c r="L89" i="2" s="1"/>
  <c r="AB72" i="2"/>
  <c r="AB47" i="2"/>
  <c r="AB50" i="2" s="1"/>
  <c r="AB60" i="2" s="1"/>
  <c r="AB67" i="2" s="1"/>
  <c r="AB69" i="2" s="1"/>
  <c r="O84" i="2"/>
  <c r="O89" i="2" s="1"/>
  <c r="Y60" i="2"/>
  <c r="Y67" i="2" s="1"/>
  <c r="Y69" i="2" s="1"/>
  <c r="AC60" i="2"/>
  <c r="AE65" i="2"/>
  <c r="H68" i="2"/>
  <c r="V65" i="2"/>
  <c r="J84" i="2"/>
  <c r="J89" i="2" s="1"/>
  <c r="P60" i="2"/>
  <c r="P67" i="2" s="1"/>
  <c r="P69" i="2" s="1"/>
  <c r="Z45" i="2"/>
  <c r="W74" i="2"/>
  <c r="W47" i="2"/>
  <c r="W50" i="2" s="1"/>
  <c r="W60" i="2" s="1"/>
  <c r="W67" i="2" s="1"/>
  <c r="W69" i="2" s="1"/>
  <c r="AA60" i="2"/>
  <c r="AA67" i="2" s="1"/>
  <c r="AA69" i="2" s="1"/>
  <c r="AC67" i="2" l="1"/>
  <c r="AC69" i="2" s="1"/>
  <c r="AB61" i="2"/>
  <c r="Z74" i="2"/>
  <c r="Z47" i="2"/>
  <c r="Z50" i="2" s="1"/>
  <c r="P84" i="2" l="1"/>
  <c r="P89" i="2" s="1"/>
  <c r="Z60" i="2"/>
  <c r="AD60" i="2" l="1"/>
  <c r="Z67" i="2"/>
  <c r="Z69" i="2" s="1"/>
  <c r="Y61" i="2"/>
</calcChain>
</file>

<file path=xl/comments1.xml><?xml version="1.0" encoding="utf-8"?>
<comments xmlns="http://schemas.openxmlformats.org/spreadsheetml/2006/main">
  <authors>
    <author>bruno merven</author>
  </authors>
  <commentList>
    <comment ref="E22" authorId="0">
      <text>
        <r>
          <rPr>
            <b/>
            <sz val="9"/>
            <color indexed="81"/>
            <rFont val="Tahoma"/>
            <family val="2"/>
          </rPr>
          <t>bruno merven:</t>
        </r>
        <r>
          <rPr>
            <sz val="9"/>
            <color indexed="81"/>
            <rFont val="Tahoma"/>
            <family val="2"/>
          </rPr>
          <t xml:space="preserve">
given SACRM report, it looks like the plant costs here include a washin plant.</t>
        </r>
      </text>
    </comment>
    <comment ref="N84" authorId="0">
      <text>
        <r>
          <rPr>
            <b/>
            <sz val="9"/>
            <color indexed="81"/>
            <rFont val="Tahoma"/>
            <family val="2"/>
          </rPr>
          <t>bruno merven:</t>
        </r>
        <r>
          <rPr>
            <sz val="9"/>
            <color indexed="81"/>
            <rFont val="Tahoma"/>
            <family val="2"/>
          </rPr>
          <t xml:space="preserve">
goes to model as overnight cost</t>
        </r>
      </text>
    </comment>
    <comment ref="N96" authorId="0">
      <text>
        <r>
          <rPr>
            <b/>
            <sz val="9"/>
            <color indexed="81"/>
            <rFont val="Tahoma"/>
            <family val="2"/>
          </rPr>
          <t>bruno merven:</t>
        </r>
        <r>
          <rPr>
            <sz val="9"/>
            <color indexed="81"/>
            <rFont val="Tahoma"/>
            <family val="2"/>
          </rPr>
          <t xml:space="preserve">
goes to model as fixed annual cost</t>
        </r>
      </text>
    </comment>
    <comment ref="N99" authorId="0">
      <text>
        <r>
          <rPr>
            <b/>
            <sz val="9"/>
            <color indexed="81"/>
            <rFont val="Tahoma"/>
            <family val="2"/>
          </rPr>
          <t>bruno merven:</t>
        </r>
        <r>
          <rPr>
            <sz val="9"/>
            <color indexed="81"/>
            <rFont val="Tahoma"/>
            <family val="2"/>
          </rPr>
          <t xml:space="preserve">
assuming capital is 90% of the tarrif</t>
        </r>
      </text>
    </comment>
    <comment ref="E160" authorId="0">
      <text>
        <r>
          <rPr>
            <b/>
            <sz val="9"/>
            <color indexed="81"/>
            <rFont val="Tahoma"/>
            <family val="2"/>
          </rPr>
          <t>bruno merven:</t>
        </r>
        <r>
          <rPr>
            <sz val="9"/>
            <color indexed="81"/>
            <rFont val="Tahoma"/>
            <family val="2"/>
          </rPr>
          <t xml:space="preserve">
744 split into 2. Then remaining 65% also split into 2 and given the same weighting as above for "inferred resource".</t>
        </r>
      </text>
    </comment>
    <comment ref="B163" authorId="0">
      <text>
        <r>
          <rPr>
            <b/>
            <sz val="9"/>
            <color indexed="81"/>
            <rFont val="Tahoma"/>
            <family val="2"/>
          </rPr>
          <t>bruno merven:</t>
        </r>
        <r>
          <rPr>
            <sz val="9"/>
            <color indexed="81"/>
            <rFont val="Tahoma"/>
            <family val="2"/>
          </rPr>
          <t xml:space="preserve">
Assuming the rest of the resource to have the same properties as Smitspan.</t>
        </r>
      </text>
    </comment>
  </commentList>
</comments>
</file>

<file path=xl/comments2.xml><?xml version="1.0" encoding="utf-8"?>
<comments xmlns="http://schemas.openxmlformats.org/spreadsheetml/2006/main">
  <authors>
    <author>bruno merven</author>
  </authors>
  <commentList>
    <comment ref="H43" authorId="0">
      <text>
        <r>
          <rPr>
            <b/>
            <sz val="9"/>
            <color indexed="81"/>
            <rFont val="Tahoma"/>
            <family val="2"/>
          </rPr>
          <t>bruno merven:</t>
        </r>
        <r>
          <rPr>
            <sz val="9"/>
            <color indexed="81"/>
            <rFont val="Tahoma"/>
            <family val="2"/>
          </rPr>
          <t xml:space="preserve">
Set to match something along the lines of what was elicited from Noddy McGeorge</t>
        </r>
      </text>
    </comment>
    <comment ref="I43" authorId="0">
      <text>
        <r>
          <rPr>
            <b/>
            <sz val="9"/>
            <color indexed="81"/>
            <rFont val="Tahoma"/>
            <family val="2"/>
          </rPr>
          <t>bruno merven:</t>
        </r>
        <r>
          <rPr>
            <sz val="9"/>
            <color indexed="81"/>
            <rFont val="Tahoma"/>
            <family val="2"/>
          </rPr>
          <t xml:space="preserve">
2.5 more years of 5% above inflation</t>
        </r>
      </text>
    </comment>
    <comment ref="L43" authorId="0">
      <text>
        <r>
          <rPr>
            <b/>
            <sz val="9"/>
            <color indexed="81"/>
            <rFont val="Tahoma"/>
            <family val="2"/>
          </rPr>
          <t>bruno merven:</t>
        </r>
        <r>
          <rPr>
            <sz val="9"/>
            <color indexed="81"/>
            <rFont val="Tahoma"/>
            <family val="2"/>
          </rPr>
          <t xml:space="preserve">
5 more years of 5% above inflation</t>
        </r>
      </text>
    </comment>
    <comment ref="H44" authorId="0">
      <text>
        <r>
          <rPr>
            <b/>
            <sz val="9"/>
            <color indexed="81"/>
            <rFont val="Tahoma"/>
            <family val="2"/>
          </rPr>
          <t>bruno merven:</t>
        </r>
        <r>
          <rPr>
            <sz val="9"/>
            <color indexed="81"/>
            <rFont val="Tahoma"/>
            <family val="2"/>
          </rPr>
          <t xml:space="preserve">
Noddy McGeorge Elicitation</t>
        </r>
      </text>
    </comment>
    <comment ref="H45" authorId="0">
      <text>
        <r>
          <rPr>
            <b/>
            <sz val="9"/>
            <color indexed="81"/>
            <rFont val="Tahoma"/>
            <family val="2"/>
          </rPr>
          <t>bruno merven:</t>
        </r>
        <r>
          <rPr>
            <sz val="9"/>
            <color indexed="81"/>
            <rFont val="Tahoma"/>
            <family val="2"/>
          </rPr>
          <t xml:space="preserve">
Noddy McGeorge Elicitation</t>
        </r>
      </text>
    </comment>
    <comment ref="I45" authorId="0">
      <text>
        <r>
          <rPr>
            <b/>
            <sz val="9"/>
            <color indexed="81"/>
            <rFont val="Tahoma"/>
            <family val="2"/>
          </rPr>
          <t>bruno merven:</t>
        </r>
        <r>
          <rPr>
            <sz val="9"/>
            <color indexed="81"/>
            <rFont val="Tahoma"/>
            <family val="2"/>
          </rPr>
          <t xml:space="preserve">
Electricity price increase in IRP update.</t>
        </r>
      </text>
    </comment>
    <comment ref="V45" authorId="0">
      <text>
        <r>
          <rPr>
            <b/>
            <sz val="9"/>
            <color indexed="81"/>
            <rFont val="Tahoma"/>
            <family val="2"/>
          </rPr>
          <t>bruno merven:</t>
        </r>
        <r>
          <rPr>
            <sz val="9"/>
            <color indexed="81"/>
            <rFont val="Tahoma"/>
            <family val="2"/>
          </rPr>
          <t xml:space="preserve">
in ball park of table above from Exxaro annual report.</t>
        </r>
      </text>
    </comment>
    <comment ref="AB45" authorId="0">
      <text>
        <r>
          <rPr>
            <b/>
            <sz val="9"/>
            <color indexed="81"/>
            <rFont val="Tahoma"/>
            <family val="2"/>
          </rPr>
          <t>bruno merven:</t>
        </r>
        <r>
          <rPr>
            <sz val="9"/>
            <color indexed="81"/>
            <rFont val="Tahoma"/>
            <family val="2"/>
          </rPr>
          <t xml:space="preserve">
in ball park of table above from Exxaro annual report.</t>
        </r>
      </text>
    </comment>
    <comment ref="H47" authorId="0">
      <text>
        <r>
          <rPr>
            <b/>
            <sz val="9"/>
            <color indexed="81"/>
            <rFont val="Tahoma"/>
            <family val="2"/>
          </rPr>
          <t>bruno merven:</t>
        </r>
        <r>
          <rPr>
            <sz val="9"/>
            <color indexed="81"/>
            <rFont val="Tahoma"/>
            <family val="2"/>
          </rPr>
          <t xml:space="preserve">
From Macquarie</t>
        </r>
      </text>
    </comment>
    <comment ref="H48" authorId="0">
      <text>
        <r>
          <rPr>
            <b/>
            <sz val="9"/>
            <color indexed="81"/>
            <rFont val="Tahoma"/>
            <family val="2"/>
          </rPr>
          <t>bruno merven:</t>
        </r>
        <r>
          <rPr>
            <sz val="9"/>
            <color indexed="81"/>
            <rFont val="Tahoma"/>
            <family val="2"/>
          </rPr>
          <t xml:space="preserve">
Macquarie and Eskom</t>
        </r>
      </text>
    </comment>
    <comment ref="P48" authorId="0">
      <text>
        <r>
          <rPr>
            <b/>
            <sz val="9"/>
            <color indexed="81"/>
            <rFont val="Tahoma"/>
            <family val="2"/>
          </rPr>
          <t>bruno merven:</t>
        </r>
        <r>
          <rPr>
            <sz val="9"/>
            <color indexed="81"/>
            <rFont val="Tahoma"/>
            <family val="2"/>
          </rPr>
          <t xml:space="preserve">
updated based on input from Noddy McGeorge - July 2015.</t>
        </r>
      </text>
    </comment>
    <comment ref="V48" authorId="0">
      <text>
        <r>
          <rPr>
            <b/>
            <sz val="9"/>
            <color indexed="81"/>
            <rFont val="Tahoma"/>
            <family val="2"/>
          </rPr>
          <t>bruno merven:</t>
        </r>
        <r>
          <rPr>
            <sz val="9"/>
            <color indexed="81"/>
            <rFont val="Tahoma"/>
            <family val="2"/>
          </rPr>
          <t xml:space="preserve">
table 14.13 SRK 2006</t>
        </r>
      </text>
    </comment>
    <comment ref="Z48" authorId="0">
      <text>
        <r>
          <rPr>
            <b/>
            <sz val="9"/>
            <color indexed="81"/>
            <rFont val="Tahoma"/>
            <family val="2"/>
          </rPr>
          <t>bruno merven:</t>
        </r>
        <r>
          <rPr>
            <sz val="9"/>
            <color indexed="81"/>
            <rFont val="Tahoma"/>
            <family val="2"/>
          </rPr>
          <t xml:space="preserve">
Waterberg Company: Bruce Tinney - Waterberg conference.
Also: http://www.firestoneenergy.com.au/b/waterberg.php</t>
        </r>
      </text>
    </comment>
    <comment ref="H49" authorId="0">
      <text>
        <r>
          <rPr>
            <b/>
            <sz val="9"/>
            <color indexed="81"/>
            <rFont val="Tahoma"/>
            <family val="2"/>
          </rPr>
          <t>bruno merven:</t>
        </r>
        <r>
          <rPr>
            <sz val="9"/>
            <color indexed="81"/>
            <rFont val="Tahoma"/>
            <family val="2"/>
          </rPr>
          <t xml:space="preserve">
Macquarie and Eskom</t>
        </r>
      </text>
    </comment>
    <comment ref="I49" authorId="0">
      <text>
        <r>
          <rPr>
            <b/>
            <sz val="9"/>
            <color indexed="81"/>
            <rFont val="Tahoma"/>
            <family val="2"/>
          </rPr>
          <t>bruno merven:</t>
        </r>
        <r>
          <rPr>
            <sz val="9"/>
            <color indexed="81"/>
            <rFont val="Tahoma"/>
            <family val="2"/>
          </rPr>
          <t xml:space="preserve">
based on Eskom Presentation</t>
        </r>
      </text>
    </comment>
    <comment ref="V49" authorId="0">
      <text>
        <r>
          <rPr>
            <b/>
            <sz val="9"/>
            <color indexed="81"/>
            <rFont val="Tahoma"/>
            <family val="2"/>
          </rPr>
          <t>bruno merven:</t>
        </r>
        <r>
          <rPr>
            <sz val="9"/>
            <color indexed="81"/>
            <rFont val="Tahoma"/>
            <family val="2"/>
          </rPr>
          <t xml:space="preserve">
table 14.13 SRK 2006</t>
        </r>
      </text>
    </comment>
    <comment ref="H50" authorId="0">
      <text>
        <r>
          <rPr>
            <b/>
            <sz val="9"/>
            <color indexed="81"/>
            <rFont val="Tahoma"/>
            <family val="2"/>
          </rPr>
          <t>bruno merven:</t>
        </r>
        <r>
          <rPr>
            <sz val="9"/>
            <color indexed="81"/>
            <rFont val="Tahoma"/>
            <family val="2"/>
          </rPr>
          <t xml:space="preserve">
Checked against EIUG (Macquarie)</t>
        </r>
      </text>
    </comment>
    <comment ref="H55" authorId="0">
      <text>
        <r>
          <rPr>
            <b/>
            <sz val="9"/>
            <color indexed="81"/>
            <rFont val="Tahoma"/>
            <family val="2"/>
          </rPr>
          <t xml:space="preserve">bruno merven:
</t>
        </r>
        <r>
          <rPr>
            <sz val="9"/>
            <color indexed="81"/>
            <rFont val="Tahoma"/>
            <family val="2"/>
          </rPr>
          <t>Excludes washing plant.
from Macquarie fig 109, last line. Matches SACRM figure (table 17).</t>
        </r>
      </text>
    </comment>
    <comment ref="K55" authorId="0">
      <text>
        <r>
          <rPr>
            <b/>
            <sz val="9"/>
            <color indexed="81"/>
            <rFont val="Tahoma"/>
            <family val="2"/>
          </rPr>
          <t>bruno merven:</t>
        </r>
        <r>
          <rPr>
            <sz val="9"/>
            <color indexed="81"/>
            <rFont val="Tahoma"/>
            <family val="2"/>
          </rPr>
          <t xml:space="preserve">
includes washing plant,
matches EIUG figure</t>
        </r>
      </text>
    </comment>
    <comment ref="Q55" authorId="0">
      <text>
        <r>
          <rPr>
            <b/>
            <sz val="9"/>
            <color indexed="81"/>
            <rFont val="Tahoma"/>
            <family val="2"/>
          </rPr>
          <t>bruno merven:</t>
        </r>
        <r>
          <rPr>
            <sz val="9"/>
            <color indexed="81"/>
            <rFont val="Tahoma"/>
            <family val="2"/>
          </rPr>
          <t xml:space="preserve">
includes washing plant</t>
        </r>
      </text>
    </comment>
    <comment ref="V55" authorId="0">
      <text>
        <r>
          <rPr>
            <b/>
            <sz val="9"/>
            <color indexed="81"/>
            <rFont val="Tahoma"/>
            <family val="2"/>
          </rPr>
          <t xml:space="preserve">bruno merven:
</t>
        </r>
        <r>
          <rPr>
            <sz val="9"/>
            <color indexed="81"/>
            <rFont val="Tahoma"/>
            <family val="2"/>
          </rPr>
          <t>based on SACRM table 17, includes washing plant.</t>
        </r>
      </text>
    </comment>
    <comment ref="Y55" authorId="0">
      <text>
        <r>
          <rPr>
            <b/>
            <sz val="9"/>
            <color indexed="81"/>
            <rFont val="Tahoma"/>
            <family val="2"/>
          </rPr>
          <t>bruno merven:</t>
        </r>
        <r>
          <rPr>
            <sz val="9"/>
            <color indexed="81"/>
            <rFont val="Tahoma"/>
            <family val="2"/>
          </rPr>
          <t xml:space="preserve">
http://resgen.com.au/wp-content/uploads/2013/10/Mining_Review_Africa_1210.pdf</t>
        </r>
      </text>
    </comment>
    <comment ref="H57" authorId="0">
      <text>
        <r>
          <rPr>
            <b/>
            <sz val="9"/>
            <color indexed="81"/>
            <rFont val="Tahoma"/>
            <family val="2"/>
          </rPr>
          <t>bruno merven:</t>
        </r>
        <r>
          <rPr>
            <sz val="9"/>
            <color indexed="81"/>
            <rFont val="Tahoma"/>
            <family val="2"/>
          </rPr>
          <t xml:space="preserve">
From Noddy McGeorge, Macquarie has -1% for this category of mine.</t>
        </r>
      </text>
    </comment>
    <comment ref="C59" authorId="0">
      <text>
        <r>
          <rPr>
            <b/>
            <sz val="9"/>
            <color indexed="81"/>
            <rFont val="Tahoma"/>
            <family val="2"/>
          </rPr>
          <t>bruno merven:</t>
        </r>
        <r>
          <rPr>
            <sz val="9"/>
            <color indexed="81"/>
            <rFont val="Tahoma"/>
            <family val="2"/>
          </rPr>
          <t xml:space="preserve">
water costs obtained from Fadiel (Golder study)</t>
        </r>
      </text>
    </comment>
    <comment ref="I59" authorId="0">
      <text>
        <r>
          <rPr>
            <b/>
            <sz val="9"/>
            <color indexed="81"/>
            <rFont val="Tahoma"/>
            <family val="2"/>
          </rPr>
          <t>bruno merven:</t>
        </r>
        <r>
          <rPr>
            <sz val="9"/>
            <color indexed="81"/>
            <rFont val="Tahoma"/>
            <family val="2"/>
          </rPr>
          <t xml:space="preserve">
From Noddy McGeorge elicitation</t>
        </r>
      </text>
    </comment>
    <comment ref="N60" authorId="0">
      <text>
        <r>
          <rPr>
            <b/>
            <sz val="9"/>
            <color indexed="81"/>
            <rFont val="Tahoma"/>
            <family val="2"/>
          </rPr>
          <t>bruno merven:</t>
        </r>
        <r>
          <rPr>
            <sz val="9"/>
            <color indexed="81"/>
            <rFont val="Tahoma"/>
            <family val="2"/>
          </rPr>
          <t xml:space="preserve">
Cost = cost of new mine + cost of 2-stage washing.</t>
        </r>
      </text>
    </comment>
    <comment ref="H61" authorId="0">
      <text>
        <r>
          <rPr>
            <b/>
            <sz val="9"/>
            <color indexed="81"/>
            <rFont val="Tahoma"/>
            <family val="2"/>
          </rPr>
          <t>bruno merven:</t>
        </r>
        <r>
          <rPr>
            <sz val="9"/>
            <color indexed="81"/>
            <rFont val="Tahoma"/>
            <family val="2"/>
          </rPr>
          <t xml:space="preserve">
14.5 is Coal supplied to Matimba</t>
        </r>
      </text>
    </comment>
    <comment ref="V61" authorId="0">
      <text>
        <r>
          <rPr>
            <b/>
            <sz val="9"/>
            <color indexed="81"/>
            <rFont val="Tahoma"/>
            <family val="2"/>
          </rPr>
          <t>bruno merven:</t>
        </r>
        <r>
          <rPr>
            <sz val="9"/>
            <color indexed="81"/>
            <rFont val="Tahoma"/>
            <family val="2"/>
          </rPr>
          <t xml:space="preserve">
Matimba+Medupi</t>
        </r>
      </text>
    </comment>
    <comment ref="H63" authorId="0">
      <text>
        <r>
          <rPr>
            <b/>
            <sz val="9"/>
            <color indexed="81"/>
            <rFont val="Tahoma"/>
            <family val="2"/>
          </rPr>
          <t>bruno merven:</t>
        </r>
        <r>
          <rPr>
            <sz val="9"/>
            <color indexed="81"/>
            <rFont val="Tahoma"/>
            <family val="2"/>
          </rPr>
          <t xml:space="preserve">
Cumul halved to account for the fact that not all reserves are under contract, and new contracts would have to be signed with new conditions.</t>
        </r>
      </text>
    </comment>
    <comment ref="V63" authorId="0">
      <text>
        <r>
          <rPr>
            <b/>
            <sz val="9"/>
            <color indexed="81"/>
            <rFont val="Tahoma"/>
            <family val="2"/>
          </rPr>
          <t>bruno merven:</t>
        </r>
        <r>
          <rPr>
            <sz val="9"/>
            <color indexed="81"/>
            <rFont val="Tahoma"/>
            <family val="2"/>
          </rPr>
          <t xml:space="preserve">
Use by Medupi and Matimba over their life to 2050.</t>
        </r>
      </text>
    </comment>
    <comment ref="Y63" authorId="0">
      <text>
        <r>
          <rPr>
            <b/>
            <sz val="9"/>
            <color indexed="81"/>
            <rFont val="Tahoma"/>
            <family val="2"/>
          </rPr>
          <t>bruno merven:</t>
        </r>
        <r>
          <rPr>
            <sz val="9"/>
            <color indexed="81"/>
            <rFont val="Tahoma"/>
            <family val="2"/>
          </rPr>
          <t xml:space="preserve">
Exxaro Reserves and resources + Boikarabelo + Sekoko-Firestone resources net of consumption by medupi and matimba.</t>
        </r>
      </text>
    </comment>
    <comment ref="AB63" authorId="0">
      <text>
        <r>
          <rPr>
            <b/>
            <sz val="9"/>
            <color indexed="81"/>
            <rFont val="Tahoma"/>
            <family val="2"/>
          </rPr>
          <t>bruno merven:</t>
        </r>
        <r>
          <rPr>
            <sz val="9"/>
            <color indexed="81"/>
            <rFont val="Tahoma"/>
            <family val="2"/>
          </rPr>
          <t xml:space="preserve">
This could be much higher. Not sure if references (Exarro, XMP, Macquarie) quote washed coal or raw coal.</t>
        </r>
      </text>
    </comment>
    <comment ref="D69" authorId="0">
      <text>
        <r>
          <rPr>
            <b/>
            <sz val="9"/>
            <color indexed="81"/>
            <rFont val="Tahoma"/>
            <family val="2"/>
          </rPr>
          <t>bruno merven:</t>
        </r>
        <r>
          <rPr>
            <sz val="9"/>
            <color indexed="81"/>
            <rFont val="Tahoma"/>
            <family val="2"/>
          </rPr>
          <t xml:space="preserve">
from StatSA: http://beta2.statssa.gov.za/publications/P0141/CPIHistory.pdf</t>
        </r>
      </text>
    </comment>
    <comment ref="I72" authorId="0">
      <text>
        <r>
          <rPr>
            <b/>
            <sz val="9"/>
            <color indexed="81"/>
            <rFont val="Tahoma"/>
            <family val="2"/>
          </rPr>
          <t>bruno merven:</t>
        </r>
        <r>
          <rPr>
            <sz val="9"/>
            <color indexed="81"/>
            <rFont val="Tahoma"/>
            <family val="2"/>
          </rPr>
          <t xml:space="preserve">
Noddy Mc George elicitation has 64-127 range with current being</t>
        </r>
      </text>
    </comment>
    <comment ref="I73" authorId="0">
      <text>
        <r>
          <rPr>
            <b/>
            <sz val="9"/>
            <color indexed="81"/>
            <rFont val="Tahoma"/>
            <family val="2"/>
          </rPr>
          <t>bruno merven:</t>
        </r>
        <r>
          <rPr>
            <sz val="9"/>
            <color indexed="81"/>
            <rFont val="Tahoma"/>
            <family val="2"/>
          </rPr>
          <t xml:space="preserve">
Noddy McGeorge Elicitation has 15-30 for diesel and electricity</t>
        </r>
      </text>
    </comment>
    <comment ref="E113" authorId="0">
      <text>
        <r>
          <rPr>
            <b/>
            <sz val="9"/>
            <color indexed="81"/>
            <rFont val="Tahoma"/>
            <family val="2"/>
          </rPr>
          <t>bruno merven:</t>
        </r>
        <r>
          <rPr>
            <sz val="9"/>
            <color indexed="81"/>
            <rFont val="Tahoma"/>
            <family val="2"/>
          </rPr>
          <t xml:space="preserve">
Exxaro Annual Report 2013, pg 55.</t>
        </r>
      </text>
    </comment>
    <comment ref="E114" authorId="0">
      <text>
        <r>
          <rPr>
            <b/>
            <sz val="9"/>
            <color indexed="81"/>
            <rFont val="Tahoma"/>
            <family val="2"/>
          </rPr>
          <t>bruno merven:</t>
        </r>
        <r>
          <rPr>
            <sz val="9"/>
            <color indexed="81"/>
            <rFont val="Tahoma"/>
            <family val="2"/>
          </rPr>
          <t xml:space="preserve">
SRK report on Exxaro, table 14.13</t>
        </r>
      </text>
    </comment>
  </commentList>
</comments>
</file>

<file path=xl/sharedStrings.xml><?xml version="1.0" encoding="utf-8"?>
<sst xmlns="http://schemas.openxmlformats.org/spreadsheetml/2006/main" count="388" uniqueCount="263">
  <si>
    <t>Strip Ratios and Yields (from Eskom Presentation on Coal supply)</t>
  </si>
  <si>
    <t>Labour Cost Increases (from Eskom Presentation on Coal supply)</t>
  </si>
  <si>
    <t>Coal Contracts</t>
  </si>
  <si>
    <t>Water costs</t>
  </si>
  <si>
    <t>Other Coal</t>
  </si>
  <si>
    <t>Note: Stripping Ratio = waste/Rom</t>
  </si>
  <si>
    <t>So cost per RoM = (1+SR)*cost per strip</t>
  </si>
  <si>
    <t>Mining Costs</t>
  </si>
  <si>
    <t>Logistics Costs</t>
  </si>
  <si>
    <t>Water cost:</t>
  </si>
  <si>
    <t>c/m3</t>
  </si>
  <si>
    <t>r/l</t>
  </si>
  <si>
    <t>Water use</t>
  </si>
  <si>
    <t>l/ton</t>
  </si>
  <si>
    <t>Cost</t>
  </si>
  <si>
    <t>R/ton</t>
  </si>
  <si>
    <t>Trucking Cost</t>
  </si>
  <si>
    <t>From XMP for 2013</t>
  </si>
  <si>
    <t>Mass (mtons)</t>
  </si>
  <si>
    <t>CV</t>
  </si>
  <si>
    <t>R/GJ</t>
  </si>
  <si>
    <t>Merchant</t>
  </si>
  <si>
    <t>Mettalurgical</t>
  </si>
  <si>
    <t>Industries</t>
  </si>
  <si>
    <t>Chemical</t>
  </si>
  <si>
    <t>Cement</t>
  </si>
  <si>
    <t>Brick</t>
  </si>
  <si>
    <t>pmt type</t>
  </si>
  <si>
    <t>Transport</t>
  </si>
  <si>
    <t>Total Capital</t>
  </si>
  <si>
    <t>R/ton-yr</t>
  </si>
  <si>
    <t>Mines</t>
  </si>
  <si>
    <t>Estimate of Capital Cost</t>
  </si>
  <si>
    <t>Agri</t>
  </si>
  <si>
    <t>Real Return (%)</t>
  </si>
  <si>
    <t>total</t>
  </si>
  <si>
    <t>Life</t>
  </si>
  <si>
    <t>yrs</t>
  </si>
  <si>
    <t>Working Cost</t>
  </si>
  <si>
    <t>Capital</t>
  </si>
  <si>
    <t>Exchange rate</t>
  </si>
  <si>
    <t>Return</t>
  </si>
  <si>
    <t>$/ton</t>
  </si>
  <si>
    <t>Total</t>
  </si>
  <si>
    <t>Washing Plant</t>
  </si>
  <si>
    <t>Capital Cost</t>
  </si>
  <si>
    <t>return+capital</t>
  </si>
  <si>
    <t>Waterberg Company project</t>
  </si>
  <si>
    <t>total project cost</t>
  </si>
  <si>
    <t>mR</t>
  </si>
  <si>
    <t>production</t>
  </si>
  <si>
    <t>mtpa</t>
  </si>
  <si>
    <t>Check</t>
  </si>
  <si>
    <t>Cost Quoted</t>
  </si>
  <si>
    <t>Distance Quoted</t>
  </si>
  <si>
    <t>mtons</t>
  </si>
  <si>
    <t>km</t>
  </si>
  <si>
    <t>btonkm</t>
  </si>
  <si>
    <t>Total Cost</t>
  </si>
  <si>
    <t>R/tonkm</t>
  </si>
  <si>
    <t>bR</t>
  </si>
  <si>
    <t>Conveyor</t>
  </si>
  <si>
    <t>Rail</t>
  </si>
  <si>
    <t>Road</t>
  </si>
  <si>
    <t>Average</t>
  </si>
  <si>
    <t>Waterberg-Central Basin line upgrade</t>
  </si>
  <si>
    <t>MJkg</t>
  </si>
  <si>
    <t>R/MJ/kg</t>
  </si>
  <si>
    <t>2012R</t>
  </si>
  <si>
    <t>2010 R</t>
  </si>
  <si>
    <t>Discount Rate</t>
  </si>
  <si>
    <t>Total Capital Cost</t>
  </si>
  <si>
    <t>R/ton-a</t>
  </si>
  <si>
    <t>R/GJ-a</t>
  </si>
  <si>
    <t>Lead Time</t>
  </si>
  <si>
    <t>IDC</t>
  </si>
  <si>
    <t>Capacity</t>
  </si>
  <si>
    <t>years</t>
  </si>
  <si>
    <t>Annualised Capital</t>
  </si>
  <si>
    <t>R/ta</t>
  </si>
  <si>
    <t>R/Gja</t>
  </si>
  <si>
    <t>Distance</t>
  </si>
  <si>
    <t>Current Tarrif</t>
  </si>
  <si>
    <t>Resid</t>
  </si>
  <si>
    <t>mton-a</t>
  </si>
  <si>
    <t>Pja</t>
  </si>
  <si>
    <t>Capacity 2018</t>
  </si>
  <si>
    <t>PJa</t>
  </si>
  <si>
    <t>Capacity 2020 Option1</t>
  </si>
  <si>
    <t>Export line to RBCT</t>
  </si>
  <si>
    <t>Transnet Rail Freight Capacity</t>
  </si>
  <si>
    <t>cv</t>
  </si>
  <si>
    <t>PJ</t>
  </si>
  <si>
    <t>Investment Cost</t>
  </si>
  <si>
    <t>Grootegeluk Resources and Reserves (based on 2014 report)</t>
  </si>
  <si>
    <t>Losses</t>
  </si>
  <si>
    <t>estimated using table on reserves below</t>
  </si>
  <si>
    <t>Measured Resource</t>
  </si>
  <si>
    <t>Indicated Resource</t>
  </si>
  <si>
    <t>Inferred Resource</t>
  </si>
  <si>
    <t>Allocation to Thermal</t>
  </si>
  <si>
    <t>CV target</t>
  </si>
  <si>
    <t>Resource</t>
  </si>
  <si>
    <t>Tonnes (Mt)</t>
  </si>
  <si>
    <t>Measured (proved)</t>
  </si>
  <si>
    <t>Indicated(probable)</t>
  </si>
  <si>
    <t>Inferred</t>
  </si>
  <si>
    <t>Check Thermal</t>
  </si>
  <si>
    <t>Total (weighted by probability)</t>
  </si>
  <si>
    <t>Grootegeluk mine</t>
  </si>
  <si>
    <t>Weighting</t>
  </si>
  <si>
    <t>Volksrust Formation</t>
  </si>
  <si>
    <t>Vryheid Formation</t>
  </si>
  <si>
    <t>Thabametsi</t>
  </si>
  <si>
    <t>Waterberg North</t>
  </si>
  <si>
    <t>Waterberg South</t>
  </si>
  <si>
    <t>Reserves</t>
  </si>
  <si>
    <t>Grootegeluk mine (OC)</t>
  </si>
  <si>
    <t>Total (PJ)</t>
  </si>
  <si>
    <t>ROM(Mt)</t>
  </si>
  <si>
    <t>Coking</t>
  </si>
  <si>
    <t>Thermal</t>
  </si>
  <si>
    <t>Metallurgical</t>
  </si>
  <si>
    <t>Yield (weighted)</t>
  </si>
  <si>
    <t>Proved</t>
  </si>
  <si>
    <t>Probable</t>
  </si>
  <si>
    <t>Medupi+Matimba (PJ)</t>
  </si>
  <si>
    <t>MINCLN-A cumul limit</t>
  </si>
  <si>
    <t>Boikarabelo Resource</t>
  </si>
  <si>
    <t>http://resgen.com.au/wp-content/uploads/2013/10/Mining_Review_Africa_1210.pdf</t>
  </si>
  <si>
    <t>Other presentations indicate a 50%/50% split between thermal coal and other coal.</t>
  </si>
  <si>
    <t>Thermal resource estimate</t>
  </si>
  <si>
    <t>Sekoko_Firestone</t>
  </si>
  <si>
    <t>http://static.globalreporting.org/report-pdfs/2011/c33bb7f16ea36c877e992724fd4ca952.pdf</t>
  </si>
  <si>
    <t>http://www.firestoneenergy.com.au/b/waterberg.php</t>
  </si>
  <si>
    <t>Extent of property</t>
  </si>
  <si>
    <t>The project consists of eight farms in the Waterberg coalfield totalling 7,979 hectares. The identified area over the Smitspan farm (first phase base case) indicates a mine layout covering 507 hectares extending for 3.5km east to west and 1.8km north to south. This area contains 258Mt (ROM) which will produce 120Mt of domestic coal for local power stations and a further coal of export quality coal with an average yield of 67% on selective mining basis..</t>
  </si>
  <si>
    <t>Reserves and resources</t>
  </si>
  <si>
    <t>Measured resource at Smitspan is now estimated at 120Mt.</t>
  </si>
  <si>
    <t>Life of mine</t>
  </si>
  <si>
    <t>21 years at an average stripping ratio of 2.1 on saleable tons.</t>
  </si>
  <si>
    <t>Original Data</t>
  </si>
  <si>
    <t>2012 Rands</t>
  </si>
  <si>
    <t>Volume</t>
  </si>
  <si>
    <t>Price</t>
  </si>
  <si>
    <t>Step 1</t>
  </si>
  <si>
    <t>Step 2</t>
  </si>
  <si>
    <t>Step 3</t>
  </si>
  <si>
    <t>Step 4</t>
  </si>
  <si>
    <t>Estimated under contract in Central Basin</t>
  </si>
  <si>
    <t>eps</t>
  </si>
  <si>
    <t>Exxaro Annual report 2014 page 53</t>
  </si>
  <si>
    <t>pmt flag</t>
  </si>
  <si>
    <t>Life of Plant</t>
  </si>
  <si>
    <t>tw:to = Waste Removed : RoM Coal Open pit</t>
  </si>
  <si>
    <t>Detailed Cost Breakdown: Central Basin</t>
  </si>
  <si>
    <t>Detailed Cost Breakdown: Waterberg</t>
  </si>
  <si>
    <t>Include Energy costs?</t>
  </si>
  <si>
    <t>Existing 1</t>
  </si>
  <si>
    <t>Eskom Only</t>
  </si>
  <si>
    <t>Existing 2</t>
  </si>
  <si>
    <t>Multi-Product</t>
  </si>
  <si>
    <t>Existing 3</t>
  </si>
  <si>
    <t>Existing Export Mines</t>
  </si>
  <si>
    <t>New 1</t>
  </si>
  <si>
    <t>Eskom/Multiproduct</t>
  </si>
  <si>
    <t>Existing (Gootegeluk)</t>
  </si>
  <si>
    <t>New-opencast</t>
  </si>
  <si>
    <t>New-underground</t>
  </si>
  <si>
    <t>min</t>
  </si>
  <si>
    <t>Current</t>
  </si>
  <si>
    <t>max</t>
  </si>
  <si>
    <t>current</t>
  </si>
  <si>
    <t>Labour</t>
  </si>
  <si>
    <t>Diesel</t>
  </si>
  <si>
    <t>Electricity</t>
  </si>
  <si>
    <t>Other</t>
  </si>
  <si>
    <t>Mining Cost per strip</t>
  </si>
  <si>
    <t>Stripping Ratio</t>
  </si>
  <si>
    <t>tw:to</t>
  </si>
  <si>
    <t>Washing Plant Yeild</t>
  </si>
  <si>
    <t>Saleable Production Cost</t>
  </si>
  <si>
    <t>trans. cost ratio WB:CB</t>
  </si>
  <si>
    <t>Conveyor Share</t>
  </si>
  <si>
    <t>Rail Share</t>
  </si>
  <si>
    <t>Road Share</t>
  </si>
  <si>
    <t>Transport Cost</t>
  </si>
  <si>
    <t>Capital Intensity</t>
  </si>
  <si>
    <t>R/ton/yr</t>
  </si>
  <si>
    <t>No Return Capital repayments</t>
  </si>
  <si>
    <t>Return on Capital</t>
  </si>
  <si>
    <t>%</t>
  </si>
  <si>
    <t>Acid Mine Drainage/mine rehabilitation + water costs</t>
  </si>
  <si>
    <t>Annual Production Limit</t>
  </si>
  <si>
    <t>mton/annum</t>
  </si>
  <si>
    <t>PJ/annum</t>
  </si>
  <si>
    <t>Cumulative Limit</t>
  </si>
  <si>
    <t>mton cumul</t>
  </si>
  <si>
    <t>Years of production</t>
  </si>
  <si>
    <t>Agg check</t>
  </si>
  <si>
    <t>MJ/kg</t>
  </si>
  <si>
    <t>Cost 2012</t>
  </si>
  <si>
    <t>Cost 2010</t>
  </si>
  <si>
    <t>Checks</t>
  </si>
  <si>
    <t>check</t>
  </si>
  <si>
    <t>Total High Grade Demand</t>
  </si>
  <si>
    <t>mton</t>
  </si>
  <si>
    <t>http://www.exxaro.com/index.php/where-we-operate/coal/grootegeluk/</t>
  </si>
  <si>
    <t>High Grade Production</t>
  </si>
  <si>
    <t>Location</t>
  </si>
  <si>
    <t>West of Lephalale</t>
  </si>
  <si>
    <t xml:space="preserve"> </t>
  </si>
  <si>
    <t>Product</t>
  </si>
  <si>
    <t>Thermal, metallurgical</t>
  </si>
  <si>
    <t>and coking coal</t>
  </si>
  <si>
    <t>Central Basin</t>
  </si>
  <si>
    <t>Waterberg</t>
  </si>
  <si>
    <t>Market</t>
  </si>
  <si>
    <t>Domestic and export</t>
  </si>
  <si>
    <t>Summary</t>
  </si>
  <si>
    <t>MINCLE1</t>
  </si>
  <si>
    <t>MINCLE2</t>
  </si>
  <si>
    <t>MINCLN</t>
  </si>
  <si>
    <t>MINCLE-A</t>
  </si>
  <si>
    <t>MINCLN-A</t>
  </si>
  <si>
    <t>Resources (inclusive)</t>
  </si>
  <si>
    <t>4 719Mt</t>
  </si>
  <si>
    <t>Exist-minemouth</t>
  </si>
  <si>
    <t>Exist-multi</t>
  </si>
  <si>
    <t>New-Low</t>
  </si>
  <si>
    <t>New-Med</t>
  </si>
  <si>
    <t>New-High</t>
  </si>
  <si>
    <t>Exist</t>
  </si>
  <si>
    <t>Reserve</t>
  </si>
  <si>
    <t>3 261Mt</t>
  </si>
  <si>
    <t>Mining method</t>
  </si>
  <si>
    <t>Open-cut</t>
  </si>
  <si>
    <t>Run of mine</t>
  </si>
  <si>
    <t>37,9Mt</t>
  </si>
  <si>
    <t>30+ years</t>
  </si>
  <si>
    <t>Acid mine drainage</t>
  </si>
  <si>
    <t>Production assumptions</t>
  </si>
  <si>
    <t>Yeild</t>
  </si>
  <si>
    <t>Transport assumptions</t>
  </si>
  <si>
    <t>to</t>
  </si>
  <si>
    <t>Mt</t>
  </si>
  <si>
    <t>tw</t>
  </si>
  <si>
    <t>sr</t>
  </si>
  <si>
    <t>feed</t>
  </si>
  <si>
    <t>saleable</t>
  </si>
  <si>
    <t>yield</t>
  </si>
  <si>
    <t>Eskom Sales</t>
  </si>
  <si>
    <t>Eskom</t>
  </si>
  <si>
    <t>Eskom Price</t>
  </si>
  <si>
    <t>Variable Cost</t>
  </si>
  <si>
    <t>Fixed Costs (Salaries)</t>
  </si>
  <si>
    <t>Electricity in 2012</t>
  </si>
  <si>
    <t>GWh</t>
  </si>
  <si>
    <t>Tons Processed</t>
  </si>
  <si>
    <t>kWh/ton</t>
  </si>
  <si>
    <t>R/kWh</t>
  </si>
  <si>
    <t>Electricity cost</t>
  </si>
  <si>
    <t>Inflation check</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</si>
</sst>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0"/>
    <numFmt numFmtId="165" formatCode="0.000"/>
    <numFmt numFmtId="166" formatCode="0.0%"/>
    <numFmt numFmtId="167" formatCode="0.00000"/>
    <numFmt numFmtId="168" formatCode="[$£-809]#,##0.00;[Red]&quot;-&quot;[$£-809]#,##0.00"/>
    <numFmt numFmtId="169" formatCode="0.000_)"/>
    <numFmt numFmtId="170" formatCode="#,##0.00\ ;&quot; -&quot;#,##0.00\ ;&quot; -&quot;#\ ;@\ "/>
    <numFmt numFmtId="171" formatCode="_(* #,##0.00_);_(* \(#,##0.00\);_(* &quot;-&quot;??_);_(@_)"/>
    <numFmt numFmtId="172" formatCode="_-* #,##0.00_-;\-* #,##0.00_-;_-* &quot;-&quot;??_-;_-@_-"/>
    <numFmt numFmtId="173" formatCode="0_(&quot;$&quot;* #,##0;_)_(&quot;$&quot;* \(#,##0;\)_(&quot;$&quot;* &quot;-&quot;;_)_(@"/>
    <numFmt numFmtId="174" formatCode="[$-809]General"/>
    <numFmt numFmtId="175" formatCode="#,##0.00&quot; &quot;;&quot; -&quot;#,##0.00&quot; &quot;;&quot; -&quot;#&quot; &quot;;@&quot; &quot;"/>
    <numFmt numFmtId="176" formatCode="#,##0_);\(#,##0\);&quot;-&quot;"/>
    <numFmt numFmtId="177" formatCode="0.00_)"/>
    <numFmt numFmtId="178" formatCode="[$£-809]#,##0.000;[Red]&quot;-&quot;[$£-809]#,##0.000"/>
  </numFmts>
  <fonts count="39">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b/>
      <sz val="9"/>
      <color indexed="81"/>
      <name val="Tahoma"/>
      <family val="2"/>
    </font>
    <font>
      <sz val="9"/>
      <color indexed="81"/>
      <name val="Tahoma"/>
      <family val="2"/>
    </font>
    <font>
      <sz val="8"/>
      <color rgb="FF000000"/>
      <name val="Tahoma"/>
      <family val="2"/>
    </font>
    <font>
      <sz val="11"/>
      <color theme="5"/>
      <name val="Calibri"/>
      <family val="2"/>
      <scheme val="minor"/>
    </font>
    <font>
      <sz val="8"/>
      <color rgb="FF00B050"/>
      <name val="Calibri"/>
      <family val="2"/>
      <scheme val="minor"/>
    </font>
    <font>
      <sz val="10"/>
      <name val="Arial"/>
      <family val="2"/>
    </font>
    <font>
      <sz val="8"/>
      <name val="Arial"/>
      <family val="2"/>
    </font>
    <font>
      <sz val="10"/>
      <color theme="4"/>
      <name val="Arial"/>
      <family val="2"/>
    </font>
    <font>
      <sz val="11"/>
      <name val="Tms Rmn"/>
    </font>
    <font>
      <sz val="10"/>
      <name val="Arial Unicode MS"/>
      <family val="2"/>
    </font>
    <font>
      <sz val="11"/>
      <color indexed="8"/>
      <name val="Calibri"/>
      <family val="2"/>
    </font>
    <font>
      <sz val="12"/>
      <color indexed="24"/>
      <name val="Arial"/>
      <family val="2"/>
    </font>
    <font>
      <sz val="10"/>
      <color theme="1"/>
      <name val="Verdana1"/>
    </font>
    <font>
      <sz val="10"/>
      <name val="Verdana"/>
      <family val="2"/>
    </font>
    <font>
      <sz val="10"/>
      <color theme="1"/>
      <name val="Arial Unicode MS"/>
      <family val="2"/>
    </font>
    <font>
      <sz val="10"/>
      <color theme="6" tint="-0.24994659260841701"/>
      <name val="Arial"/>
      <family val="2"/>
      <charset val="238"/>
    </font>
    <font>
      <sz val="1"/>
      <color indexed="8"/>
      <name val="Courier"/>
      <family val="3"/>
    </font>
    <font>
      <i/>
      <sz val="1"/>
      <color indexed="8"/>
      <name val="Courier"/>
      <family val="3"/>
    </font>
    <font>
      <b/>
      <sz val="12"/>
      <name val="Arial"/>
      <family val="2"/>
    </font>
    <font>
      <b/>
      <i/>
      <sz val="16"/>
      <color theme="1"/>
      <name val="Arial1"/>
    </font>
    <font>
      <b/>
      <sz val="15"/>
      <color indexed="56"/>
      <name val="Calibri"/>
      <family val="2"/>
      <scheme val="minor"/>
    </font>
    <font>
      <b/>
      <sz val="13"/>
      <color indexed="56"/>
      <name val="Calibri"/>
      <family val="2"/>
      <scheme val="minor"/>
    </font>
    <font>
      <b/>
      <sz val="11"/>
      <color indexed="56"/>
      <name val="Calibri"/>
      <family val="2"/>
      <scheme val="minor"/>
    </font>
    <font>
      <u/>
      <sz val="10"/>
      <color theme="10"/>
      <name val="Arial"/>
      <family val="2"/>
    </font>
    <font>
      <u/>
      <sz val="11"/>
      <color theme="10"/>
      <name val="Calibri"/>
      <family val="2"/>
      <scheme val="minor"/>
    </font>
    <font>
      <sz val="10"/>
      <color theme="9" tint="-0.24994659260841701"/>
      <name val="Arial"/>
      <family val="2"/>
    </font>
    <font>
      <b/>
      <i/>
      <sz val="16"/>
      <name val="Helv"/>
    </font>
    <font>
      <sz val="10"/>
      <name val="Tahoma"/>
      <family val="2"/>
    </font>
    <font>
      <b/>
      <i/>
      <u/>
      <sz val="11"/>
      <color theme="1"/>
      <name val="Arial1"/>
    </font>
    <font>
      <sz val="8"/>
      <color indexed="10"/>
      <name val="Arial Narrow"/>
      <family val="2"/>
    </font>
  </fonts>
  <fills count="1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theme="7" tint="0.39994506668294322"/>
        <bgColor indexed="64"/>
      </patternFill>
    </fill>
    <fill>
      <patternFill patternType="solid">
        <fgColor rgb="FFFFC7CE"/>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rgb="FFC6EFCE"/>
        <bgColor indexed="64"/>
      </patternFill>
    </fill>
    <fill>
      <patternFill patternType="solid">
        <fgColor theme="8" tint="0.39994506668294322"/>
        <bgColor indexed="64"/>
      </patternFill>
    </fill>
    <fill>
      <patternFill patternType="solid">
        <fgColor indexed="11"/>
      </patternFill>
    </fill>
    <fill>
      <patternFill patternType="solid">
        <fgColor rgb="FFFFEB9C"/>
        <bgColor indexed="64"/>
      </patternFill>
    </fill>
  </fills>
  <borders count="25">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7F7F7F"/>
      </left>
      <right style="thin">
        <color indexed="64"/>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rgb="FF7F7F7F"/>
      </right>
      <top style="thin">
        <color rgb="FF7F7F7F"/>
      </top>
      <bottom style="thin">
        <color rgb="FF7F7F7F"/>
      </bottom>
      <diagonal/>
    </border>
    <border>
      <left style="thin">
        <color indexed="64"/>
      </left>
      <right/>
      <top style="thin">
        <color rgb="FF7F7F7F"/>
      </top>
      <bottom/>
      <diagonal/>
    </border>
    <border>
      <left/>
      <right/>
      <top style="thin">
        <color rgb="FF7F7F7F"/>
      </top>
      <bottom style="thin">
        <color rgb="FF7F7F7F"/>
      </bottom>
      <diagonal/>
    </border>
    <border>
      <left/>
      <right/>
      <top/>
      <bottom style="thin">
        <color rgb="FF7F7F7F"/>
      </bottom>
      <diagonal/>
    </border>
    <border>
      <left/>
      <right/>
      <top style="thin">
        <color rgb="FF7F7F7F"/>
      </top>
      <bottom/>
      <diagonal/>
    </border>
    <border>
      <left/>
      <right style="thin">
        <color indexed="64"/>
      </right>
      <top style="thin">
        <color rgb="FF7F7F7F"/>
      </top>
      <bottom/>
      <diagonal/>
    </border>
    <border>
      <left style="thin">
        <color rgb="FF7F7F7F"/>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medium">
        <color indexed="64"/>
      </top>
      <bottom style="medium">
        <color indexed="64"/>
      </bottom>
      <diagonal/>
    </border>
    <border>
      <left/>
      <right/>
      <top/>
      <bottom style="thick">
        <color indexed="62"/>
      </bottom>
      <diagonal/>
    </border>
    <border>
      <left style="thin">
        <color theme="8" tint="-0.499984740745262"/>
      </left>
      <right style="thin">
        <color theme="8" tint="-0.499984740745262"/>
      </right>
      <top style="thin">
        <color theme="8" tint="-0.499984740745262"/>
      </top>
      <bottom style="thin">
        <color theme="8" tint="-0.499984740745262"/>
      </bottom>
      <diagonal/>
    </border>
  </borders>
  <cellStyleXfs count="85">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2" applyNumberFormat="0" applyAlignment="0" applyProtection="0"/>
    <xf numFmtId="0" fontId="1" fillId="0" borderId="0"/>
    <xf numFmtId="167" fontId="14" fillId="7" borderId="20" applyNumberFormat="0" applyFont="0" applyAlignment="0"/>
    <xf numFmtId="168" fontId="3" fillId="8" borderId="0" applyNumberFormat="0" applyBorder="0" applyAlignment="0" applyProtection="0"/>
    <xf numFmtId="0" fontId="14" fillId="9" borderId="21" applyNumberFormat="0" applyFont="0" applyAlignment="0"/>
    <xf numFmtId="0" fontId="15" fillId="10" borderId="21" applyNumberFormat="0" applyFont="0" applyAlignment="0"/>
    <xf numFmtId="0" fontId="16" fillId="0" borderId="0" applyNumberFormat="0" applyFill="0" applyBorder="0" applyAlignment="0" applyProtection="0"/>
    <xf numFmtId="168" fontId="6" fillId="6" borderId="2" applyNumberFormat="0" applyAlignment="0" applyProtection="0"/>
    <xf numFmtId="169" fontId="17" fillId="0" borderId="0"/>
    <xf numFmtId="169" fontId="17" fillId="0" borderId="0"/>
    <xf numFmtId="169" fontId="17" fillId="0" borderId="0"/>
    <xf numFmtId="169" fontId="17" fillId="0" borderId="0"/>
    <xf numFmtId="169" fontId="17" fillId="0" borderId="0"/>
    <xf numFmtId="169" fontId="17" fillId="0" borderId="0"/>
    <xf numFmtId="169" fontId="17" fillId="0" borderId="0"/>
    <xf numFmtId="169" fontId="17" fillId="0" borderId="0"/>
    <xf numFmtId="170" fontId="18" fillId="0" borderId="0" applyFill="0" applyBorder="0" applyAlignment="0" applyProtection="0"/>
    <xf numFmtId="171" fontId="14" fillId="0" borderId="0" applyFont="0" applyFill="0" applyBorder="0" applyAlignment="0" applyProtection="0"/>
    <xf numFmtId="171" fontId="1"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2" fontId="14" fillId="0" borderId="0" applyFont="0" applyFill="0" applyBorder="0" applyAlignment="0" applyProtection="0"/>
    <xf numFmtId="43" fontId="1" fillId="0" borderId="0" applyFont="0" applyFill="0" applyBorder="0" applyAlignment="0" applyProtection="0"/>
    <xf numFmtId="3" fontId="20" fillId="0" borderId="0" applyFont="0" applyFill="0" applyBorder="0" applyAlignment="0" applyProtection="0"/>
    <xf numFmtId="173" fontId="14" fillId="0" borderId="0" applyFont="0" applyFill="0" applyBorder="0" applyAlignment="0" applyProtection="0"/>
    <xf numFmtId="168" fontId="20" fillId="0" borderId="0" applyFont="0" applyFill="0" applyBorder="0" applyAlignment="0" applyProtection="0"/>
    <xf numFmtId="174" fontId="21" fillId="0" borderId="0"/>
    <xf numFmtId="0" fontId="22" fillId="0" borderId="0"/>
    <xf numFmtId="175" fontId="23" fillId="0" borderId="0"/>
    <xf numFmtId="4" fontId="24" fillId="0" borderId="0" applyNumberFormat="0" applyFill="0" applyBorder="0" applyAlignment="0" applyProtection="0">
      <alignment horizontal="center"/>
    </xf>
    <xf numFmtId="168" fontId="25" fillId="0" borderId="0">
      <protection locked="0"/>
    </xf>
    <xf numFmtId="168" fontId="25" fillId="0" borderId="0">
      <protection locked="0"/>
    </xf>
    <xf numFmtId="168" fontId="26" fillId="0" borderId="0">
      <protection locked="0"/>
    </xf>
    <xf numFmtId="168" fontId="25" fillId="0" borderId="0">
      <protection locked="0"/>
    </xf>
    <xf numFmtId="168" fontId="25" fillId="0" borderId="0">
      <protection locked="0"/>
    </xf>
    <xf numFmtId="168" fontId="25" fillId="0" borderId="0">
      <protection locked="0"/>
    </xf>
    <xf numFmtId="168" fontId="26" fillId="0" borderId="0">
      <protection locked="0"/>
    </xf>
    <xf numFmtId="2" fontId="20" fillId="0" borderId="0" applyFont="0" applyFill="0" applyBorder="0" applyAlignment="0" applyProtection="0"/>
    <xf numFmtId="168" fontId="2" fillId="11" borderId="0" applyNumberFormat="0" applyBorder="0" applyAlignment="0" applyProtection="0"/>
    <xf numFmtId="168" fontId="27" fillId="0" borderId="22" applyNumberFormat="0" applyAlignment="0" applyProtection="0">
      <alignment horizontal="left" vertical="center"/>
    </xf>
    <xf numFmtId="168" fontId="27" fillId="0" borderId="16">
      <alignment horizontal="left" vertical="center"/>
    </xf>
    <xf numFmtId="0" fontId="28" fillId="0" borderId="0">
      <alignment horizontal="center"/>
    </xf>
    <xf numFmtId="0" fontId="29" fillId="0" borderId="23" applyNumberFormat="0" applyFill="0" applyAlignment="0" applyProtection="0"/>
    <xf numFmtId="0" fontId="29" fillId="0" borderId="23" applyNumberFormat="0" applyFill="0" applyAlignment="0" applyProtection="0"/>
    <xf numFmtId="0" fontId="30" fillId="0" borderId="1" applyNumberFormat="0" applyFill="0" applyAlignment="0" applyProtection="0"/>
    <xf numFmtId="0" fontId="30" fillId="0" borderId="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8" fillId="0" borderId="0">
      <alignment horizontal="center" textRotation="9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xf numFmtId="168" fontId="5" fillId="5" borderId="2" applyNumberFormat="0" applyAlignment="0" applyProtection="0"/>
    <xf numFmtId="0" fontId="5" fillId="5" borderId="2" applyNumberFormat="0" applyAlignment="0" applyProtection="0"/>
    <xf numFmtId="0" fontId="14" fillId="12" borderId="24" applyNumberFormat="0" applyFont="0" applyAlignment="0"/>
    <xf numFmtId="176" fontId="14" fillId="13" borderId="0" applyNumberFormat="0" applyFont="0" applyBorder="0" applyAlignment="0" applyProtection="0"/>
    <xf numFmtId="0" fontId="34" fillId="0" borderId="0" applyNumberFormat="0" applyFill="0" applyBorder="0" applyAlignment="0" applyProtection="0"/>
    <xf numFmtId="168" fontId="4" fillId="14" borderId="0" applyNumberFormat="0" applyBorder="0" applyAlignment="0" applyProtection="0"/>
    <xf numFmtId="177" fontId="35" fillId="0" borderId="0"/>
    <xf numFmtId="0" fontId="1" fillId="0" borderId="0"/>
    <xf numFmtId="0" fontId="14" fillId="0" borderId="0"/>
    <xf numFmtId="0" fontId="14" fillId="0" borderId="0"/>
    <xf numFmtId="0" fontId="14" fillId="0" borderId="0"/>
    <xf numFmtId="178" fontId="14" fillId="0" borderId="0"/>
    <xf numFmtId="0" fontId="14" fillId="0" borderId="0"/>
    <xf numFmtId="0" fontId="1" fillId="0" borderId="0"/>
    <xf numFmtId="0" fontId="1" fillId="0" borderId="0"/>
    <xf numFmtId="178" fontId="1" fillId="0" borderId="0"/>
    <xf numFmtId="0" fontId="36" fillId="0" borderId="0"/>
    <xf numFmtId="178" fontId="1" fillId="0" borderId="0"/>
    <xf numFmtId="168" fontId="1" fillId="0" borderId="0"/>
    <xf numFmtId="9" fontId="14" fillId="0" borderId="0" applyFont="0" applyFill="0" applyBorder="0" applyAlignment="0" applyProtection="0"/>
    <xf numFmtId="9" fontId="1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7" fillId="0" borderId="0"/>
    <xf numFmtId="168" fontId="37" fillId="0" borderId="0"/>
    <xf numFmtId="0" fontId="14" fillId="0" borderId="0"/>
    <xf numFmtId="168" fontId="38" fillId="0" borderId="0">
      <alignment vertical="top"/>
    </xf>
  </cellStyleXfs>
  <cellXfs count="105">
    <xf numFmtId="0" fontId="0" fillId="0" borderId="0" xfId="0"/>
    <xf numFmtId="1" fontId="0" fillId="0" borderId="0" xfId="0" applyNumberFormat="1"/>
    <xf numFmtId="9" fontId="0" fillId="0" borderId="0" xfId="0" applyNumberFormat="1"/>
    <xf numFmtId="164" fontId="0" fillId="0" borderId="0" xfId="0" applyNumberFormat="1"/>
    <xf numFmtId="2" fontId="0" fillId="0" borderId="0" xfId="0" applyNumberFormat="1"/>
    <xf numFmtId="10" fontId="0" fillId="0" borderId="0" xfId="0" applyNumberFormat="1"/>
    <xf numFmtId="164" fontId="4" fillId="4" borderId="0" xfId="4" applyNumberFormat="1"/>
    <xf numFmtId="165" fontId="0" fillId="0" borderId="0" xfId="0" applyNumberFormat="1"/>
    <xf numFmtId="2" fontId="4" fillId="4" borderId="0" xfId="4" applyNumberFormat="1"/>
    <xf numFmtId="0" fontId="8" fillId="0" borderId="0" xfId="0" applyFont="1"/>
    <xf numFmtId="9" fontId="5" fillId="5" borderId="2" xfId="5" applyNumberFormat="1"/>
    <xf numFmtId="0" fontId="0" fillId="0" borderId="0" xfId="0" applyAlignment="1">
      <alignment horizontal="center"/>
    </xf>
    <xf numFmtId="0" fontId="5" fillId="5" borderId="2" xfId="5" applyAlignment="1">
      <alignment horizontal="center"/>
    </xf>
    <xf numFmtId="0" fontId="7" fillId="5" borderId="2" xfId="5" applyFont="1"/>
    <xf numFmtId="9" fontId="0" fillId="0" borderId="0" xfId="1" applyFont="1"/>
    <xf numFmtId="0" fontId="12" fillId="0" borderId="0" xfId="0" applyFont="1"/>
    <xf numFmtId="11" fontId="0" fillId="0" borderId="0" xfId="0" applyNumberFormat="1"/>
    <xf numFmtId="0" fontId="5" fillId="5" borderId="3" xfId="5" applyBorder="1" applyAlignment="1">
      <alignment horizontal="center"/>
    </xf>
    <xf numFmtId="0" fontId="0" fillId="0" borderId="4" xfId="0" applyBorder="1"/>
    <xf numFmtId="0" fontId="0" fillId="0" borderId="5" xfId="0" applyBorder="1"/>
    <xf numFmtId="0" fontId="0" fillId="0" borderId="6" xfId="0" applyBorder="1"/>
    <xf numFmtId="0" fontId="0" fillId="0" borderId="7" xfId="0" applyBorder="1"/>
    <xf numFmtId="0" fontId="0" fillId="0" borderId="0" xfId="0" applyBorder="1"/>
    <xf numFmtId="0" fontId="0" fillId="0" borderId="8" xfId="0" applyBorder="1"/>
    <xf numFmtId="0" fontId="2" fillId="2" borderId="0" xfId="2"/>
    <xf numFmtId="0" fontId="5" fillId="5" borderId="2" xfId="5" applyNumberFormat="1" applyBorder="1"/>
    <xf numFmtId="164" fontId="5" fillId="5" borderId="3" xfId="5" applyNumberFormat="1" applyBorder="1"/>
    <xf numFmtId="0" fontId="0" fillId="0" borderId="0" xfId="0" applyNumberFormat="1" applyBorder="1"/>
    <xf numFmtId="164" fontId="0" fillId="0" borderId="8" xfId="0" applyNumberFormat="1" applyBorder="1"/>
    <xf numFmtId="2" fontId="0" fillId="0" borderId="8" xfId="0" applyNumberFormat="1" applyBorder="1"/>
    <xf numFmtId="2" fontId="0" fillId="0" borderId="0" xfId="0" applyNumberFormat="1" applyBorder="1"/>
    <xf numFmtId="2" fontId="0" fillId="0" borderId="7" xfId="0" applyNumberFormat="1" applyBorder="1"/>
    <xf numFmtId="0" fontId="4" fillId="4" borderId="0" xfId="4"/>
    <xf numFmtId="0" fontId="5" fillId="5" borderId="3" xfId="5" applyBorder="1"/>
    <xf numFmtId="0" fontId="3" fillId="3" borderId="0" xfId="3" applyBorder="1"/>
    <xf numFmtId="2" fontId="5" fillId="5" borderId="3" xfId="5" applyNumberFormat="1" applyBorder="1"/>
    <xf numFmtId="0" fontId="5" fillId="5" borderId="2" xfId="5" applyNumberFormat="1"/>
    <xf numFmtId="164" fontId="0" fillId="0" borderId="7" xfId="0" applyNumberFormat="1" applyBorder="1"/>
    <xf numFmtId="164" fontId="0" fillId="0" borderId="0" xfId="0" applyNumberFormat="1" applyBorder="1"/>
    <xf numFmtId="0" fontId="5" fillId="5" borderId="2" xfId="5" applyBorder="1"/>
    <xf numFmtId="0" fontId="5" fillId="5" borderId="2" xfId="5"/>
    <xf numFmtId="9" fontId="0" fillId="0" borderId="7" xfId="0" applyNumberFormat="1" applyBorder="1"/>
    <xf numFmtId="9" fontId="5" fillId="5" borderId="2" xfId="5" applyNumberFormat="1" applyBorder="1"/>
    <xf numFmtId="9" fontId="0" fillId="0" borderId="8" xfId="0" applyNumberFormat="1" applyBorder="1"/>
    <xf numFmtId="9" fontId="0" fillId="0" borderId="0" xfId="0" applyNumberFormat="1" applyBorder="1"/>
    <xf numFmtId="1" fontId="8" fillId="0" borderId="7" xfId="0" applyNumberFormat="1" applyFont="1" applyBorder="1"/>
    <xf numFmtId="1" fontId="8" fillId="0" borderId="0" xfId="0" applyNumberFormat="1" applyFont="1" applyBorder="1"/>
    <xf numFmtId="1" fontId="8" fillId="0" borderId="8" xfId="0" applyNumberFormat="1" applyFont="1" applyBorder="1"/>
    <xf numFmtId="9" fontId="3" fillId="3" borderId="9" xfId="3" applyNumberFormat="1" applyBorder="1"/>
    <xf numFmtId="9" fontId="0" fillId="0" borderId="8" xfId="1" applyFont="1" applyBorder="1"/>
    <xf numFmtId="2" fontId="0" fillId="0" borderId="0" xfId="0" applyNumberFormat="1" applyFill="1" applyBorder="1"/>
    <xf numFmtId="9" fontId="0" fillId="0" borderId="7" xfId="1" applyFont="1" applyBorder="1"/>
    <xf numFmtId="9" fontId="0" fillId="0" borderId="0" xfId="1" applyFont="1" applyBorder="1"/>
    <xf numFmtId="0" fontId="8" fillId="0" borderId="7" xfId="0" applyFont="1" applyBorder="1"/>
    <xf numFmtId="0" fontId="8" fillId="0" borderId="0" xfId="0" applyFont="1" applyBorder="1"/>
    <xf numFmtId="0" fontId="8" fillId="0" borderId="8" xfId="0" applyFont="1" applyBorder="1"/>
    <xf numFmtId="164" fontId="8" fillId="0" borderId="0" xfId="0" applyNumberFormat="1" applyFont="1" applyBorder="1"/>
    <xf numFmtId="164" fontId="8" fillId="0" borderId="8" xfId="0" applyNumberFormat="1" applyFont="1" applyBorder="1"/>
    <xf numFmtId="164" fontId="8" fillId="0" borderId="7" xfId="0" applyNumberFormat="1" applyFont="1" applyBorder="1"/>
    <xf numFmtId="1" fontId="8" fillId="0" borderId="0" xfId="0" applyNumberFormat="1" applyFont="1" applyFill="1" applyBorder="1"/>
    <xf numFmtId="0" fontId="0" fillId="0" borderId="0" xfId="0" applyFont="1"/>
    <xf numFmtId="0" fontId="0" fillId="0" borderId="7" xfId="0" applyFont="1" applyBorder="1"/>
    <xf numFmtId="1" fontId="5" fillId="5" borderId="2" xfId="5" applyNumberFormat="1" applyFont="1"/>
    <xf numFmtId="0" fontId="0" fillId="0" borderId="8" xfId="0" applyFont="1" applyBorder="1"/>
    <xf numFmtId="1" fontId="0" fillId="0" borderId="7" xfId="0" applyNumberFormat="1" applyFont="1" applyBorder="1"/>
    <xf numFmtId="1" fontId="0" fillId="0" borderId="8" xfId="0" applyNumberFormat="1" applyFont="1" applyBorder="1"/>
    <xf numFmtId="1" fontId="0" fillId="0" borderId="0" xfId="0" applyNumberFormat="1" applyFont="1" applyBorder="1"/>
    <xf numFmtId="1" fontId="5" fillId="5" borderId="2" xfId="5" applyNumberFormat="1"/>
    <xf numFmtId="1" fontId="3" fillId="3" borderId="2" xfId="3" applyNumberFormat="1" applyBorder="1"/>
    <xf numFmtId="1" fontId="0" fillId="0" borderId="0" xfId="0" applyNumberFormat="1" applyFont="1" applyFill="1" applyBorder="1"/>
    <xf numFmtId="0" fontId="0" fillId="0" borderId="0" xfId="0" applyFont="1" applyFill="1" applyBorder="1"/>
    <xf numFmtId="10" fontId="0" fillId="0" borderId="7" xfId="0" applyNumberFormat="1" applyBorder="1"/>
    <xf numFmtId="10" fontId="5" fillId="5" borderId="2" xfId="5" applyNumberFormat="1"/>
    <xf numFmtId="10" fontId="0" fillId="0" borderId="8" xfId="0" applyNumberFormat="1" applyBorder="1"/>
    <xf numFmtId="166" fontId="0" fillId="0" borderId="0" xfId="1" applyNumberFormat="1" applyFont="1" applyBorder="1"/>
    <xf numFmtId="9" fontId="5" fillId="5" borderId="9" xfId="5" applyNumberFormat="1" applyBorder="1"/>
    <xf numFmtId="9" fontId="5" fillId="5" borderId="3" xfId="5" applyNumberFormat="1" applyBorder="1"/>
    <xf numFmtId="10" fontId="5" fillId="5" borderId="2" xfId="5" applyNumberFormat="1" applyBorder="1"/>
    <xf numFmtId="0" fontId="5" fillId="5" borderId="9" xfId="5" applyBorder="1"/>
    <xf numFmtId="1" fontId="8" fillId="0" borderId="10" xfId="0" applyNumberFormat="1" applyFont="1" applyBorder="1"/>
    <xf numFmtId="1" fontId="8" fillId="0" borderId="11" xfId="0" applyNumberFormat="1" applyFont="1" applyBorder="1"/>
    <xf numFmtId="1" fontId="8" fillId="0" borderId="12" xfId="0" applyNumberFormat="1" applyFont="1" applyBorder="1"/>
    <xf numFmtId="1" fontId="8" fillId="0" borderId="13" xfId="0" applyNumberFormat="1" applyFont="1" applyBorder="1"/>
    <xf numFmtId="1" fontId="8" fillId="0" borderId="14" xfId="0" applyNumberFormat="1" applyFont="1" applyBorder="1"/>
    <xf numFmtId="164" fontId="5" fillId="0" borderId="2" xfId="5" applyNumberFormat="1" applyFill="1" applyBorder="1"/>
    <xf numFmtId="0" fontId="0" fillId="0" borderId="8" xfId="0" applyFill="1" applyBorder="1"/>
    <xf numFmtId="0" fontId="0" fillId="0" borderId="7" xfId="0" applyFill="1" applyBorder="1"/>
    <xf numFmtId="0" fontId="0" fillId="0" borderId="0" xfId="0" applyFill="1" applyBorder="1"/>
    <xf numFmtId="164" fontId="0" fillId="0" borderId="7" xfId="0" applyNumberFormat="1" applyFill="1" applyBorder="1"/>
    <xf numFmtId="164" fontId="0" fillId="0" borderId="8" xfId="0" applyNumberFormat="1" applyFill="1" applyBorder="1"/>
    <xf numFmtId="0" fontId="8" fillId="0" borderId="0" xfId="0" applyFont="1" applyFill="1" applyBorder="1"/>
    <xf numFmtId="0" fontId="0" fillId="0" borderId="15" xfId="0" applyBorder="1"/>
    <xf numFmtId="1" fontId="0" fillId="0" borderId="0" xfId="0" applyNumberFormat="1" applyBorder="1"/>
    <xf numFmtId="2" fontId="8" fillId="0" borderId="7" xfId="0" applyNumberFormat="1" applyFont="1" applyBorder="1"/>
    <xf numFmtId="2" fontId="8" fillId="0" borderId="0" xfId="0" applyNumberFormat="1" applyFont="1" applyBorder="1"/>
    <xf numFmtId="2" fontId="8" fillId="0" borderId="8" xfId="0" applyNumberFormat="1" applyFont="1" applyBorder="1"/>
    <xf numFmtId="10" fontId="13" fillId="0" borderId="16" xfId="6" applyNumberFormat="1" applyFont="1" applyBorder="1" applyAlignment="1">
      <alignment vertical="top"/>
    </xf>
    <xf numFmtId="1" fontId="0" fillId="0" borderId="7" xfId="0" applyNumberFormat="1" applyBorder="1"/>
    <xf numFmtId="1" fontId="0" fillId="0" borderId="8" xfId="0" applyNumberFormat="1" applyBorder="1"/>
    <xf numFmtId="0" fontId="0" fillId="0" borderId="17" xfId="0" applyBorder="1"/>
    <xf numFmtId="0" fontId="0" fillId="0" borderId="18" xfId="0" applyBorder="1"/>
    <xf numFmtId="0" fontId="0" fillId="0" borderId="19" xfId="0" applyBorder="1"/>
    <xf numFmtId="164" fontId="0" fillId="0" borderId="18" xfId="0" applyNumberFormat="1" applyBorder="1"/>
    <xf numFmtId="0" fontId="0" fillId="0" borderId="0" xfId="0" applyAlignment="1">
      <alignment horizontal="center"/>
    </xf>
    <xf numFmtId="164" fontId="0" fillId="0" borderId="0" xfId="1" applyNumberFormat="1" applyFont="1"/>
  </cellXfs>
  <cellStyles count="85">
    <cellStyle name="Advanced user input" xfId="7"/>
    <cellStyle name="Bad" xfId="3" builtinId="27"/>
    <cellStyle name="Bad 2" xfId="8"/>
    <cellStyle name="Basic User Data Input" xfId="9"/>
    <cellStyle name="Basic User Selection" xfId="10"/>
    <cellStyle name="Calc" xfId="11"/>
    <cellStyle name="Calculation 2" xfId="12"/>
    <cellStyle name="Comma  - Style1" xfId="13"/>
    <cellStyle name="Comma  - Style2" xfId="14"/>
    <cellStyle name="Comma  - Style3" xfId="15"/>
    <cellStyle name="Comma  - Style4" xfId="16"/>
    <cellStyle name="Comma  - Style5" xfId="17"/>
    <cellStyle name="Comma  - Style6" xfId="18"/>
    <cellStyle name="Comma  - Style7" xfId="19"/>
    <cellStyle name="Comma  - Style8" xfId="20"/>
    <cellStyle name="Comma 2" xfId="21"/>
    <cellStyle name="Comma 2 2" xfId="22"/>
    <cellStyle name="Comma 2 3" xfId="23"/>
    <cellStyle name="Comma 3" xfId="24"/>
    <cellStyle name="Comma 3 2" xfId="25"/>
    <cellStyle name="Comma 4" xfId="26"/>
    <cellStyle name="Comma 5" xfId="27"/>
    <cellStyle name="Comma0" xfId="28"/>
    <cellStyle name="Currency0" xfId="29"/>
    <cellStyle name="Date" xfId="30"/>
    <cellStyle name="Excel Built-in Normal" xfId="31"/>
    <cellStyle name="Excel Built-in Normal 2" xfId="32"/>
    <cellStyle name="Excel_BuiltIn_Comma" xfId="33"/>
    <cellStyle name="External" xfId="34"/>
    <cellStyle name="F2" xfId="35"/>
    <cellStyle name="F3" xfId="36"/>
    <cellStyle name="F4" xfId="37"/>
    <cellStyle name="F5" xfId="38"/>
    <cellStyle name="F6" xfId="39"/>
    <cellStyle name="F7" xfId="40"/>
    <cellStyle name="F8" xfId="41"/>
    <cellStyle name="Fixed" xfId="42"/>
    <cellStyle name="Good" xfId="2" builtinId="26"/>
    <cellStyle name="Good 2" xfId="43"/>
    <cellStyle name="Header1" xfId="44"/>
    <cellStyle name="Header2" xfId="45"/>
    <cellStyle name="Heading" xfId="46"/>
    <cellStyle name="Heading 1 2" xfId="47"/>
    <cellStyle name="Heading 1 2 2" xfId="48"/>
    <cellStyle name="Heading 2 2" xfId="49"/>
    <cellStyle name="Heading 2 2 2" xfId="50"/>
    <cellStyle name="Heading 4 2" xfId="51"/>
    <cellStyle name="Heading 4 2 2" xfId="52"/>
    <cellStyle name="Heading1" xfId="53"/>
    <cellStyle name="Hyperlink 2" xfId="54"/>
    <cellStyle name="Hyperlink 3" xfId="55"/>
    <cellStyle name="Input" xfId="5" builtinId="20"/>
    <cellStyle name="Input 2" xfId="56"/>
    <cellStyle name="Input 3" xfId="57"/>
    <cellStyle name="Intermediate/scenario user input" xfId="58"/>
    <cellStyle name="L_Green" xfId="59"/>
    <cellStyle name="Linked" xfId="60"/>
    <cellStyle name="Neutral" xfId="4" builtinId="28"/>
    <cellStyle name="Neutral 2" xfId="61"/>
    <cellStyle name="Normal" xfId="0" builtinId="0"/>
    <cellStyle name="Normal - Style1" xfId="62"/>
    <cellStyle name="Normal 12 9" xfId="63"/>
    <cellStyle name="Normal 2" xfId="64"/>
    <cellStyle name="Normal 2 2" xfId="65"/>
    <cellStyle name="Normal 2 2 2" xfId="66"/>
    <cellStyle name="Normal 2 3" xfId="67"/>
    <cellStyle name="Normal 3" xfId="68"/>
    <cellStyle name="Normal 3 2" xfId="69"/>
    <cellStyle name="Normal 4" xfId="70"/>
    <cellStyle name="Normal 4 2" xfId="71"/>
    <cellStyle name="Normal 4 3" xfId="6"/>
    <cellStyle name="Normal 5" xfId="72"/>
    <cellStyle name="Normal 6" xfId="73"/>
    <cellStyle name="Normal 7" xfId="74"/>
    <cellStyle name="Percent" xfId="1" builtinId="5"/>
    <cellStyle name="Percent 2" xfId="75"/>
    <cellStyle name="Percent 2 2" xfId="76"/>
    <cellStyle name="Percent 3" xfId="77"/>
    <cellStyle name="Percent 3 2" xfId="78"/>
    <cellStyle name="Percent 4" xfId="79"/>
    <cellStyle name="Percent 5" xfId="80"/>
    <cellStyle name="Result" xfId="81"/>
    <cellStyle name="Result2" xfId="82"/>
    <cellStyle name="Standard_Tables  Draft Report" xfId="83"/>
    <cellStyle name="Update" xfId="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Coal_data!$C$26</c:f>
              <c:strCache>
                <c:ptCount val="1"/>
                <c:pt idx="0">
                  <c:v>Working Cost</c:v>
                </c:pt>
              </c:strCache>
            </c:strRef>
          </c:tx>
          <c:spPr>
            <a:solidFill>
              <a:schemeClr val="accent1">
                <a:alpha val="19000"/>
              </a:schemeClr>
            </a:solidFill>
          </c:spPr>
          <c:invertIfNegative val="0"/>
          <c:cat>
            <c:numRef>
              <c:f>Coal_data!$E$24:$F$24</c:f>
              <c:numCache>
                <c:formatCode>0%</c:formatCode>
                <c:ptCount val="2"/>
                <c:pt idx="0">
                  <c:v>0</c:v>
                </c:pt>
                <c:pt idx="1">
                  <c:v>0.2</c:v>
                </c:pt>
              </c:numCache>
            </c:numRef>
          </c:cat>
          <c:val>
            <c:numRef>
              <c:f>Coal_data!$E$26:$F$26</c:f>
              <c:numCache>
                <c:formatCode>General</c:formatCode>
                <c:ptCount val="2"/>
                <c:pt idx="0">
                  <c:v>185</c:v>
                </c:pt>
                <c:pt idx="1">
                  <c:v>0</c:v>
                </c:pt>
              </c:numCache>
            </c:numRef>
          </c:val>
        </c:ser>
        <c:ser>
          <c:idx val="1"/>
          <c:order val="1"/>
          <c:tx>
            <c:strRef>
              <c:f>Coal_data!$C$27</c:f>
              <c:strCache>
                <c:ptCount val="1"/>
                <c:pt idx="0">
                  <c:v>Capital</c:v>
                </c:pt>
              </c:strCache>
            </c:strRef>
          </c:tx>
          <c:spPr>
            <a:solidFill>
              <a:schemeClr val="accent2">
                <a:alpha val="17000"/>
              </a:schemeClr>
            </a:solidFill>
          </c:spPr>
          <c:invertIfNegative val="0"/>
          <c:cat>
            <c:numRef>
              <c:f>Coal_data!$E$24:$F$24</c:f>
              <c:numCache>
                <c:formatCode>0%</c:formatCode>
                <c:ptCount val="2"/>
                <c:pt idx="0">
                  <c:v>0</c:v>
                </c:pt>
                <c:pt idx="1">
                  <c:v>0.2</c:v>
                </c:pt>
              </c:numCache>
            </c:numRef>
          </c:cat>
          <c:val>
            <c:numRef>
              <c:f>Coal_data!$E$27:$F$27</c:f>
              <c:numCache>
                <c:formatCode>General</c:formatCode>
                <c:ptCount val="2"/>
                <c:pt idx="0">
                  <c:v>50</c:v>
                </c:pt>
                <c:pt idx="1">
                  <c:v>0</c:v>
                </c:pt>
              </c:numCache>
            </c:numRef>
          </c:val>
        </c:ser>
        <c:ser>
          <c:idx val="2"/>
          <c:order val="2"/>
          <c:tx>
            <c:strRef>
              <c:f>Coal_data!$C$28</c:f>
              <c:strCache>
                <c:ptCount val="1"/>
                <c:pt idx="0">
                  <c:v>Return</c:v>
                </c:pt>
              </c:strCache>
            </c:strRef>
          </c:tx>
          <c:spPr>
            <a:solidFill>
              <a:schemeClr val="accent3">
                <a:alpha val="17000"/>
              </a:schemeClr>
            </a:solidFill>
          </c:spPr>
          <c:invertIfNegative val="0"/>
          <c:cat>
            <c:numRef>
              <c:f>Coal_data!$E$24:$F$24</c:f>
              <c:numCache>
                <c:formatCode>0%</c:formatCode>
                <c:ptCount val="2"/>
                <c:pt idx="0">
                  <c:v>0</c:v>
                </c:pt>
                <c:pt idx="1">
                  <c:v>0.2</c:v>
                </c:pt>
              </c:numCache>
            </c:numRef>
          </c:cat>
          <c:val>
            <c:numRef>
              <c:f>Coal_data!$E$28:$F$28</c:f>
              <c:numCache>
                <c:formatCode>0</c:formatCode>
                <c:ptCount val="2"/>
                <c:pt idx="0">
                  <c:v>0</c:v>
                </c:pt>
                <c:pt idx="1">
                  <c:v>0</c:v>
                </c:pt>
              </c:numCache>
            </c:numRef>
          </c:val>
        </c:ser>
        <c:dLbls>
          <c:showLegendKey val="0"/>
          <c:showVal val="0"/>
          <c:showCatName val="0"/>
          <c:showSerName val="0"/>
          <c:showPercent val="0"/>
          <c:showBubbleSize val="0"/>
        </c:dLbls>
        <c:gapWidth val="150"/>
        <c:overlap val="100"/>
        <c:axId val="424642432"/>
        <c:axId val="424643968"/>
      </c:barChart>
      <c:catAx>
        <c:axId val="424642432"/>
        <c:scaling>
          <c:orientation val="minMax"/>
        </c:scaling>
        <c:delete val="0"/>
        <c:axPos val="b"/>
        <c:numFmt formatCode="0%" sourceLinked="1"/>
        <c:majorTickMark val="out"/>
        <c:minorTickMark val="none"/>
        <c:tickLblPos val="nextTo"/>
        <c:crossAx val="424643968"/>
        <c:crosses val="autoZero"/>
        <c:auto val="1"/>
        <c:lblAlgn val="ctr"/>
        <c:lblOffset val="100"/>
        <c:noMultiLvlLbl val="0"/>
      </c:catAx>
      <c:valAx>
        <c:axId val="424643968"/>
        <c:scaling>
          <c:orientation val="minMax"/>
          <c:max val="600"/>
        </c:scaling>
        <c:delete val="0"/>
        <c:axPos val="l"/>
        <c:majorGridlines/>
        <c:numFmt formatCode="General" sourceLinked="1"/>
        <c:majorTickMark val="out"/>
        <c:minorTickMark val="none"/>
        <c:tickLblPos val="nextTo"/>
        <c:crossAx val="424642432"/>
        <c:crosses val="autoZero"/>
        <c:crossBetween val="between"/>
      </c:valAx>
      <c:spPr>
        <a:noFill/>
      </c:spPr>
    </c:plotArea>
    <c:legend>
      <c:legendPos val="r"/>
      <c:overlay val="0"/>
    </c:legend>
    <c:plotVisOnly val="1"/>
    <c:dispBlanksAs val="gap"/>
    <c:showDLblsOverMax val="0"/>
  </c:chart>
  <c:spPr>
    <a:solidFill>
      <a:schemeClr val="accent1">
        <a:alpha val="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CoalParams!$E$6</c:f>
              <c:strCache>
                <c:ptCount val="1"/>
                <c:pt idx="0">
                  <c:v>Price</c:v>
                </c:pt>
              </c:strCache>
            </c:strRef>
          </c:tx>
          <c:spPr>
            <a:ln w="19050">
              <a:solidFill>
                <a:schemeClr val="accent2"/>
              </a:solidFill>
            </a:ln>
          </c:spPr>
          <c:xVal>
            <c:numRef>
              <c:f>CoalParams!$D$7:$D$14</c:f>
              <c:numCache>
                <c:formatCode>General</c:formatCode>
                <c:ptCount val="8"/>
                <c:pt idx="0">
                  <c:v>0</c:v>
                </c:pt>
                <c:pt idx="1">
                  <c:v>1400</c:v>
                </c:pt>
                <c:pt idx="2">
                  <c:v>1400</c:v>
                </c:pt>
                <c:pt idx="3">
                  <c:v>2600</c:v>
                </c:pt>
                <c:pt idx="4">
                  <c:v>2600</c:v>
                </c:pt>
                <c:pt idx="5">
                  <c:v>4450</c:v>
                </c:pt>
                <c:pt idx="6">
                  <c:v>4450</c:v>
                </c:pt>
                <c:pt idx="7">
                  <c:v>4629</c:v>
                </c:pt>
              </c:numCache>
            </c:numRef>
          </c:xVal>
          <c:yVal>
            <c:numRef>
              <c:f>CoalParams!$E$7:$E$14</c:f>
              <c:numCache>
                <c:formatCode>General</c:formatCode>
                <c:ptCount val="8"/>
                <c:pt idx="0">
                  <c:v>200</c:v>
                </c:pt>
                <c:pt idx="1">
                  <c:v>200</c:v>
                </c:pt>
                <c:pt idx="2">
                  <c:v>275</c:v>
                </c:pt>
                <c:pt idx="3">
                  <c:v>275</c:v>
                </c:pt>
                <c:pt idx="4">
                  <c:v>350</c:v>
                </c:pt>
                <c:pt idx="5">
                  <c:v>350</c:v>
                </c:pt>
                <c:pt idx="6">
                  <c:v>480</c:v>
                </c:pt>
                <c:pt idx="7">
                  <c:v>480</c:v>
                </c:pt>
              </c:numCache>
            </c:numRef>
          </c:yVal>
          <c:smooth val="0"/>
        </c:ser>
        <c:dLbls>
          <c:showLegendKey val="0"/>
          <c:showVal val="0"/>
          <c:showCatName val="0"/>
          <c:showSerName val="0"/>
          <c:showPercent val="0"/>
          <c:showBubbleSize val="0"/>
        </c:dLbls>
        <c:axId val="410232320"/>
        <c:axId val="410233856"/>
      </c:scatterChart>
      <c:valAx>
        <c:axId val="410232320"/>
        <c:scaling>
          <c:orientation val="minMax"/>
          <c:max val="5000"/>
        </c:scaling>
        <c:delete val="0"/>
        <c:axPos val="b"/>
        <c:numFmt formatCode="General" sourceLinked="1"/>
        <c:majorTickMark val="out"/>
        <c:minorTickMark val="none"/>
        <c:tickLblPos val="nextTo"/>
        <c:crossAx val="410233856"/>
        <c:crosses val="autoZero"/>
        <c:crossBetween val="midCat"/>
      </c:valAx>
      <c:valAx>
        <c:axId val="410233856"/>
        <c:scaling>
          <c:orientation val="minMax"/>
        </c:scaling>
        <c:delete val="0"/>
        <c:axPos val="l"/>
        <c:majorGridlines/>
        <c:numFmt formatCode="General" sourceLinked="1"/>
        <c:majorTickMark val="out"/>
        <c:minorTickMark val="none"/>
        <c:tickLblPos val="nextTo"/>
        <c:crossAx val="410232320"/>
        <c:crosses val="autoZero"/>
        <c:crossBetween val="midCat"/>
      </c:valAx>
      <c:spPr>
        <a:noFill/>
      </c:spPr>
    </c:plotArea>
    <c:legend>
      <c:legendPos val="r"/>
      <c:overlay val="0"/>
    </c:legend>
    <c:plotVisOnly val="1"/>
    <c:dispBlanksAs val="gap"/>
    <c:showDLblsOverMax val="0"/>
  </c:chart>
  <c:spPr>
    <a:no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CoalParams!$G$84</c:f>
              <c:strCache>
                <c:ptCount val="1"/>
                <c:pt idx="0">
                  <c:v>Saleable Production Cost</c:v>
                </c:pt>
              </c:strCache>
            </c:strRef>
          </c:tx>
          <c:invertIfNegative val="0"/>
          <c:cat>
            <c:multiLvlStrRef>
              <c:f>CoalParams!$H$81:$P$83</c:f>
              <c:multiLvlStrCache>
                <c:ptCount val="9"/>
                <c:lvl>
                  <c:pt idx="0">
                    <c:v>Exist-minemouth</c:v>
                  </c:pt>
                  <c:pt idx="1">
                    <c:v>Exist-multi</c:v>
                  </c:pt>
                  <c:pt idx="2">
                    <c:v>New-Low</c:v>
                  </c:pt>
                  <c:pt idx="3">
                    <c:v>New-Med</c:v>
                  </c:pt>
                  <c:pt idx="4">
                    <c:v>New-High</c:v>
                  </c:pt>
                  <c:pt idx="5">
                    <c:v>Exist</c:v>
                  </c:pt>
                  <c:pt idx="6">
                    <c:v>New-Low</c:v>
                  </c:pt>
                  <c:pt idx="7">
                    <c:v>New-Med</c:v>
                  </c:pt>
                  <c:pt idx="8">
                    <c:v>New-High</c:v>
                  </c:pt>
                </c:lvl>
                <c:lvl>
                  <c:pt idx="0">
                    <c:v>MINCLE1</c:v>
                  </c:pt>
                  <c:pt idx="1">
                    <c:v>MINCLE2</c:v>
                  </c:pt>
                  <c:pt idx="2">
                    <c:v>MINCLN</c:v>
                  </c:pt>
                  <c:pt idx="5">
                    <c:v>MINCLE-A</c:v>
                  </c:pt>
                  <c:pt idx="6">
                    <c:v>MINCLN-A</c:v>
                  </c:pt>
                </c:lvl>
                <c:lvl>
                  <c:pt idx="0">
                    <c:v>Central Basin</c:v>
                  </c:pt>
                  <c:pt idx="5">
                    <c:v>Waterberg</c:v>
                  </c:pt>
                </c:lvl>
              </c:multiLvlStrCache>
            </c:multiLvlStrRef>
          </c:cat>
          <c:val>
            <c:numRef>
              <c:f>CoalParams!$H$84:$P$84</c:f>
              <c:numCache>
                <c:formatCode>0</c:formatCode>
                <c:ptCount val="9"/>
                <c:pt idx="0">
                  <c:v>166.66666666666666</c:v>
                </c:pt>
                <c:pt idx="1">
                  <c:v>500</c:v>
                </c:pt>
                <c:pt idx="2">
                  <c:v>250.00000000000003</c:v>
                </c:pt>
                <c:pt idx="3">
                  <c:v>375</c:v>
                </c:pt>
                <c:pt idx="4">
                  <c:v>842.35883750000005</c:v>
                </c:pt>
                <c:pt idx="5">
                  <c:v>105.91999999999999</c:v>
                </c:pt>
                <c:pt idx="6">
                  <c:v>132.39999999999998</c:v>
                </c:pt>
                <c:pt idx="7">
                  <c:v>281.38516874999993</c:v>
                </c:pt>
                <c:pt idx="8">
                  <c:v>594.75883750000003</c:v>
                </c:pt>
              </c:numCache>
            </c:numRef>
          </c:val>
        </c:ser>
        <c:ser>
          <c:idx val="1"/>
          <c:order val="1"/>
          <c:tx>
            <c:strRef>
              <c:f>CoalParams!$G$85</c:f>
              <c:strCache>
                <c:ptCount val="1"/>
                <c:pt idx="0">
                  <c:v>Transport</c:v>
                </c:pt>
              </c:strCache>
            </c:strRef>
          </c:tx>
          <c:invertIfNegative val="0"/>
          <c:cat>
            <c:multiLvlStrRef>
              <c:f>CoalParams!$H$81:$P$83</c:f>
              <c:multiLvlStrCache>
                <c:ptCount val="9"/>
                <c:lvl>
                  <c:pt idx="0">
                    <c:v>Exist-minemouth</c:v>
                  </c:pt>
                  <c:pt idx="1">
                    <c:v>Exist-multi</c:v>
                  </c:pt>
                  <c:pt idx="2">
                    <c:v>New-Low</c:v>
                  </c:pt>
                  <c:pt idx="3">
                    <c:v>New-Med</c:v>
                  </c:pt>
                  <c:pt idx="4">
                    <c:v>New-High</c:v>
                  </c:pt>
                  <c:pt idx="5">
                    <c:v>Exist</c:v>
                  </c:pt>
                  <c:pt idx="6">
                    <c:v>New-Low</c:v>
                  </c:pt>
                  <c:pt idx="7">
                    <c:v>New-Med</c:v>
                  </c:pt>
                  <c:pt idx="8">
                    <c:v>New-High</c:v>
                  </c:pt>
                </c:lvl>
                <c:lvl>
                  <c:pt idx="0">
                    <c:v>MINCLE1</c:v>
                  </c:pt>
                  <c:pt idx="1">
                    <c:v>MINCLE2</c:v>
                  </c:pt>
                  <c:pt idx="2">
                    <c:v>MINCLN</c:v>
                  </c:pt>
                  <c:pt idx="5">
                    <c:v>MINCLE-A</c:v>
                  </c:pt>
                  <c:pt idx="6">
                    <c:v>MINCLN-A</c:v>
                  </c:pt>
                </c:lvl>
                <c:lvl>
                  <c:pt idx="0">
                    <c:v>Central Basin</c:v>
                  </c:pt>
                  <c:pt idx="5">
                    <c:v>Waterberg</c:v>
                  </c:pt>
                </c:lvl>
              </c:multiLvlStrCache>
            </c:multiLvlStrRef>
          </c:cat>
          <c:val>
            <c:numRef>
              <c:f>CoalParams!$H$85:$P$85</c:f>
              <c:numCache>
                <c:formatCode>0</c:formatCode>
                <c:ptCount val="9"/>
                <c:pt idx="0" formatCode="General">
                  <c:v>1</c:v>
                </c:pt>
                <c:pt idx="1">
                  <c:v>20.04999999999999</c:v>
                </c:pt>
                <c:pt idx="2">
                  <c:v>52.3</c:v>
                </c:pt>
                <c:pt idx="3">
                  <c:v>68.899999999999991</c:v>
                </c:pt>
                <c:pt idx="4">
                  <c:v>87.149999999999991</c:v>
                </c:pt>
                <c:pt idx="5">
                  <c:v>1</c:v>
                </c:pt>
                <c:pt idx="6">
                  <c:v>10.1875</c:v>
                </c:pt>
                <c:pt idx="7">
                  <c:v>16.618750000000002</c:v>
                </c:pt>
                <c:pt idx="8">
                  <c:v>23.049999999999997</c:v>
                </c:pt>
              </c:numCache>
            </c:numRef>
          </c:val>
        </c:ser>
        <c:ser>
          <c:idx val="2"/>
          <c:order val="2"/>
          <c:tx>
            <c:strRef>
              <c:f>CoalParams!$G$86</c:f>
              <c:strCache>
                <c:ptCount val="1"/>
                <c:pt idx="0">
                  <c:v>Capital</c:v>
                </c:pt>
              </c:strCache>
            </c:strRef>
          </c:tx>
          <c:invertIfNegative val="0"/>
          <c:cat>
            <c:multiLvlStrRef>
              <c:f>CoalParams!$H$81:$P$83</c:f>
              <c:multiLvlStrCache>
                <c:ptCount val="9"/>
                <c:lvl>
                  <c:pt idx="0">
                    <c:v>Exist-minemouth</c:v>
                  </c:pt>
                  <c:pt idx="1">
                    <c:v>Exist-multi</c:v>
                  </c:pt>
                  <c:pt idx="2">
                    <c:v>New-Low</c:v>
                  </c:pt>
                  <c:pt idx="3">
                    <c:v>New-Med</c:v>
                  </c:pt>
                  <c:pt idx="4">
                    <c:v>New-High</c:v>
                  </c:pt>
                  <c:pt idx="5">
                    <c:v>Exist</c:v>
                  </c:pt>
                  <c:pt idx="6">
                    <c:v>New-Low</c:v>
                  </c:pt>
                  <c:pt idx="7">
                    <c:v>New-Med</c:v>
                  </c:pt>
                  <c:pt idx="8">
                    <c:v>New-High</c:v>
                  </c:pt>
                </c:lvl>
                <c:lvl>
                  <c:pt idx="0">
                    <c:v>MINCLE1</c:v>
                  </c:pt>
                  <c:pt idx="1">
                    <c:v>MINCLE2</c:v>
                  </c:pt>
                  <c:pt idx="2">
                    <c:v>MINCLN</c:v>
                  </c:pt>
                  <c:pt idx="5">
                    <c:v>MINCLE-A</c:v>
                  </c:pt>
                  <c:pt idx="6">
                    <c:v>MINCLN-A</c:v>
                  </c:pt>
                </c:lvl>
                <c:lvl>
                  <c:pt idx="0">
                    <c:v>Central Basin</c:v>
                  </c:pt>
                  <c:pt idx="5">
                    <c:v>Waterberg</c:v>
                  </c:pt>
                </c:lvl>
              </c:multiLvlStrCache>
            </c:multiLvlStrRef>
          </c:cat>
          <c:val>
            <c:numRef>
              <c:f>CoalParams!$H$86:$P$86</c:f>
              <c:numCache>
                <c:formatCode>0</c:formatCode>
                <c:ptCount val="9"/>
                <c:pt idx="0">
                  <c:v>40.74074074074074</c:v>
                </c:pt>
                <c:pt idx="1">
                  <c:v>40.74074074074074</c:v>
                </c:pt>
                <c:pt idx="2">
                  <c:v>67.777777777777786</c:v>
                </c:pt>
                <c:pt idx="3">
                  <c:v>67.777777777777786</c:v>
                </c:pt>
                <c:pt idx="4">
                  <c:v>67.777777777777786</c:v>
                </c:pt>
                <c:pt idx="5">
                  <c:v>23.333333333333332</c:v>
                </c:pt>
                <c:pt idx="6">
                  <c:v>26.851851851851851</c:v>
                </c:pt>
                <c:pt idx="7">
                  <c:v>26.851851851851851</c:v>
                </c:pt>
                <c:pt idx="8">
                  <c:v>26.851851851851851</c:v>
                </c:pt>
              </c:numCache>
            </c:numRef>
          </c:val>
        </c:ser>
        <c:ser>
          <c:idx val="3"/>
          <c:order val="3"/>
          <c:tx>
            <c:strRef>
              <c:f>CoalParams!$G$87</c:f>
              <c:strCache>
                <c:ptCount val="1"/>
                <c:pt idx="0">
                  <c:v>Return on Capital</c:v>
                </c:pt>
              </c:strCache>
            </c:strRef>
          </c:tx>
          <c:invertIfNegative val="0"/>
          <c:cat>
            <c:multiLvlStrRef>
              <c:f>CoalParams!$H$81:$P$83</c:f>
              <c:multiLvlStrCache>
                <c:ptCount val="9"/>
                <c:lvl>
                  <c:pt idx="0">
                    <c:v>Exist-minemouth</c:v>
                  </c:pt>
                  <c:pt idx="1">
                    <c:v>Exist-multi</c:v>
                  </c:pt>
                  <c:pt idx="2">
                    <c:v>New-Low</c:v>
                  </c:pt>
                  <c:pt idx="3">
                    <c:v>New-Med</c:v>
                  </c:pt>
                  <c:pt idx="4">
                    <c:v>New-High</c:v>
                  </c:pt>
                  <c:pt idx="5">
                    <c:v>Exist</c:v>
                  </c:pt>
                  <c:pt idx="6">
                    <c:v>New-Low</c:v>
                  </c:pt>
                  <c:pt idx="7">
                    <c:v>New-Med</c:v>
                  </c:pt>
                  <c:pt idx="8">
                    <c:v>New-High</c:v>
                  </c:pt>
                </c:lvl>
                <c:lvl>
                  <c:pt idx="0">
                    <c:v>MINCLE1</c:v>
                  </c:pt>
                  <c:pt idx="1">
                    <c:v>MINCLE2</c:v>
                  </c:pt>
                  <c:pt idx="2">
                    <c:v>MINCLN</c:v>
                  </c:pt>
                  <c:pt idx="5">
                    <c:v>MINCLE-A</c:v>
                  </c:pt>
                  <c:pt idx="6">
                    <c:v>MINCLN-A</c:v>
                  </c:pt>
                </c:lvl>
                <c:lvl>
                  <c:pt idx="0">
                    <c:v>Central Basin</c:v>
                  </c:pt>
                  <c:pt idx="5">
                    <c:v>Waterberg</c:v>
                  </c:pt>
                </c:lvl>
              </c:multiLvlStrCache>
            </c:multiLvlStrRef>
          </c:cat>
          <c:val>
            <c:numRef>
              <c:f>CoalParams!$H$87:$P$87</c:f>
              <c:numCache>
                <c:formatCode>0</c:formatCode>
                <c:ptCount val="9"/>
                <c:pt idx="0">
                  <c:v>21.616131761790172</c:v>
                </c:pt>
                <c:pt idx="1">
                  <c:v>21.616131761790172</c:v>
                </c:pt>
                <c:pt idx="2">
                  <c:v>147.91669366924452</c:v>
                </c:pt>
                <c:pt idx="3">
                  <c:v>184.64765924450677</c:v>
                </c:pt>
                <c:pt idx="4">
                  <c:v>241.89929188078202</c:v>
                </c:pt>
                <c:pt idx="5" formatCode="0.0">
                  <c:v>33.077149124444503</c:v>
                </c:pt>
                <c:pt idx="6" formatCode="0.0">
                  <c:v>58.600875907214373</c:v>
                </c:pt>
                <c:pt idx="7" formatCode="0.0">
                  <c:v>76.871606843598116</c:v>
                </c:pt>
                <c:pt idx="8" formatCode="0.0">
                  <c:v>95.834418914517443</c:v>
                </c:pt>
              </c:numCache>
            </c:numRef>
          </c:val>
        </c:ser>
        <c:ser>
          <c:idx val="4"/>
          <c:order val="4"/>
          <c:tx>
            <c:strRef>
              <c:f>CoalParams!$G$88</c:f>
              <c:strCache>
                <c:ptCount val="1"/>
                <c:pt idx="0">
                  <c:v>Acid mine drainage</c:v>
                </c:pt>
              </c:strCache>
            </c:strRef>
          </c:tx>
          <c:invertIfNegative val="0"/>
          <c:cat>
            <c:multiLvlStrRef>
              <c:f>CoalParams!$H$81:$P$83</c:f>
              <c:multiLvlStrCache>
                <c:ptCount val="9"/>
                <c:lvl>
                  <c:pt idx="0">
                    <c:v>Exist-minemouth</c:v>
                  </c:pt>
                  <c:pt idx="1">
                    <c:v>Exist-multi</c:v>
                  </c:pt>
                  <c:pt idx="2">
                    <c:v>New-Low</c:v>
                  </c:pt>
                  <c:pt idx="3">
                    <c:v>New-Med</c:v>
                  </c:pt>
                  <c:pt idx="4">
                    <c:v>New-High</c:v>
                  </c:pt>
                  <c:pt idx="5">
                    <c:v>Exist</c:v>
                  </c:pt>
                  <c:pt idx="6">
                    <c:v>New-Low</c:v>
                  </c:pt>
                  <c:pt idx="7">
                    <c:v>New-Med</c:v>
                  </c:pt>
                  <c:pt idx="8">
                    <c:v>New-High</c:v>
                  </c:pt>
                </c:lvl>
                <c:lvl>
                  <c:pt idx="0">
                    <c:v>MINCLE1</c:v>
                  </c:pt>
                  <c:pt idx="1">
                    <c:v>MINCLE2</c:v>
                  </c:pt>
                  <c:pt idx="2">
                    <c:v>MINCLN</c:v>
                  </c:pt>
                  <c:pt idx="5">
                    <c:v>MINCLE-A</c:v>
                  </c:pt>
                  <c:pt idx="6">
                    <c:v>MINCLN-A</c:v>
                  </c:pt>
                </c:lvl>
                <c:lvl>
                  <c:pt idx="0">
                    <c:v>Central Basin</c:v>
                  </c:pt>
                  <c:pt idx="5">
                    <c:v>Waterberg</c:v>
                  </c:pt>
                </c:lvl>
              </c:multiLvlStrCache>
            </c:multiLvlStrRef>
          </c:cat>
          <c:val>
            <c:numRef>
              <c:f>CoalParams!$H$88:$P$88</c:f>
              <c:numCache>
                <c:formatCode>General</c:formatCode>
                <c:ptCount val="9"/>
                <c:pt idx="0">
                  <c:v>0</c:v>
                </c:pt>
                <c:pt idx="1">
                  <c:v>0</c:v>
                </c:pt>
                <c:pt idx="2">
                  <c:v>10</c:v>
                </c:pt>
                <c:pt idx="3">
                  <c:v>30</c:v>
                </c:pt>
                <c:pt idx="4">
                  <c:v>50</c:v>
                </c:pt>
                <c:pt idx="5">
                  <c:v>0</c:v>
                </c:pt>
                <c:pt idx="6">
                  <c:v>10</c:v>
                </c:pt>
                <c:pt idx="7">
                  <c:v>50</c:v>
                </c:pt>
                <c:pt idx="8">
                  <c:v>50</c:v>
                </c:pt>
              </c:numCache>
            </c:numRef>
          </c:val>
        </c:ser>
        <c:dLbls>
          <c:showLegendKey val="0"/>
          <c:showVal val="0"/>
          <c:showCatName val="0"/>
          <c:showSerName val="0"/>
          <c:showPercent val="0"/>
          <c:showBubbleSize val="0"/>
        </c:dLbls>
        <c:gapWidth val="150"/>
        <c:overlap val="100"/>
        <c:axId val="410370048"/>
        <c:axId val="410371584"/>
      </c:barChart>
      <c:catAx>
        <c:axId val="410370048"/>
        <c:scaling>
          <c:orientation val="minMax"/>
        </c:scaling>
        <c:delete val="0"/>
        <c:axPos val="b"/>
        <c:majorTickMark val="out"/>
        <c:minorTickMark val="none"/>
        <c:tickLblPos val="nextTo"/>
        <c:crossAx val="410371584"/>
        <c:crosses val="autoZero"/>
        <c:auto val="1"/>
        <c:lblAlgn val="ctr"/>
        <c:lblOffset val="100"/>
        <c:noMultiLvlLbl val="0"/>
      </c:catAx>
      <c:valAx>
        <c:axId val="410371584"/>
        <c:scaling>
          <c:orientation val="minMax"/>
        </c:scaling>
        <c:delete val="0"/>
        <c:axPos val="l"/>
        <c:majorGridlines/>
        <c:title>
          <c:tx>
            <c:rich>
              <a:bodyPr rot="-5400000" vert="horz"/>
              <a:lstStyle/>
              <a:p>
                <a:pPr>
                  <a:defRPr/>
                </a:pPr>
                <a:r>
                  <a:rPr lang="en-ZA"/>
                  <a:t>2012 R/ron</a:t>
                </a:r>
              </a:p>
            </c:rich>
          </c:tx>
          <c:layout/>
          <c:overlay val="0"/>
        </c:title>
        <c:numFmt formatCode="0" sourceLinked="1"/>
        <c:majorTickMark val="out"/>
        <c:minorTickMark val="none"/>
        <c:tickLblPos val="nextTo"/>
        <c:crossAx val="41037004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18" Type="http://schemas.openxmlformats.org/officeDocument/2006/relationships/image" Target="../media/image17.png"/><Relationship Id="rId3" Type="http://schemas.openxmlformats.org/officeDocument/2006/relationships/image" Target="../media/image3.emf"/><Relationship Id="rId21" Type="http://schemas.openxmlformats.org/officeDocument/2006/relationships/image" Target="../media/image20.emf"/><Relationship Id="rId7" Type="http://schemas.openxmlformats.org/officeDocument/2006/relationships/image" Target="../media/image6.jpeg"/><Relationship Id="rId12" Type="http://schemas.openxmlformats.org/officeDocument/2006/relationships/image" Target="../media/image11.png"/><Relationship Id="rId17" Type="http://schemas.openxmlformats.org/officeDocument/2006/relationships/image" Target="../media/image16.emf"/><Relationship Id="rId2" Type="http://schemas.openxmlformats.org/officeDocument/2006/relationships/image" Target="../media/image2.emf"/><Relationship Id="rId16" Type="http://schemas.openxmlformats.org/officeDocument/2006/relationships/image" Target="../media/image15.emf"/><Relationship Id="rId20" Type="http://schemas.openxmlformats.org/officeDocument/2006/relationships/image" Target="../media/image19.emf"/><Relationship Id="rId1" Type="http://schemas.openxmlformats.org/officeDocument/2006/relationships/image" Target="../media/image1.emf"/><Relationship Id="rId6" Type="http://schemas.openxmlformats.org/officeDocument/2006/relationships/chart" Target="../charts/chart1.xml"/><Relationship Id="rId11" Type="http://schemas.openxmlformats.org/officeDocument/2006/relationships/image" Target="../media/image10.png"/><Relationship Id="rId5" Type="http://schemas.openxmlformats.org/officeDocument/2006/relationships/image" Target="../media/image5.emf"/><Relationship Id="rId15" Type="http://schemas.openxmlformats.org/officeDocument/2006/relationships/image" Target="../media/image14.emf"/><Relationship Id="rId10" Type="http://schemas.openxmlformats.org/officeDocument/2006/relationships/image" Target="../media/image9.emf"/><Relationship Id="rId19" Type="http://schemas.openxmlformats.org/officeDocument/2006/relationships/image" Target="../media/image18.png"/><Relationship Id="rId4" Type="http://schemas.openxmlformats.org/officeDocument/2006/relationships/image" Target="../media/image4.emf"/><Relationship Id="rId9" Type="http://schemas.openxmlformats.org/officeDocument/2006/relationships/image" Target="../media/image8.emf"/><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chart" Target="../charts/chart2.xml"/><Relationship Id="rId1" Type="http://schemas.openxmlformats.org/officeDocument/2006/relationships/image" Target="../media/image21.jpg"/><Relationship Id="rId5" Type="http://schemas.openxmlformats.org/officeDocument/2006/relationships/chart" Target="../charts/chart3.xml"/><Relationship Id="rId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10</xdr:col>
      <xdr:colOff>425450</xdr:colOff>
      <xdr:row>20</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736600"/>
          <a:ext cx="4692650" cy="298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11</xdr:col>
      <xdr:colOff>389591</xdr:colOff>
      <xdr:row>17</xdr:row>
      <xdr:rowOff>63500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736600"/>
          <a:ext cx="3170891"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293688</xdr:colOff>
      <xdr:row>3</xdr:row>
      <xdr:rowOff>174625</xdr:rowOff>
    </xdr:from>
    <xdr:to>
      <xdr:col>15</xdr:col>
      <xdr:colOff>95250</xdr:colOff>
      <xdr:row>17</xdr:row>
      <xdr:rowOff>87313</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89688" y="727075"/>
          <a:ext cx="3192462" cy="249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14</xdr:col>
      <xdr:colOff>387350</xdr:colOff>
      <xdr:row>32</xdr:row>
      <xdr:rowOff>171450</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3498850"/>
          <a:ext cx="3168650" cy="256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14</xdr:col>
      <xdr:colOff>438150</xdr:colOff>
      <xdr:row>48</xdr:row>
      <xdr:rowOff>152400</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0" y="6445250"/>
          <a:ext cx="3219450" cy="254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358775</xdr:colOff>
      <xdr:row>4</xdr:row>
      <xdr:rowOff>107950</xdr:rowOff>
    </xdr:from>
    <xdr:to>
      <xdr:col>7</xdr:col>
      <xdr:colOff>0</xdr:colOff>
      <xdr:row>19</xdr:row>
      <xdr:rowOff>76200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0</xdr:colOff>
      <xdr:row>20</xdr:row>
      <xdr:rowOff>38100</xdr:rowOff>
    </xdr:from>
    <xdr:to>
      <xdr:col>12</xdr:col>
      <xdr:colOff>113553</xdr:colOff>
      <xdr:row>34</xdr:row>
      <xdr:rowOff>88900</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67200" y="3721100"/>
          <a:ext cx="3504453" cy="2628900"/>
        </a:xfrm>
        <a:prstGeom prst="rect">
          <a:avLst/>
        </a:prstGeom>
      </xdr:spPr>
    </xdr:pic>
    <xdr:clientData/>
  </xdr:twoCellAnchor>
  <xdr:twoCellAnchor editAs="oneCell">
    <xdr:from>
      <xdr:col>10</xdr:col>
      <xdr:colOff>0</xdr:colOff>
      <xdr:row>63</xdr:row>
      <xdr:rowOff>120650</xdr:rowOff>
    </xdr:from>
    <xdr:to>
      <xdr:col>14</xdr:col>
      <xdr:colOff>438150</xdr:colOff>
      <xdr:row>77</xdr:row>
      <xdr:rowOff>57150</xdr:rowOff>
    </xdr:to>
    <xdr:pic>
      <xdr:nvPicPr>
        <xdr:cNvPr id="9"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000" y="11722100"/>
          <a:ext cx="3219450"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72573</xdr:colOff>
      <xdr:row>2</xdr:row>
      <xdr:rowOff>72572</xdr:rowOff>
    </xdr:from>
    <xdr:to>
      <xdr:col>32</xdr:col>
      <xdr:colOff>167823</xdr:colOff>
      <xdr:row>28</xdr:row>
      <xdr:rowOff>142422</xdr:rowOff>
    </xdr:to>
    <xdr:pic>
      <xdr:nvPicPr>
        <xdr:cNvPr id="10"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217073" y="440872"/>
          <a:ext cx="6800850"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127001</xdr:colOff>
      <xdr:row>18</xdr:row>
      <xdr:rowOff>122464</xdr:rowOff>
    </xdr:from>
    <xdr:to>
      <xdr:col>20</xdr:col>
      <xdr:colOff>577850</xdr:colOff>
      <xdr:row>34</xdr:row>
      <xdr:rowOff>25400</xdr:rowOff>
    </xdr:to>
    <xdr:pic>
      <xdr:nvPicPr>
        <xdr:cNvPr id="11"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613901" y="3437164"/>
          <a:ext cx="3498849" cy="2849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142875</xdr:colOff>
      <xdr:row>10</xdr:row>
      <xdr:rowOff>0</xdr:rowOff>
    </xdr:from>
    <xdr:to>
      <xdr:col>11</xdr:col>
      <xdr:colOff>534459</xdr:colOff>
      <xdr:row>11</xdr:row>
      <xdr:rowOff>31750</xdr:rowOff>
    </xdr:to>
    <xdr:sp macro="" textlink="">
      <xdr:nvSpPr>
        <xdr:cNvPr id="12" name="Oval 11"/>
        <xdr:cNvSpPr/>
      </xdr:nvSpPr>
      <xdr:spPr>
        <a:xfrm>
          <a:off x="7191375" y="1841500"/>
          <a:ext cx="391584" cy="215900"/>
        </a:xfrm>
        <a:prstGeom prst="ellipse">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ZA" sz="1100"/>
        </a:p>
      </xdr:txBody>
    </xdr:sp>
    <xdr:clientData/>
  </xdr:twoCellAnchor>
  <xdr:twoCellAnchor>
    <xdr:from>
      <xdr:col>9</xdr:col>
      <xdr:colOff>195792</xdr:colOff>
      <xdr:row>10</xdr:row>
      <xdr:rowOff>108480</xdr:rowOff>
    </xdr:from>
    <xdr:to>
      <xdr:col>11</xdr:col>
      <xdr:colOff>142875</xdr:colOff>
      <xdr:row>11</xdr:row>
      <xdr:rowOff>58208</xdr:rowOff>
    </xdr:to>
    <xdr:cxnSp macro="">
      <xdr:nvCxnSpPr>
        <xdr:cNvPr id="13" name="Straight Arrow Connector 12"/>
        <xdr:cNvCxnSpPr>
          <a:endCxn id="12" idx="2"/>
        </xdr:cNvCxnSpPr>
      </xdr:nvCxnSpPr>
      <xdr:spPr>
        <a:xfrm flipV="1">
          <a:off x="5682192" y="1949980"/>
          <a:ext cx="1509183" cy="13387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534459</xdr:colOff>
      <xdr:row>10</xdr:row>
      <xdr:rowOff>108480</xdr:rowOff>
    </xdr:from>
    <xdr:to>
      <xdr:col>26</xdr:col>
      <xdr:colOff>232834</xdr:colOff>
      <xdr:row>16</xdr:row>
      <xdr:rowOff>174625</xdr:rowOff>
    </xdr:to>
    <xdr:cxnSp macro="">
      <xdr:nvCxnSpPr>
        <xdr:cNvPr id="14" name="Straight Arrow Connector 13"/>
        <xdr:cNvCxnSpPr>
          <a:stCxn id="12" idx="6"/>
        </xdr:cNvCxnSpPr>
      </xdr:nvCxnSpPr>
      <xdr:spPr>
        <a:xfrm>
          <a:off x="7582959" y="1949980"/>
          <a:ext cx="8842375" cy="1171045"/>
        </a:xfrm>
        <a:prstGeom prst="straightConnector1">
          <a:avLst/>
        </a:prstGeom>
        <a:ln>
          <a:headEnd type="arrow"/>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349250</xdr:colOff>
      <xdr:row>8</xdr:row>
      <xdr:rowOff>26458</xdr:rowOff>
    </xdr:from>
    <xdr:to>
      <xdr:col>29</xdr:col>
      <xdr:colOff>317500</xdr:colOff>
      <xdr:row>14</xdr:row>
      <xdr:rowOff>74083</xdr:rowOff>
    </xdr:to>
    <xdr:cxnSp macro="">
      <xdr:nvCxnSpPr>
        <xdr:cNvPr id="15" name="Straight Arrow Connector 14"/>
        <xdr:cNvCxnSpPr/>
      </xdr:nvCxnSpPr>
      <xdr:spPr>
        <a:xfrm flipH="1" flipV="1">
          <a:off x="8007350" y="1499658"/>
          <a:ext cx="10331450" cy="1152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455083</xdr:colOff>
      <xdr:row>11</xdr:row>
      <xdr:rowOff>10583</xdr:rowOff>
    </xdr:from>
    <xdr:to>
      <xdr:col>27</xdr:col>
      <xdr:colOff>254000</xdr:colOff>
      <xdr:row>19</xdr:row>
      <xdr:rowOff>148167</xdr:rowOff>
    </xdr:to>
    <xdr:cxnSp macro="">
      <xdr:nvCxnSpPr>
        <xdr:cNvPr id="16" name="Straight Arrow Connector 15"/>
        <xdr:cNvCxnSpPr/>
      </xdr:nvCxnSpPr>
      <xdr:spPr>
        <a:xfrm flipH="1" flipV="1">
          <a:off x="8722783" y="2036233"/>
          <a:ext cx="8333317" cy="161078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285750</xdr:colOff>
      <xdr:row>6</xdr:row>
      <xdr:rowOff>95250</xdr:rowOff>
    </xdr:from>
    <xdr:to>
      <xdr:col>30</xdr:col>
      <xdr:colOff>343958</xdr:colOff>
      <xdr:row>19</xdr:row>
      <xdr:rowOff>148167</xdr:rowOff>
    </xdr:to>
    <xdr:cxnSp macro="">
      <xdr:nvCxnSpPr>
        <xdr:cNvPr id="17" name="Straight Arrow Connector 16"/>
        <xdr:cNvCxnSpPr/>
      </xdr:nvCxnSpPr>
      <xdr:spPr>
        <a:xfrm flipH="1" flipV="1">
          <a:off x="9163050" y="1200150"/>
          <a:ext cx="9811808" cy="24468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164041</xdr:colOff>
      <xdr:row>8</xdr:row>
      <xdr:rowOff>132291</xdr:rowOff>
    </xdr:from>
    <xdr:to>
      <xdr:col>27</xdr:col>
      <xdr:colOff>465667</xdr:colOff>
      <xdr:row>9</xdr:row>
      <xdr:rowOff>63500</xdr:rowOff>
    </xdr:to>
    <xdr:sp macro="" textlink="">
      <xdr:nvSpPr>
        <xdr:cNvPr id="18" name="Oval 17"/>
        <xdr:cNvSpPr/>
      </xdr:nvSpPr>
      <xdr:spPr>
        <a:xfrm>
          <a:off x="15746941" y="1605491"/>
          <a:ext cx="1520826" cy="115359"/>
        </a:xfrm>
        <a:prstGeom prst="ellipse">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ZA" sz="1100"/>
        </a:p>
      </xdr:txBody>
    </xdr:sp>
    <xdr:clientData/>
  </xdr:twoCellAnchor>
  <xdr:twoCellAnchor>
    <xdr:from>
      <xdr:col>5</xdr:col>
      <xdr:colOff>0</xdr:colOff>
      <xdr:row>9</xdr:row>
      <xdr:rowOff>5292</xdr:rowOff>
    </xdr:from>
    <xdr:to>
      <xdr:col>25</xdr:col>
      <xdr:colOff>164041</xdr:colOff>
      <xdr:row>25</xdr:row>
      <xdr:rowOff>95250</xdr:rowOff>
    </xdr:to>
    <xdr:cxnSp macro="">
      <xdr:nvCxnSpPr>
        <xdr:cNvPr id="19" name="Straight Arrow Connector 18"/>
        <xdr:cNvCxnSpPr>
          <a:stCxn id="18" idx="2"/>
        </xdr:cNvCxnSpPr>
      </xdr:nvCxnSpPr>
      <xdr:spPr>
        <a:xfrm flipH="1">
          <a:off x="3048000" y="1662642"/>
          <a:ext cx="12698941" cy="303635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88900</xdr:colOff>
      <xdr:row>9</xdr:row>
      <xdr:rowOff>14817</xdr:rowOff>
    </xdr:from>
    <xdr:to>
      <xdr:col>32</xdr:col>
      <xdr:colOff>42334</xdr:colOff>
      <xdr:row>9</xdr:row>
      <xdr:rowOff>153458</xdr:rowOff>
    </xdr:to>
    <xdr:sp macro="" textlink="">
      <xdr:nvSpPr>
        <xdr:cNvPr id="20" name="Oval 19"/>
        <xdr:cNvSpPr/>
      </xdr:nvSpPr>
      <xdr:spPr>
        <a:xfrm>
          <a:off x="16281400" y="1672167"/>
          <a:ext cx="3611034" cy="138641"/>
        </a:xfrm>
        <a:prstGeom prst="ellipse">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ZA" sz="1100"/>
        </a:p>
      </xdr:txBody>
    </xdr:sp>
    <xdr:clientData/>
  </xdr:twoCellAnchor>
  <xdr:twoCellAnchor>
    <xdr:from>
      <xdr:col>9</xdr:col>
      <xdr:colOff>0</xdr:colOff>
      <xdr:row>9</xdr:row>
      <xdr:rowOff>84138</xdr:rowOff>
    </xdr:from>
    <xdr:to>
      <xdr:col>26</xdr:col>
      <xdr:colOff>88900</xdr:colOff>
      <xdr:row>25</xdr:row>
      <xdr:rowOff>84667</xdr:rowOff>
    </xdr:to>
    <xdr:cxnSp macro="">
      <xdr:nvCxnSpPr>
        <xdr:cNvPr id="21" name="Straight Arrow Connector 20"/>
        <xdr:cNvCxnSpPr>
          <a:stCxn id="20" idx="2"/>
        </xdr:cNvCxnSpPr>
      </xdr:nvCxnSpPr>
      <xdr:spPr>
        <a:xfrm flipH="1">
          <a:off x="5486400" y="1741488"/>
          <a:ext cx="10795000" cy="294692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328083</xdr:colOff>
      <xdr:row>10</xdr:row>
      <xdr:rowOff>174625</xdr:rowOff>
    </xdr:from>
    <xdr:to>
      <xdr:col>13</xdr:col>
      <xdr:colOff>296333</xdr:colOff>
      <xdr:row>24</xdr:row>
      <xdr:rowOff>84667</xdr:rowOff>
    </xdr:to>
    <xdr:cxnSp macro="">
      <xdr:nvCxnSpPr>
        <xdr:cNvPr id="22" name="Straight Arrow Connector 21"/>
        <xdr:cNvCxnSpPr/>
      </xdr:nvCxnSpPr>
      <xdr:spPr>
        <a:xfrm flipH="1">
          <a:off x="4595283" y="2016125"/>
          <a:ext cx="3968750" cy="248814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10581</xdr:colOff>
      <xdr:row>9</xdr:row>
      <xdr:rowOff>111125</xdr:rowOff>
    </xdr:from>
    <xdr:to>
      <xdr:col>32</xdr:col>
      <xdr:colOff>132291</xdr:colOff>
      <xdr:row>10</xdr:row>
      <xdr:rowOff>64558</xdr:rowOff>
    </xdr:to>
    <xdr:sp macro="" textlink="">
      <xdr:nvSpPr>
        <xdr:cNvPr id="23" name="Oval 22"/>
        <xdr:cNvSpPr/>
      </xdr:nvSpPr>
      <xdr:spPr>
        <a:xfrm>
          <a:off x="15593481" y="1768475"/>
          <a:ext cx="4388910" cy="137583"/>
        </a:xfrm>
        <a:prstGeom prst="ellipse">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ZA" sz="1100"/>
        </a:p>
      </xdr:txBody>
    </xdr:sp>
    <xdr:clientData/>
  </xdr:twoCellAnchor>
  <xdr:twoCellAnchor>
    <xdr:from>
      <xdr:col>9</xdr:col>
      <xdr:colOff>0</xdr:colOff>
      <xdr:row>9</xdr:row>
      <xdr:rowOff>105833</xdr:rowOff>
    </xdr:from>
    <xdr:to>
      <xdr:col>28</xdr:col>
      <xdr:colOff>375707</xdr:colOff>
      <xdr:row>10</xdr:row>
      <xdr:rowOff>64558</xdr:rowOff>
    </xdr:to>
    <xdr:cxnSp macro="">
      <xdr:nvCxnSpPr>
        <xdr:cNvPr id="24" name="Straight Arrow Connector 23"/>
        <xdr:cNvCxnSpPr>
          <a:stCxn id="23" idx="4"/>
        </xdr:cNvCxnSpPr>
      </xdr:nvCxnSpPr>
      <xdr:spPr>
        <a:xfrm flipH="1" flipV="1">
          <a:off x="5486400" y="1763183"/>
          <a:ext cx="12301007" cy="142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0</xdr:colOff>
      <xdr:row>2</xdr:row>
      <xdr:rowOff>0</xdr:rowOff>
    </xdr:from>
    <xdr:to>
      <xdr:col>41</xdr:col>
      <xdr:colOff>198438</xdr:colOff>
      <xdr:row>12</xdr:row>
      <xdr:rowOff>103187</xdr:rowOff>
    </xdr:to>
    <xdr:pic>
      <xdr:nvPicPr>
        <xdr:cNvPr id="25" name="Picture 24"/>
        <xdr:cNvPicPr>
          <a:picLocks noChangeAspect="1" noChangeArrowheads="1"/>
        </xdr:cNvPicPr>
      </xdr:nvPicPr>
      <xdr:blipFill>
        <a:blip xmlns:r="http://schemas.openxmlformats.org/officeDocument/2006/relationships" r:embed="rId11" cstate="print"/>
        <a:srcRect/>
        <a:stretch>
          <a:fillRect/>
        </a:stretch>
      </xdr:blipFill>
      <xdr:spPr bwMode="auto">
        <a:xfrm>
          <a:off x="21678900" y="368300"/>
          <a:ext cx="3856038" cy="1944687"/>
        </a:xfrm>
        <a:prstGeom prst="rect">
          <a:avLst/>
        </a:prstGeom>
        <a:noFill/>
        <a:ln w="9525">
          <a:solidFill>
            <a:schemeClr val="bg1">
              <a:lumMod val="65000"/>
              <a:alpha val="49000"/>
            </a:schemeClr>
          </a:solidFill>
          <a:miter lim="800000"/>
          <a:headEnd/>
          <a:tailEnd/>
        </a:ln>
        <a:effectLst/>
        <a:extLst/>
      </xdr:spPr>
    </xdr:pic>
    <xdr:clientData/>
  </xdr:twoCellAnchor>
  <xdr:twoCellAnchor editAs="oneCell">
    <xdr:from>
      <xdr:col>43</xdr:col>
      <xdr:colOff>0</xdr:colOff>
      <xdr:row>2</xdr:row>
      <xdr:rowOff>0</xdr:rowOff>
    </xdr:from>
    <xdr:to>
      <xdr:col>49</xdr:col>
      <xdr:colOff>193675</xdr:colOff>
      <xdr:row>14</xdr:row>
      <xdr:rowOff>69850</xdr:rowOff>
    </xdr:to>
    <xdr:pic>
      <xdr:nvPicPr>
        <xdr:cNvPr id="26" name="Picture 25"/>
        <xdr:cNvPicPr>
          <a:picLocks noChangeAspect="1" noChangeArrowheads="1"/>
        </xdr:cNvPicPr>
      </xdr:nvPicPr>
      <xdr:blipFill>
        <a:blip xmlns:r="http://schemas.openxmlformats.org/officeDocument/2006/relationships" r:embed="rId12" cstate="print"/>
        <a:srcRect/>
        <a:stretch>
          <a:fillRect/>
        </a:stretch>
      </xdr:blipFill>
      <xdr:spPr bwMode="auto">
        <a:xfrm>
          <a:off x="26555700" y="368300"/>
          <a:ext cx="3851275" cy="2279650"/>
        </a:xfrm>
        <a:prstGeom prst="rect">
          <a:avLst/>
        </a:prstGeom>
        <a:noFill/>
        <a:ln w="9525">
          <a:solidFill>
            <a:schemeClr val="bg1">
              <a:lumMod val="65000"/>
              <a:alpha val="49000"/>
            </a:schemeClr>
          </a:solidFill>
          <a:miter lim="800000"/>
          <a:headEnd/>
          <a:tailEnd/>
        </a:ln>
        <a:effectLst/>
        <a:extLst/>
      </xdr:spPr>
    </xdr:pic>
    <xdr:clientData/>
  </xdr:twoCellAnchor>
  <xdr:twoCellAnchor editAs="oneCell">
    <xdr:from>
      <xdr:col>51</xdr:col>
      <xdr:colOff>0</xdr:colOff>
      <xdr:row>3</xdr:row>
      <xdr:rowOff>0</xdr:rowOff>
    </xdr:from>
    <xdr:to>
      <xdr:col>61</xdr:col>
      <xdr:colOff>527051</xdr:colOff>
      <xdr:row>15</xdr:row>
      <xdr:rowOff>171450</xdr:rowOff>
    </xdr:to>
    <xdr:pic>
      <xdr:nvPicPr>
        <xdr:cNvPr id="27" name="Picture 2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432500" y="552450"/>
          <a:ext cx="6623051"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36</xdr:row>
      <xdr:rowOff>0</xdr:rowOff>
    </xdr:from>
    <xdr:to>
      <xdr:col>12</xdr:col>
      <xdr:colOff>395941</xdr:colOff>
      <xdr:row>43</xdr:row>
      <xdr:rowOff>181156</xdr:rowOff>
    </xdr:to>
    <xdr:pic>
      <xdr:nvPicPr>
        <xdr:cNvPr id="28" name="Picture 27"/>
        <xdr:cNvPicPr>
          <a:picLocks noChangeAspect="1"/>
        </xdr:cNvPicPr>
      </xdr:nvPicPr>
      <xdr:blipFill>
        <a:blip xmlns:r="http://schemas.openxmlformats.org/officeDocument/2006/relationships" r:embed="rId14"/>
        <a:stretch>
          <a:fillRect/>
        </a:stretch>
      </xdr:blipFill>
      <xdr:spPr>
        <a:xfrm>
          <a:off x="4267200" y="6629400"/>
          <a:ext cx="3786841" cy="1470206"/>
        </a:xfrm>
        <a:prstGeom prst="rect">
          <a:avLst/>
        </a:prstGeom>
      </xdr:spPr>
    </xdr:pic>
    <xdr:clientData/>
  </xdr:twoCellAnchor>
  <xdr:twoCellAnchor editAs="oneCell">
    <xdr:from>
      <xdr:col>51</xdr:col>
      <xdr:colOff>0</xdr:colOff>
      <xdr:row>19</xdr:row>
      <xdr:rowOff>0</xdr:rowOff>
    </xdr:from>
    <xdr:to>
      <xdr:col>56</xdr:col>
      <xdr:colOff>146050</xdr:colOff>
      <xdr:row>32</xdr:row>
      <xdr:rowOff>114300</xdr:rowOff>
    </xdr:to>
    <xdr:pic>
      <xdr:nvPicPr>
        <xdr:cNvPr id="29" name="Picture 28"/>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1432500" y="3498850"/>
          <a:ext cx="3194050" cy="25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31750</xdr:colOff>
      <xdr:row>64</xdr:row>
      <xdr:rowOff>50800</xdr:rowOff>
    </xdr:from>
    <xdr:to>
      <xdr:col>11</xdr:col>
      <xdr:colOff>497541</xdr:colOff>
      <xdr:row>75</xdr:row>
      <xdr:rowOff>133350</xdr:rowOff>
    </xdr:to>
    <xdr:pic>
      <xdr:nvPicPr>
        <xdr:cNvPr id="30" name="Picture 2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908550" y="11836400"/>
          <a:ext cx="2637491" cy="210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109</xdr:row>
      <xdr:rowOff>0</xdr:rowOff>
    </xdr:from>
    <xdr:to>
      <xdr:col>12</xdr:col>
      <xdr:colOff>541990</xdr:colOff>
      <xdr:row>120</xdr:row>
      <xdr:rowOff>158750</xdr:rowOff>
    </xdr:to>
    <xdr:pic>
      <xdr:nvPicPr>
        <xdr:cNvPr id="31" name="Picture 3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86400" y="20072350"/>
          <a:ext cx="2713690"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0</xdr:colOff>
      <xdr:row>2</xdr:row>
      <xdr:rowOff>0</xdr:rowOff>
    </xdr:from>
    <xdr:to>
      <xdr:col>76</xdr:col>
      <xdr:colOff>175539</xdr:colOff>
      <xdr:row>11</xdr:row>
      <xdr:rowOff>34437</xdr:rowOff>
    </xdr:to>
    <xdr:pic>
      <xdr:nvPicPr>
        <xdr:cNvPr id="32" name="Picture 3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3624500" y="368300"/>
          <a:ext cx="3223539" cy="1691787"/>
        </a:xfrm>
        <a:prstGeom prst="rect">
          <a:avLst/>
        </a:prstGeom>
      </xdr:spPr>
    </xdr:pic>
    <xdr:clientData/>
  </xdr:twoCellAnchor>
  <xdr:twoCellAnchor editAs="oneCell">
    <xdr:from>
      <xdr:col>24</xdr:col>
      <xdr:colOff>0</xdr:colOff>
      <xdr:row>127</xdr:row>
      <xdr:rowOff>0</xdr:rowOff>
    </xdr:from>
    <xdr:to>
      <xdr:col>37</xdr:col>
      <xdr:colOff>5153</xdr:colOff>
      <xdr:row>159</xdr:row>
      <xdr:rowOff>134471</xdr:rowOff>
    </xdr:to>
    <xdr:pic>
      <xdr:nvPicPr>
        <xdr:cNvPr id="33" name="Picture 32"/>
        <xdr:cNvPicPr>
          <a:picLocks noChangeAspect="1"/>
        </xdr:cNvPicPr>
      </xdr:nvPicPr>
      <xdr:blipFill>
        <a:blip xmlns:r="http://schemas.openxmlformats.org/officeDocument/2006/relationships" r:embed="rId19"/>
        <a:stretch>
          <a:fillRect/>
        </a:stretch>
      </xdr:blipFill>
      <xdr:spPr>
        <a:xfrm>
          <a:off x="14973300" y="23387050"/>
          <a:ext cx="7929953" cy="6027271"/>
        </a:xfrm>
        <a:prstGeom prst="rect">
          <a:avLst/>
        </a:prstGeom>
      </xdr:spPr>
    </xdr:pic>
    <xdr:clientData/>
  </xdr:twoCellAnchor>
  <xdr:twoCellAnchor editAs="oneCell">
    <xdr:from>
      <xdr:col>1</xdr:col>
      <xdr:colOff>0</xdr:colOff>
      <xdr:row>155</xdr:row>
      <xdr:rowOff>0</xdr:rowOff>
    </xdr:from>
    <xdr:to>
      <xdr:col>5</xdr:col>
      <xdr:colOff>171450</xdr:colOff>
      <xdr:row>157</xdr:row>
      <xdr:rowOff>127000</xdr:rowOff>
    </xdr:to>
    <xdr:pic>
      <xdr:nvPicPr>
        <xdr:cNvPr id="34" name="Picture 33"/>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09600" y="28543250"/>
          <a:ext cx="260985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164</xdr:row>
      <xdr:rowOff>0</xdr:rowOff>
    </xdr:from>
    <xdr:to>
      <xdr:col>29</xdr:col>
      <xdr:colOff>577850</xdr:colOff>
      <xdr:row>179</xdr:row>
      <xdr:rowOff>120650</xdr:rowOff>
    </xdr:to>
    <xdr:pic>
      <xdr:nvPicPr>
        <xdr:cNvPr id="35" name="Picture 34"/>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144500" y="30200600"/>
          <a:ext cx="5454650" cy="288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20</xdr:col>
      <xdr:colOff>203200</xdr:colOff>
      <xdr:row>37</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59350" y="736600"/>
          <a:ext cx="8128000" cy="6096000"/>
        </a:xfrm>
        <a:prstGeom prst="rect">
          <a:avLst/>
        </a:prstGeom>
        <a:solidFill>
          <a:schemeClr val="lt1"/>
        </a:solidFill>
      </xdr:spPr>
    </xdr:pic>
    <xdr:clientData/>
  </xdr:twoCellAnchor>
  <xdr:twoCellAnchor>
    <xdr:from>
      <xdr:col>8</xdr:col>
      <xdr:colOff>222250</xdr:colOff>
      <xdr:row>7</xdr:row>
      <xdr:rowOff>150812</xdr:rowOff>
    </xdr:from>
    <xdr:to>
      <xdr:col>18</xdr:col>
      <xdr:colOff>182563</xdr:colOff>
      <xdr:row>24</xdr:row>
      <xdr:rowOff>2381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21</xdr:col>
      <xdr:colOff>38100</xdr:colOff>
      <xdr:row>3</xdr:row>
      <xdr:rowOff>165100</xdr:rowOff>
    </xdr:from>
    <xdr:to>
      <xdr:col>34</xdr:col>
      <xdr:colOff>363138</xdr:colOff>
      <xdr:row>21</xdr:row>
      <xdr:rowOff>6350</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31850" y="717550"/>
          <a:ext cx="8160938" cy="315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285750</xdr:colOff>
      <xdr:row>10</xdr:row>
      <xdr:rowOff>133350</xdr:rowOff>
    </xdr:from>
    <xdr:to>
      <xdr:col>31</xdr:col>
      <xdr:colOff>552450</xdr:colOff>
      <xdr:row>16</xdr:row>
      <xdr:rowOff>95250</xdr:rowOff>
    </xdr:to>
    <xdr:cxnSp macro="">
      <xdr:nvCxnSpPr>
        <xdr:cNvPr id="5" name="Straight Connector 4"/>
        <xdr:cNvCxnSpPr/>
      </xdr:nvCxnSpPr>
      <xdr:spPr>
        <a:xfrm>
          <a:off x="17957800" y="1974850"/>
          <a:ext cx="2095500" cy="1066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565150</xdr:colOff>
      <xdr:row>16</xdr:row>
      <xdr:rowOff>101600</xdr:rowOff>
    </xdr:from>
    <xdr:to>
      <xdr:col>33</xdr:col>
      <xdr:colOff>393700</xdr:colOff>
      <xdr:row>16</xdr:row>
      <xdr:rowOff>101600</xdr:rowOff>
    </xdr:to>
    <xdr:cxnSp macro="">
      <xdr:nvCxnSpPr>
        <xdr:cNvPr id="6" name="Straight Connector 5"/>
        <xdr:cNvCxnSpPr/>
      </xdr:nvCxnSpPr>
      <xdr:spPr>
        <a:xfrm>
          <a:off x="20066000" y="3048000"/>
          <a:ext cx="1047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552450</xdr:colOff>
      <xdr:row>14</xdr:row>
      <xdr:rowOff>165100</xdr:rowOff>
    </xdr:from>
    <xdr:ext cx="938462" cy="264560"/>
    <xdr:sp macro="" textlink="">
      <xdr:nvSpPr>
        <xdr:cNvPr id="7" name="TextBox 6"/>
        <xdr:cNvSpPr txBox="1"/>
      </xdr:nvSpPr>
      <xdr:spPr>
        <a:xfrm>
          <a:off x="18224500" y="2743200"/>
          <a:ext cx="9384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100"/>
            <a:t>Central</a:t>
          </a:r>
          <a:r>
            <a:rPr lang="en-ZA" sz="1100" baseline="0"/>
            <a:t> Basin</a:t>
          </a:r>
          <a:endParaRPr lang="en-ZA" sz="1100"/>
        </a:p>
      </xdr:txBody>
    </xdr:sp>
    <xdr:clientData/>
  </xdr:oneCellAnchor>
  <xdr:oneCellAnchor>
    <xdr:from>
      <xdr:col>31</xdr:col>
      <xdr:colOff>565150</xdr:colOff>
      <xdr:row>14</xdr:row>
      <xdr:rowOff>114300</xdr:rowOff>
    </xdr:from>
    <xdr:ext cx="779701" cy="264560"/>
    <xdr:sp macro="" textlink="">
      <xdr:nvSpPr>
        <xdr:cNvPr id="8" name="TextBox 7"/>
        <xdr:cNvSpPr txBox="1"/>
      </xdr:nvSpPr>
      <xdr:spPr>
        <a:xfrm>
          <a:off x="20066000" y="2692400"/>
          <a:ext cx="7797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100"/>
            <a:t>waterberg</a:t>
          </a:r>
        </a:p>
      </xdr:txBody>
    </xdr:sp>
    <xdr:clientData/>
  </xdr:oneCellAnchor>
  <mc:AlternateContent xmlns:mc="http://schemas.openxmlformats.org/markup-compatibility/2006">
    <mc:Choice xmlns:a14="http://schemas.microsoft.com/office/drawing/2010/main" Requires="a14">
      <xdr:twoCellAnchor>
        <xdr:from>
          <xdr:col>18</xdr:col>
          <xdr:colOff>330200</xdr:colOff>
          <xdr:row>33</xdr:row>
          <xdr:rowOff>31750</xdr:rowOff>
        </xdr:from>
        <xdr:to>
          <xdr:col>19</xdr:col>
          <xdr:colOff>196850</xdr:colOff>
          <xdr:row>35</xdr:row>
          <xdr:rowOff>114300</xdr:rowOff>
        </xdr:to>
        <xdr:sp macro="" textlink="">
          <xdr:nvSpPr>
            <xdr:cNvPr id="2049" name="Label 1" hidden="1">
              <a:extLst>
                <a:ext uri="{63B3BB69-23CF-44E3-9099-C40C66FF867C}">
                  <a14:compatExt spid="_x0000_s2049"/>
                </a:ext>
              </a:extLst>
            </xdr:cNvPr>
            <xdr:cNvSpPr/>
          </xdr:nvSpPr>
          <xdr:spPr>
            <a:xfrm>
              <a:off x="0" y="0"/>
              <a:ext cx="0" cy="0"/>
            </a:xfrm>
            <a:prstGeom prst="rect">
              <a:avLst/>
            </a:prstGeom>
          </xdr:spPr>
          <xdr:txBody>
            <a:bodyPr vertOverflow="clip" wrap="square" lIns="36576" tIns="22860" rIns="0" bIns="0" anchor="t" upright="1"/>
            <a:lstStyle/>
            <a:p>
              <a:pPr algn="l" rtl="0">
                <a:defRPr sz="1000"/>
              </a:pPr>
              <a:r>
                <a:rPr lang="en-ZA" sz="800" b="0" i="0" u="none" strike="noStrike" baseline="0">
                  <a:solidFill>
                    <a:srgbClr val="000000"/>
                  </a:solidFill>
                  <a:latin typeface="Tahoma"/>
                  <a:ea typeface="Tahoma"/>
                  <a:cs typeface="Tahoma"/>
                </a:rPr>
                <a:t>Label 27</a:t>
              </a:r>
            </a:p>
          </xdr:txBody>
        </xdr:sp>
        <xdr:clientData/>
      </xdr:twoCellAnchor>
    </mc:Choice>
    <mc:Fallback/>
  </mc:AlternateContent>
  <xdr:twoCellAnchor editAs="oneCell">
    <xdr:from>
      <xdr:col>21</xdr:col>
      <xdr:colOff>0</xdr:colOff>
      <xdr:row>25</xdr:row>
      <xdr:rowOff>0</xdr:rowOff>
    </xdr:from>
    <xdr:to>
      <xdr:col>23</xdr:col>
      <xdr:colOff>565150</xdr:colOff>
      <xdr:row>31</xdr:row>
      <xdr:rowOff>114300</xdr:rowOff>
    </xdr:to>
    <xdr:pic>
      <xdr:nvPicPr>
        <xdr:cNvPr id="10" name="Pictur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493750" y="4603750"/>
          <a:ext cx="169545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276224</xdr:colOff>
      <xdr:row>89</xdr:row>
      <xdr:rowOff>38100</xdr:rowOff>
    </xdr:from>
    <xdr:to>
      <xdr:col>28</xdr:col>
      <xdr:colOff>190499</xdr:colOff>
      <xdr:row>116</xdr:row>
      <xdr:rowOff>60325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TM_MC/MCS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ATM_MC/SATM/TCH_SUP.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TM_MC/SATM/Archive/TCH_TR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ATM_MC/SATM/TCH_PWR_M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dexO"/>
      <sheetName val="Sets"/>
      <sheetName val="GDP_Y"/>
      <sheetName val="COM_S"/>
      <sheetName val="POP"/>
      <sheetName val="PV"/>
      <sheetName val="CSP"/>
      <sheetName val="NUC"/>
      <sheetName val="COAL"/>
      <sheetName val="OIL"/>
      <sheetName val="GAS"/>
      <sheetName val="Global_Com"/>
      <sheetName val="StatsSA"/>
      <sheetName val="PWR"/>
      <sheetName val="GDP_SH3"/>
      <sheetName val="GAS_old"/>
      <sheetName val="COAL_old"/>
      <sheetName val="Coal_Volumes"/>
      <sheetName val="Coal_data"/>
      <sheetName val="CoalParams"/>
      <sheetName val="Imaclim_raw"/>
      <sheetName val="Imaclim_adj"/>
      <sheetName val="PVLiterature"/>
      <sheetName val="PVSamples"/>
      <sheetName val="CSPLiterature"/>
      <sheetName val="CSPSamples"/>
      <sheetName val="ExchangeRateDetail"/>
      <sheetName val="Export"/>
    </sheetNames>
    <sheetDataSet>
      <sheetData sheetId="0">
        <row r="2">
          <cell r="D2">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4">
          <cell r="E24">
            <v>0</v>
          </cell>
          <cell r="F24">
            <v>0.2</v>
          </cell>
        </row>
        <row r="26">
          <cell r="C26" t="str">
            <v>Working Cost</v>
          </cell>
          <cell r="E26">
            <v>185</v>
          </cell>
          <cell r="F26" t="e">
            <v>#REF!</v>
          </cell>
        </row>
        <row r="27">
          <cell r="C27" t="str">
            <v>Capital</v>
          </cell>
          <cell r="E27">
            <v>50</v>
          </cell>
          <cell r="F27" t="e">
            <v>#REF!</v>
          </cell>
        </row>
        <row r="28">
          <cell r="C28" t="str">
            <v>Return</v>
          </cell>
          <cell r="E28">
            <v>0</v>
          </cell>
          <cell r="F28" t="e">
            <v>#REF!</v>
          </cell>
        </row>
      </sheetData>
      <sheetData sheetId="20">
        <row r="6">
          <cell r="E6" t="str">
            <v>Price</v>
          </cell>
        </row>
        <row r="7">
          <cell r="D7">
            <v>0</v>
          </cell>
          <cell r="E7">
            <v>200</v>
          </cell>
        </row>
        <row r="8">
          <cell r="D8">
            <v>1400</v>
          </cell>
          <cell r="E8">
            <v>200</v>
          </cell>
        </row>
        <row r="9">
          <cell r="D9">
            <v>1400</v>
          </cell>
          <cell r="E9">
            <v>275</v>
          </cell>
        </row>
        <row r="10">
          <cell r="D10">
            <v>2600</v>
          </cell>
          <cell r="E10">
            <v>275</v>
          </cell>
        </row>
        <row r="11">
          <cell r="D11">
            <v>2600</v>
          </cell>
          <cell r="E11">
            <v>350</v>
          </cell>
        </row>
        <row r="12">
          <cell r="D12">
            <v>4450</v>
          </cell>
          <cell r="E12">
            <v>350</v>
          </cell>
        </row>
        <row r="13">
          <cell r="D13">
            <v>4450</v>
          </cell>
          <cell r="E13">
            <v>480</v>
          </cell>
        </row>
        <row r="14">
          <cell r="D14">
            <v>4629</v>
          </cell>
          <cell r="E14">
            <v>480</v>
          </cell>
        </row>
        <row r="81">
          <cell r="H81" t="str">
            <v>Central Basin</v>
          </cell>
          <cell r="M81" t="str">
            <v>Waterberg</v>
          </cell>
        </row>
        <row r="82">
          <cell r="H82" t="str">
            <v>MINCLE1</v>
          </cell>
          <cell r="I82" t="str">
            <v>MINCLE2</v>
          </cell>
          <cell r="J82" t="str">
            <v>MINCLN</v>
          </cell>
          <cell r="M82" t="str">
            <v>MINCLE-A</v>
          </cell>
          <cell r="N82" t="str">
            <v>MINCLN-A</v>
          </cell>
        </row>
        <row r="83">
          <cell r="H83" t="str">
            <v>Exist-minemouth</v>
          </cell>
          <cell r="I83" t="str">
            <v>Exist-multi</v>
          </cell>
          <cell r="J83" t="str">
            <v>New-Low</v>
          </cell>
          <cell r="K83" t="str">
            <v>New-Med</v>
          </cell>
          <cell r="L83" t="str">
            <v>New-High</v>
          </cell>
          <cell r="M83" t="str">
            <v>Exist</v>
          </cell>
          <cell r="N83" t="str">
            <v>New-Low</v>
          </cell>
          <cell r="O83" t="str">
            <v>New-Med</v>
          </cell>
          <cell r="P83" t="str">
            <v>New-High</v>
          </cell>
        </row>
        <row r="84">
          <cell r="G84" t="str">
            <v>Saleable Production Cost</v>
          </cell>
          <cell r="H84">
            <v>166.66666666666666</v>
          </cell>
          <cell r="I84">
            <v>500</v>
          </cell>
          <cell r="J84">
            <v>250.00000000000003</v>
          </cell>
          <cell r="K84">
            <v>375</v>
          </cell>
          <cell r="L84">
            <v>842.35883750000005</v>
          </cell>
          <cell r="M84">
            <v>105.91999999999999</v>
          </cell>
          <cell r="N84">
            <v>132.39999999999998</v>
          </cell>
          <cell r="O84">
            <v>281.38516874999993</v>
          </cell>
          <cell r="P84">
            <v>594.75883750000003</v>
          </cell>
        </row>
        <row r="85">
          <cell r="G85" t="str">
            <v>Transport</v>
          </cell>
          <cell r="H85">
            <v>1</v>
          </cell>
          <cell r="I85">
            <v>20.04999999999999</v>
          </cell>
          <cell r="J85">
            <v>52.3</v>
          </cell>
          <cell r="K85">
            <v>68.899999999999991</v>
          </cell>
          <cell r="L85">
            <v>87.149999999999991</v>
          </cell>
          <cell r="M85">
            <v>1</v>
          </cell>
          <cell r="N85">
            <v>10.1875</v>
          </cell>
          <cell r="O85">
            <v>16.618750000000002</v>
          </cell>
          <cell r="P85">
            <v>23.049999999999997</v>
          </cell>
        </row>
        <row r="86">
          <cell r="G86" t="str">
            <v>Capital</v>
          </cell>
          <cell r="H86">
            <v>40.74074074074074</v>
          </cell>
          <cell r="I86">
            <v>40.74074074074074</v>
          </cell>
          <cell r="J86">
            <v>67.777777777777786</v>
          </cell>
          <cell r="K86">
            <v>67.777777777777786</v>
          </cell>
          <cell r="L86">
            <v>67.777777777777786</v>
          </cell>
          <cell r="M86">
            <v>23.333333333333332</v>
          </cell>
          <cell r="N86">
            <v>26.851851851851851</v>
          </cell>
          <cell r="O86">
            <v>26.851851851851851</v>
          </cell>
          <cell r="P86">
            <v>26.851851851851851</v>
          </cell>
        </row>
        <row r="87">
          <cell r="G87" t="str">
            <v>Return on Capital</v>
          </cell>
          <cell r="H87">
            <v>21.616131761790172</v>
          </cell>
          <cell r="I87">
            <v>21.616131761790172</v>
          </cell>
          <cell r="J87">
            <v>147.91669366924452</v>
          </cell>
          <cell r="K87">
            <v>184.64765924450677</v>
          </cell>
          <cell r="L87">
            <v>241.89929188078202</v>
          </cell>
          <cell r="M87">
            <v>33.077149124444503</v>
          </cell>
          <cell r="N87">
            <v>58.600875907214373</v>
          </cell>
          <cell r="O87">
            <v>76.871606843598116</v>
          </cell>
          <cell r="P87">
            <v>95.834418914517443</v>
          </cell>
        </row>
        <row r="88">
          <cell r="G88" t="str">
            <v>Acid mine drainage</v>
          </cell>
          <cell r="H88">
            <v>0</v>
          </cell>
          <cell r="I88">
            <v>0</v>
          </cell>
          <cell r="J88">
            <v>10</v>
          </cell>
          <cell r="K88">
            <v>30</v>
          </cell>
          <cell r="L88">
            <v>50</v>
          </cell>
          <cell r="M88">
            <v>0</v>
          </cell>
          <cell r="N88">
            <v>10</v>
          </cell>
          <cell r="O88">
            <v>50</v>
          </cell>
          <cell r="P88">
            <v>50</v>
          </cell>
        </row>
      </sheetData>
      <sheetData sheetId="21"/>
      <sheetData sheetId="22"/>
      <sheetData sheetId="23">
        <row r="163">
          <cell r="F163">
            <v>1</v>
          </cell>
        </row>
        <row r="164">
          <cell r="F164">
            <v>1.1648531035925405</v>
          </cell>
        </row>
        <row r="165">
          <cell r="F165">
            <v>1.3013563756728166</v>
          </cell>
        </row>
        <row r="166">
          <cell r="F166">
            <v>2.3940401073262563</v>
          </cell>
        </row>
      </sheetData>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ngeLog"/>
      <sheetName val="NameConv"/>
      <sheetName val="REGIONS"/>
      <sheetName val="2006"/>
      <sheetName val="Liq Fuel Prices"/>
      <sheetName val="Coal price"/>
      <sheetName val="Oil price"/>
      <sheetName val="Gas Price"/>
      <sheetName val="Fugitive emissions"/>
      <sheetName val="Distribution"/>
      <sheetName val="SUP"/>
      <sheetName val="ITEMS_STech"/>
      <sheetName val="TS STech"/>
      <sheetName val="TS STechPEX"/>
      <sheetName val="TID STech"/>
      <sheetName val="ITEMS_Comm"/>
      <sheetName val="TS ZTech"/>
      <sheetName val="TID ZTech"/>
      <sheetName val="SasolRES"/>
      <sheetName val="Crude refineries"/>
      <sheetName val="GTL and CTL"/>
      <sheetName val="SummaryRef"/>
      <sheetName val="RefineriesRES"/>
      <sheetName val="RefineriesData"/>
      <sheetName val="Hydrogen"/>
      <sheetName val="UPS"/>
      <sheetName val="ITEMS_UPS"/>
      <sheetName val="ITEMS_GRP"/>
      <sheetName val="TS_TTech"/>
      <sheetName val="TID_TTech"/>
      <sheetName val="ITEMS_XTech"/>
      <sheetName val="ITEMS_CommX"/>
      <sheetName val="TS_XTech"/>
      <sheetName val="TID_XTech"/>
      <sheetName val="ITEMS_XEmiss"/>
      <sheetName val="TS XEmiss"/>
      <sheetName val="TID XEmiss"/>
      <sheetName val="ExchangeRateDetail"/>
      <sheetName val="Deflator"/>
      <sheetName val="SUPRES"/>
      <sheetName val="ITEMS_XFEmiss"/>
      <sheetName val="TS XFEmiss"/>
      <sheetName val="TID XFEmiss"/>
      <sheetName val="Emission Control_Technologies"/>
      <sheetName val="Items_TEmiss"/>
      <sheetName val="TS TEmiss"/>
      <sheetName val="ITEMS UC"/>
      <sheetName val="TS UC"/>
      <sheetName val="TID UC"/>
      <sheetName val="WAT-Items"/>
      <sheetName val="WAT-TSData"/>
      <sheetName val="WAT-TIDData"/>
    </sheetNames>
    <sheetDataSet>
      <sheetData sheetId="0">
        <row r="2">
          <cell r="A2">
            <v>1</v>
          </cell>
          <cell r="D2">
            <v>1</v>
          </cell>
          <cell r="E2">
            <v>1</v>
          </cell>
          <cell r="F2">
            <v>1</v>
          </cell>
          <cell r="G2">
            <v>1</v>
          </cell>
          <cell r="H2">
            <v>1</v>
          </cell>
          <cell r="I2">
            <v>1</v>
          </cell>
          <cell r="J2">
            <v>1</v>
          </cell>
        </row>
      </sheetData>
      <sheetData sheetId="1"/>
      <sheetData sheetId="2">
        <row r="3">
          <cell r="AX3">
            <v>16</v>
          </cell>
        </row>
        <row r="4">
          <cell r="AY4" t="str">
            <v>CO2S</v>
          </cell>
        </row>
        <row r="5">
          <cell r="B5" t="str">
            <v>Biogas</v>
          </cell>
          <cell r="C5" t="str">
            <v>BIG</v>
          </cell>
        </row>
        <row r="6">
          <cell r="B6" t="str">
            <v>Bioethanol</v>
          </cell>
          <cell r="C6" t="str">
            <v>BIE</v>
          </cell>
        </row>
        <row r="7">
          <cell r="B7" t="str">
            <v>Biodiesel</v>
          </cell>
          <cell r="C7" t="str">
            <v>BID</v>
          </cell>
        </row>
        <row r="8">
          <cell r="B8" t="str">
            <v>Biomass bagasse</v>
          </cell>
          <cell r="C8" t="str">
            <v>BIB</v>
          </cell>
        </row>
        <row r="9">
          <cell r="B9" t="str">
            <v>Biomass Other</v>
          </cell>
          <cell r="C9" t="str">
            <v>BIO</v>
          </cell>
        </row>
        <row r="10">
          <cell r="B10" t="str">
            <v>Biomass Wood</v>
          </cell>
          <cell r="C10" t="str">
            <v>BIW</v>
          </cell>
        </row>
        <row r="11">
          <cell r="B11" t="str">
            <v>Coal</v>
          </cell>
          <cell r="C11" t="str">
            <v>COA</v>
          </cell>
        </row>
        <row r="12">
          <cell r="B12" t="str">
            <v>Coal Coking</v>
          </cell>
          <cell r="C12" t="str">
            <v>COK</v>
          </cell>
        </row>
        <row r="13">
          <cell r="B13" t="str">
            <v>Coal Discard</v>
          </cell>
          <cell r="C13" t="str">
            <v>CLD</v>
          </cell>
        </row>
        <row r="14">
          <cell r="B14" t="str">
            <v>Coal low grade</v>
          </cell>
          <cell r="C14" t="str">
            <v>CLE</v>
          </cell>
        </row>
        <row r="15">
          <cell r="B15" t="str">
            <v>Coal for plants in Botswana</v>
          </cell>
          <cell r="C15" t="str">
            <v>CRB</v>
          </cell>
        </row>
        <row r="16">
          <cell r="B16" t="str">
            <v>Electricity</v>
          </cell>
          <cell r="C16" t="str">
            <v>ELC</v>
          </cell>
        </row>
        <row r="17">
          <cell r="B17" t="str">
            <v>Electricity Upstream Transmission</v>
          </cell>
          <cell r="C17" t="str">
            <v>ELCC</v>
          </cell>
        </row>
        <row r="18">
          <cell r="B18" t="str">
            <v>Gas South Africa</v>
          </cell>
          <cell r="C18" t="str">
            <v>GAS</v>
          </cell>
        </row>
        <row r="19">
          <cell r="B19" t="str">
            <v>Gas Southern Mozambique</v>
          </cell>
          <cell r="C19" t="str">
            <v>GRS</v>
          </cell>
        </row>
        <row r="20">
          <cell r="B20" t="str">
            <v>Gas Namibia</v>
          </cell>
          <cell r="C20" t="str">
            <v>GRN</v>
          </cell>
        </row>
        <row r="21">
          <cell r="B21" t="str">
            <v>Gas Regional LNG</v>
          </cell>
          <cell r="C21" t="str">
            <v>GRL</v>
          </cell>
        </row>
        <row r="22">
          <cell r="B22" t="str">
            <v>Gas International LNG</v>
          </cell>
          <cell r="C22" t="str">
            <v>GWL</v>
          </cell>
        </row>
        <row r="23">
          <cell r="B23" t="str">
            <v>Gas Northern Mozambique</v>
          </cell>
          <cell r="C23" t="str">
            <v>GRM</v>
          </cell>
        </row>
        <row r="24">
          <cell r="B24" t="str">
            <v>Gas Indigenous Ibhubezi</v>
          </cell>
          <cell r="C24" t="str">
            <v>GIB</v>
          </cell>
        </row>
        <row r="25">
          <cell r="B25" t="str">
            <v>Gas Indigenous Shale</v>
          </cell>
          <cell r="C25" t="str">
            <v>GIH</v>
          </cell>
        </row>
        <row r="26">
          <cell r="B26" t="str">
            <v>Coastal Gas</v>
          </cell>
          <cell r="C26" t="str">
            <v>GIC</v>
          </cell>
        </row>
        <row r="27">
          <cell r="B27" t="str">
            <v>Gas Methane Rich</v>
          </cell>
          <cell r="C27" t="str">
            <v>GIM</v>
          </cell>
        </row>
        <row r="28">
          <cell r="B28" t="str">
            <v>Heat-Steam</v>
          </cell>
          <cell r="C28" t="str">
            <v>HET</v>
          </cell>
        </row>
        <row r="29">
          <cell r="B29" t="str">
            <v>Heat-Steam Existing</v>
          </cell>
          <cell r="C29" t="str">
            <v>HEE</v>
          </cell>
        </row>
        <row r="30">
          <cell r="B30" t="str">
            <v>Heat-Steam New</v>
          </cell>
          <cell r="C30" t="str">
            <v>HEN</v>
          </cell>
        </row>
        <row r="31">
          <cell r="B31" t="str">
            <v>Hydro</v>
          </cell>
          <cell r="C31" t="str">
            <v>HYD</v>
          </cell>
        </row>
        <row r="32">
          <cell r="B32" t="str">
            <v>Hydrogen</v>
          </cell>
          <cell r="C32" t="str">
            <v>HGN</v>
          </cell>
        </row>
        <row r="33">
          <cell r="B33" t="str">
            <v>Nuclear</v>
          </cell>
          <cell r="C33" t="str">
            <v>NUC</v>
          </cell>
        </row>
        <row r="34">
          <cell r="B34" t="str">
            <v>Oil Av Gasoline</v>
          </cell>
          <cell r="C34" t="str">
            <v>OAG</v>
          </cell>
        </row>
        <row r="35">
          <cell r="B35" t="str">
            <v>Oil Crude</v>
          </cell>
          <cell r="C35" t="str">
            <v>OCR</v>
          </cell>
        </row>
        <row r="36">
          <cell r="B36" t="str">
            <v>Oil Diesel</v>
          </cell>
          <cell r="C36" t="str">
            <v>ODS</v>
          </cell>
        </row>
        <row r="37">
          <cell r="B37" t="str">
            <v>Oil Gasoline</v>
          </cell>
          <cell r="C37" t="str">
            <v>OGS</v>
          </cell>
        </row>
        <row r="38">
          <cell r="B38" t="str">
            <v>Oil HFO</v>
          </cell>
          <cell r="C38" t="str">
            <v>OHF</v>
          </cell>
        </row>
        <row r="39">
          <cell r="B39" t="str">
            <v>Oil Kerosene</v>
          </cell>
          <cell r="C39" t="str">
            <v>OKE</v>
          </cell>
        </row>
        <row r="40">
          <cell r="B40" t="str">
            <v>Oil LPG</v>
          </cell>
          <cell r="C40" t="str">
            <v>OLP</v>
          </cell>
        </row>
        <row r="41">
          <cell r="B41" t="str">
            <v>Oil Other</v>
          </cell>
          <cell r="C41" t="str">
            <v>OTH</v>
          </cell>
        </row>
        <row r="42">
          <cell r="B42" t="str">
            <v>Solar</v>
          </cell>
          <cell r="C42" t="str">
            <v>SOL</v>
          </cell>
        </row>
        <row r="43">
          <cell r="B43" t="str">
            <v>Wind</v>
          </cell>
          <cell r="C43" t="str">
            <v>WND</v>
          </cell>
        </row>
        <row r="44">
          <cell r="B44" t="str">
            <v>Waste</v>
          </cell>
          <cell r="C44" t="str">
            <v>WAS</v>
          </cell>
        </row>
      </sheetData>
      <sheetData sheetId="3"/>
      <sheetData sheetId="4"/>
      <sheetData sheetId="5"/>
      <sheetData sheetId="6"/>
      <sheetData sheetId="7"/>
      <sheetData sheetId="8"/>
      <sheetData sheetId="9"/>
      <sheetData sheetId="10">
        <row r="17">
          <cell r="A17">
            <v>2.54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B6" t="str">
            <v>UPS</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MS_old"/>
      <sheetName val="EB_2006"/>
      <sheetName val="DME_EB_TS"/>
      <sheetName val="SAPIADiesel"/>
      <sheetName val="SAPIAGasoline"/>
      <sheetName val="NAAMSANational"/>
      <sheetName val="NAAMSAProvincial81"/>
      <sheetName val="NAAMSAProvincial95"/>
      <sheetName val="NAAMSAdefs"/>
      <sheetName val="SOL"/>
      <sheetName val="ScrappingModels"/>
      <sheetName val="ENATIS"/>
      <sheetName val="NAAMSA_SAPIA_WG"/>
      <sheetName val="Comp Assumptions"/>
      <sheetName val="Analytica"/>
      <sheetName val="FuelCell"/>
      <sheetName val="mileagedegrad"/>
      <sheetName val="HistoricalSales"/>
      <sheetName val="Calib_1011"/>
      <sheetName val="REGIONS"/>
      <sheetName val="TRP"/>
      <sheetName val="ITEMS_Tech"/>
      <sheetName val="TS DTech"/>
      <sheetName val="TID DTech"/>
      <sheetName val="TRP_Retrofit"/>
      <sheetName val="ITEMS_DrTech"/>
      <sheetName val="ITEMS_UCrTech"/>
      <sheetName val="TS DrTech"/>
      <sheetName val="TS UCrTech"/>
      <sheetName val="TID DrTech"/>
      <sheetName val="TID UCrTech"/>
      <sheetName val="NT_TRP"/>
      <sheetName val="ITEMS_nTech"/>
      <sheetName val="ITEMS_UCnTech"/>
      <sheetName val="TS DnTech"/>
      <sheetName val="TS UCnTech"/>
      <sheetName val="TID DnTech"/>
      <sheetName val="TID UCnTech"/>
      <sheetName val="TID SHAPE"/>
      <sheetName val="ITEMS_Comm"/>
      <sheetName val="TS BYDem"/>
      <sheetName val="TS COMFR"/>
      <sheetName val="TS FTech"/>
      <sheetName val="TID FTech"/>
      <sheetName val="TS Emiss"/>
      <sheetName val="TID Emiss"/>
      <sheetName val="NameConv"/>
      <sheetName val="AFA"/>
      <sheetName val="Deflator"/>
      <sheetName val="Logof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AO10">
            <v>33.148148148148152</v>
          </cell>
        </row>
        <row r="13">
          <cell r="AO13">
            <v>36.607594936708864</v>
          </cell>
        </row>
      </sheetData>
      <sheetData sheetId="15"/>
      <sheetData sheetId="16"/>
      <sheetData sheetId="17"/>
      <sheetData sheetId="18"/>
      <sheetData sheetId="19"/>
      <sheetData sheetId="20"/>
      <sheetData sheetId="21"/>
      <sheetData sheetId="22"/>
      <sheetData sheetId="23"/>
      <sheetData sheetId="24">
        <row r="67">
          <cell r="AL67">
            <v>1</v>
          </cell>
        </row>
      </sheetData>
      <sheetData sheetId="25"/>
      <sheetData sheetId="26"/>
      <sheetData sheetId="27"/>
      <sheetData sheetId="28"/>
      <sheetData sheetId="29"/>
      <sheetData sheetId="30"/>
      <sheetData sheetId="31">
        <row r="61">
          <cell r="AJ61">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F1">
            <v>1E-8</v>
          </cell>
        </row>
      </sheetData>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 capacity basic data"/>
      <sheetName val="PWR"/>
      <sheetName val="ITEMS_Teche"/>
      <sheetName val="TS ETech"/>
      <sheetName val="TID ETech"/>
      <sheetName val="ITEMS_Comm"/>
      <sheetName val="New Capacity basic data"/>
      <sheetName val="Inga"/>
      <sheetName val="OtherRegionalProjects"/>
      <sheetName val="NT_PWR"/>
      <sheetName val="ITEMS_Techn"/>
      <sheetName val="TS INVFX"/>
      <sheetName val="TS INVFX_5yr"/>
      <sheetName val="TS INVFX_IRP"/>
      <sheetName val="TS NTech"/>
      <sheetName val="TS NTechICost"/>
      <sheetName val="TID NTech"/>
      <sheetName val="ITEMS GRP"/>
      <sheetName val="TS Othere"/>
      <sheetName val="TID Othere"/>
      <sheetName val="ITEMS UC"/>
      <sheetName val="TS UC"/>
      <sheetName val="TID UC"/>
      <sheetName val="ITEMS UC_BLIPPP"/>
      <sheetName val="TS UC_BLIPPP"/>
      <sheetName val="TID UC_BLIPPP"/>
      <sheetName val="REAvail"/>
      <sheetName val="TS REAvail"/>
      <sheetName val="REAvail_10TS"/>
      <sheetName val="TS REAvail_10TS"/>
      <sheetName val="REGIONS"/>
      <sheetName val="NameConv"/>
      <sheetName val="Deflator"/>
      <sheetName val="EskomCoalEff"/>
      <sheetName val="Analytica_Input"/>
      <sheetName val="LogofChanges"/>
    </sheetNames>
    <sheetDataSet>
      <sheetData sheetId="0"/>
      <sheetData sheetId="1">
        <row r="42">
          <cell r="B42">
            <v>0</v>
          </cell>
          <cell r="C42">
            <v>0</v>
          </cell>
          <cell r="D42" t="str">
            <v>Input Commodity</v>
          </cell>
          <cell r="E42">
            <v>0</v>
          </cell>
          <cell r="F42">
            <v>0</v>
          </cell>
          <cell r="G42" t="str">
            <v>Output Commodity</v>
          </cell>
          <cell r="H42">
            <v>0</v>
          </cell>
          <cell r="I42" t="str">
            <v>Efficiency2006</v>
          </cell>
          <cell r="J42">
            <v>0</v>
          </cell>
          <cell r="K42">
            <v>0</v>
          </cell>
          <cell r="L42" t="str">
            <v>Contribution to Peak2006</v>
          </cell>
          <cell r="M42" t="str">
            <v>Availability factor2006</v>
          </cell>
          <cell r="N42" t="str">
            <v>Maximum availability2006</v>
          </cell>
          <cell r="O42" t="str">
            <v>Variable Costs2006</v>
          </cell>
          <cell r="P42" t="str">
            <v>Fixed Costs2006</v>
          </cell>
          <cell r="Q42" t="str">
            <v>Water use2006</v>
          </cell>
          <cell r="R42" t="str">
            <v>Environmental Levy2006</v>
          </cell>
          <cell r="S42">
            <v>0</v>
          </cell>
          <cell r="T42" t="str">
            <v>Residual Capacity2006</v>
          </cell>
          <cell r="U42" t="str">
            <v>Residual Capacity2007</v>
          </cell>
          <cell r="V42" t="str">
            <v>Residual Capacity2008</v>
          </cell>
          <cell r="W42" t="str">
            <v>Residual Capacity2009</v>
          </cell>
          <cell r="X42" t="str">
            <v>Residual Capacity2010</v>
          </cell>
          <cell r="Y42" t="str">
            <v>Residual Capacity2011</v>
          </cell>
          <cell r="Z42" t="str">
            <v>Residual Capacity2012</v>
          </cell>
          <cell r="AA42" t="str">
            <v>Residual Capacity2013</v>
          </cell>
          <cell r="AB42" t="str">
            <v>Residual Capacity2014</v>
          </cell>
          <cell r="AC42" t="str">
            <v>Residual Capacity2015</v>
          </cell>
          <cell r="AD42" t="str">
            <v>Residual Capacity2016</v>
          </cell>
          <cell r="AE42" t="str">
            <v>Residual Capacity2017</v>
          </cell>
          <cell r="AF42" t="str">
            <v>Residual Capacity2018</v>
          </cell>
          <cell r="AG42" t="str">
            <v>Residual Capacity2019</v>
          </cell>
          <cell r="AH42" t="str">
            <v>Residual Capacity2020</v>
          </cell>
          <cell r="AI42" t="str">
            <v>Residual Capacity2021</v>
          </cell>
          <cell r="AJ42" t="str">
            <v>Residual Capacity2022</v>
          </cell>
          <cell r="AK42" t="str">
            <v>Residual Capacity2023</v>
          </cell>
          <cell r="AL42" t="str">
            <v>Residual Capacity2024</v>
          </cell>
          <cell r="AM42" t="str">
            <v>Residual Capacity2025</v>
          </cell>
          <cell r="AN42" t="str">
            <v>Residual Capacity2026</v>
          </cell>
          <cell r="AO42" t="str">
            <v>Residual Capacity2027</v>
          </cell>
          <cell r="AP42" t="str">
            <v>Residual Capacity2028</v>
          </cell>
          <cell r="AQ42" t="str">
            <v>Residual Capacity2029</v>
          </cell>
          <cell r="AR42" t="str">
            <v>Residual Capacity2030</v>
          </cell>
          <cell r="AS42" t="str">
            <v>Residual Capacity2031</v>
          </cell>
          <cell r="AT42" t="str">
            <v>Residual Capacity2032</v>
          </cell>
          <cell r="AU42" t="str">
            <v>Residual Capacity2033</v>
          </cell>
          <cell r="AV42" t="str">
            <v>Residual Capacity2034</v>
          </cell>
          <cell r="AW42" t="str">
            <v>Residual Capacity2035</v>
          </cell>
          <cell r="AX42" t="str">
            <v>Residual Capacity2036</v>
          </cell>
          <cell r="AY42" t="str">
            <v>Residual Capacity2037</v>
          </cell>
          <cell r="AZ42" t="str">
            <v>Residual Capacity2038</v>
          </cell>
          <cell r="BA42" t="str">
            <v>Residual Capacity2039</v>
          </cell>
          <cell r="BB42" t="str">
            <v>Residual Capacity2040</v>
          </cell>
          <cell r="BC42" t="str">
            <v>Residual Capacity2045</v>
          </cell>
          <cell r="BD42" t="str">
            <v>Residual Capacity2050</v>
          </cell>
          <cell r="BE42" t="str">
            <v>Residual Capacity2060</v>
          </cell>
          <cell r="BF42" t="str">
            <v>Residual Capacity2070</v>
          </cell>
          <cell r="BG42">
            <v>0</v>
          </cell>
        </row>
        <row r="45">
          <cell r="B45">
            <v>0</v>
          </cell>
        </row>
        <row r="46">
          <cell r="B46" t="str">
            <v>ETCLEPFW-E</v>
          </cell>
          <cell r="C46" t="str">
            <v>Coal low grade</v>
          </cell>
          <cell r="D46" t="str">
            <v>PWRCLE</v>
          </cell>
          <cell r="E46">
            <v>0</v>
          </cell>
          <cell r="F46">
            <v>0</v>
          </cell>
          <cell r="G46" t="str">
            <v>ELCC</v>
          </cell>
          <cell r="H46" t="str">
            <v/>
          </cell>
          <cell r="I46">
            <v>0.34455060357519812</v>
          </cell>
          <cell r="J46">
            <v>0</v>
          </cell>
          <cell r="K46">
            <v>0</v>
          </cell>
          <cell r="L46">
            <v>1</v>
          </cell>
          <cell r="M46">
            <v>0.81000000000000016</v>
          </cell>
          <cell r="N46">
            <v>0.9</v>
          </cell>
          <cell r="O46">
            <v>9.2499999999999982</v>
          </cell>
          <cell r="P46">
            <v>1491.2725450655175</v>
          </cell>
          <cell r="Q46">
            <v>553.22340425531911</v>
          </cell>
          <cell r="R46">
            <v>277.77777777777777</v>
          </cell>
          <cell r="S46">
            <v>0.55456737588652483</v>
          </cell>
          <cell r="T46">
            <v>21.15</v>
          </cell>
          <cell r="U46">
            <v>21.15</v>
          </cell>
          <cell r="V46">
            <v>21.15</v>
          </cell>
          <cell r="W46">
            <v>21.15</v>
          </cell>
          <cell r="X46">
            <v>21.15</v>
          </cell>
          <cell r="Y46">
            <v>21.15</v>
          </cell>
          <cell r="Z46">
            <v>21.15</v>
          </cell>
          <cell r="AA46">
            <v>21.15</v>
          </cell>
          <cell r="AB46">
            <v>21.15</v>
          </cell>
          <cell r="AC46">
            <v>21.15</v>
          </cell>
          <cell r="AD46">
            <v>21.15</v>
          </cell>
          <cell r="AE46">
            <v>21.15</v>
          </cell>
          <cell r="AF46">
            <v>21.15</v>
          </cell>
          <cell r="AG46">
            <v>21.15</v>
          </cell>
          <cell r="AH46">
            <v>21.15</v>
          </cell>
          <cell r="AI46">
            <v>21.15</v>
          </cell>
          <cell r="AJ46">
            <v>21.15</v>
          </cell>
          <cell r="AK46">
            <v>21.15</v>
          </cell>
          <cell r="AL46">
            <v>21.09</v>
          </cell>
          <cell r="AM46">
            <v>20.350000000000001</v>
          </cell>
          <cell r="AN46">
            <v>19.5</v>
          </cell>
          <cell r="AO46">
            <v>18.649999999999999</v>
          </cell>
          <cell r="AP46">
            <v>17.32</v>
          </cell>
          <cell r="AQ46">
            <v>15.41</v>
          </cell>
          <cell r="AR46">
            <v>13.09</v>
          </cell>
          <cell r="AS46">
            <v>11.93</v>
          </cell>
          <cell r="AT46">
            <v>10.77</v>
          </cell>
          <cell r="AU46">
            <v>9.61</v>
          </cell>
          <cell r="AV46">
            <v>9.0299999999999994</v>
          </cell>
          <cell r="AW46">
            <v>7.86</v>
          </cell>
          <cell r="AX46">
            <v>6.11</v>
          </cell>
          <cell r="AY46">
            <v>5.53</v>
          </cell>
          <cell r="AZ46">
            <v>3.77</v>
          </cell>
          <cell r="BA46">
            <v>3.18</v>
          </cell>
          <cell r="BB46">
            <v>2.0099999999999998</v>
          </cell>
          <cell r="BC46">
            <v>2.0099999999999998</v>
          </cell>
          <cell r="BD46">
            <v>0.67</v>
          </cell>
          <cell r="BE46">
            <v>0</v>
          </cell>
          <cell r="BF46">
            <v>0</v>
          </cell>
          <cell r="BG46">
            <v>0</v>
          </cell>
          <cell r="BH46">
            <v>1</v>
          </cell>
        </row>
        <row r="47">
          <cell r="B47" t="str">
            <v>ETCLEPFD-E</v>
          </cell>
          <cell r="C47" t="str">
            <v>Coal low grade</v>
          </cell>
          <cell r="D47" t="str">
            <v>PWRCLE</v>
          </cell>
          <cell r="E47">
            <v>0</v>
          </cell>
          <cell r="F47">
            <v>0</v>
          </cell>
          <cell r="G47" t="str">
            <v>ELCC</v>
          </cell>
          <cell r="H47" t="str">
            <v/>
          </cell>
          <cell r="I47">
            <v>0.33904041834964271</v>
          </cell>
          <cell r="J47">
            <v>0</v>
          </cell>
          <cell r="K47">
            <v>0</v>
          </cell>
          <cell r="L47">
            <v>1</v>
          </cell>
          <cell r="M47">
            <v>0.81000000000000016</v>
          </cell>
          <cell r="N47">
            <v>0.9</v>
          </cell>
          <cell r="O47">
            <v>9.2499999999999982</v>
          </cell>
          <cell r="P47">
            <v>2250.8077091503355</v>
          </cell>
          <cell r="Q47">
            <v>38.76053301979227</v>
          </cell>
          <cell r="R47">
            <v>277.77777777777777</v>
          </cell>
          <cell r="S47">
            <v>0.63031746031746039</v>
          </cell>
          <cell r="T47">
            <v>5.67</v>
          </cell>
          <cell r="U47">
            <v>5.67</v>
          </cell>
          <cell r="V47">
            <v>5.67</v>
          </cell>
          <cell r="W47">
            <v>5.67</v>
          </cell>
          <cell r="X47">
            <v>5.67</v>
          </cell>
          <cell r="Y47">
            <v>5.67</v>
          </cell>
          <cell r="Z47">
            <v>5.67</v>
          </cell>
          <cell r="AA47">
            <v>5.67</v>
          </cell>
          <cell r="AB47">
            <v>5.67</v>
          </cell>
          <cell r="AC47">
            <v>5.67</v>
          </cell>
          <cell r="AD47">
            <v>5.67</v>
          </cell>
          <cell r="AE47">
            <v>5.67</v>
          </cell>
          <cell r="AF47">
            <v>5.67</v>
          </cell>
          <cell r="AG47">
            <v>5.67</v>
          </cell>
          <cell r="AH47">
            <v>5.67</v>
          </cell>
          <cell r="AI47">
            <v>5.67</v>
          </cell>
          <cell r="AJ47">
            <v>5.67</v>
          </cell>
          <cell r="AK47">
            <v>5.67</v>
          </cell>
          <cell r="AL47">
            <v>5.67</v>
          </cell>
          <cell r="AM47">
            <v>5.67</v>
          </cell>
          <cell r="AN47">
            <v>5.67</v>
          </cell>
          <cell r="AO47">
            <v>5.61</v>
          </cell>
          <cell r="AP47">
            <v>5.61</v>
          </cell>
          <cell r="AQ47">
            <v>5.61</v>
          </cell>
          <cell r="AR47">
            <v>5.61</v>
          </cell>
          <cell r="AS47">
            <v>5.61</v>
          </cell>
          <cell r="AT47">
            <v>5.61</v>
          </cell>
          <cell r="AU47">
            <v>5.61</v>
          </cell>
          <cell r="AV47">
            <v>5.61</v>
          </cell>
          <cell r="AW47">
            <v>5.61</v>
          </cell>
          <cell r="AX47">
            <v>5.61</v>
          </cell>
          <cell r="AY47">
            <v>5.61</v>
          </cell>
          <cell r="AZ47">
            <v>4.9800000000000004</v>
          </cell>
          <cell r="BA47">
            <v>4.9800000000000004</v>
          </cell>
          <cell r="BB47">
            <v>4.9800000000000004</v>
          </cell>
          <cell r="BC47">
            <v>1.83</v>
          </cell>
          <cell r="BD47">
            <v>0</v>
          </cell>
          <cell r="BE47">
            <v>0</v>
          </cell>
          <cell r="BF47">
            <v>0</v>
          </cell>
          <cell r="BG47">
            <v>0</v>
          </cell>
          <cell r="BH47">
            <v>2</v>
          </cell>
        </row>
        <row r="48">
          <cell r="B48" t="str">
            <v>ETCLEPFS-E</v>
          </cell>
          <cell r="C48" t="str">
            <v>Coal low grade</v>
          </cell>
          <cell r="D48" t="str">
            <v>PWRCLE</v>
          </cell>
          <cell r="E48">
            <v>0</v>
          </cell>
          <cell r="F48">
            <v>0</v>
          </cell>
          <cell r="G48" t="str">
            <v>ELCC</v>
          </cell>
          <cell r="H48" t="str">
            <v/>
          </cell>
          <cell r="I48">
            <v>0.2858817926334008</v>
          </cell>
          <cell r="J48">
            <v>0</v>
          </cell>
          <cell r="K48">
            <v>0</v>
          </cell>
          <cell r="L48">
            <v>1</v>
          </cell>
          <cell r="M48">
            <v>0.81</v>
          </cell>
          <cell r="N48">
            <v>0.9</v>
          </cell>
          <cell r="O48">
            <v>9.2499999999999982</v>
          </cell>
          <cell r="P48">
            <v>2250.8077091503355</v>
          </cell>
          <cell r="Q48">
            <v>689.09489577517206</v>
          </cell>
          <cell r="R48">
            <v>277.77777777777777</v>
          </cell>
          <cell r="S48">
            <v>0.18457286432160805</v>
          </cell>
          <cell r="T48">
            <v>4.34</v>
          </cell>
          <cell r="U48">
            <v>4.34</v>
          </cell>
          <cell r="V48">
            <v>4.34</v>
          </cell>
          <cell r="W48">
            <v>4.34</v>
          </cell>
          <cell r="X48">
            <v>4.34</v>
          </cell>
          <cell r="Y48">
            <v>5</v>
          </cell>
          <cell r="Z48">
            <v>5.3</v>
          </cell>
          <cell r="AA48">
            <v>5.4</v>
          </cell>
          <cell r="AB48">
            <v>5.4</v>
          </cell>
          <cell r="AC48">
            <v>5.4</v>
          </cell>
          <cell r="AD48">
            <v>5.4</v>
          </cell>
          <cell r="AE48">
            <v>5.4</v>
          </cell>
          <cell r="AF48">
            <v>5.4</v>
          </cell>
          <cell r="AG48">
            <v>5.4</v>
          </cell>
          <cell r="AH48">
            <v>5.0199999999999996</v>
          </cell>
          <cell r="AI48">
            <v>4.45</v>
          </cell>
          <cell r="AJ48">
            <v>3.5</v>
          </cell>
          <cell r="AK48">
            <v>2.93</v>
          </cell>
          <cell r="AL48">
            <v>2.54</v>
          </cell>
          <cell r="AM48">
            <v>2.0699999999999998</v>
          </cell>
          <cell r="AN48">
            <v>1.42</v>
          </cell>
          <cell r="AO48">
            <v>0.56000000000000005</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3</v>
          </cell>
        </row>
        <row r="49">
          <cell r="B49" t="str">
            <v>ETCLEPFM-E</v>
          </cell>
          <cell r="C49" t="str">
            <v>Coal low grade</v>
          </cell>
          <cell r="D49" t="str">
            <v>PWRCLE</v>
          </cell>
          <cell r="E49">
            <v>0</v>
          </cell>
          <cell r="F49">
            <v>0</v>
          </cell>
          <cell r="G49" t="str">
            <v>ELC</v>
          </cell>
          <cell r="H49" t="str">
            <v/>
          </cell>
          <cell r="I49">
            <v>0.24545403524397683</v>
          </cell>
          <cell r="J49">
            <v>0</v>
          </cell>
          <cell r="K49">
            <v>0</v>
          </cell>
          <cell r="L49">
            <v>1</v>
          </cell>
          <cell r="M49">
            <v>0.81</v>
          </cell>
          <cell r="N49">
            <v>0.9</v>
          </cell>
          <cell r="O49">
            <v>9.2499999999999982</v>
          </cell>
          <cell r="P49">
            <v>2250.8077091503355</v>
          </cell>
          <cell r="Q49">
            <v>712.5925925925925</v>
          </cell>
          <cell r="R49">
            <v>277.77777777777777</v>
          </cell>
          <cell r="S49">
            <v>4.7340425531914893E-2</v>
          </cell>
          <cell r="T49">
            <v>0.47</v>
          </cell>
          <cell r="U49">
            <v>0.47</v>
          </cell>
          <cell r="V49">
            <v>0.47</v>
          </cell>
          <cell r="W49">
            <v>0.47</v>
          </cell>
          <cell r="X49">
            <v>0.47</v>
          </cell>
          <cell r="Y49">
            <v>0.47</v>
          </cell>
          <cell r="Z49">
            <v>0.47</v>
          </cell>
          <cell r="AA49">
            <v>0.47</v>
          </cell>
          <cell r="AB49">
            <v>0.4533335</v>
          </cell>
          <cell r="AC49">
            <v>0.43666674999999999</v>
          </cell>
          <cell r="AD49">
            <v>0.42</v>
          </cell>
          <cell r="AE49">
            <v>0.33</v>
          </cell>
          <cell r="AF49">
            <v>0.33</v>
          </cell>
          <cell r="AG49">
            <v>0.33</v>
          </cell>
          <cell r="AH49">
            <v>0.33</v>
          </cell>
          <cell r="AI49">
            <v>0.33</v>
          </cell>
          <cell r="AJ49">
            <v>0.33</v>
          </cell>
          <cell r="AK49">
            <v>0.33</v>
          </cell>
          <cell r="AL49">
            <v>0.33</v>
          </cell>
          <cell r="AM49">
            <v>0.15</v>
          </cell>
          <cell r="AN49">
            <v>0.15</v>
          </cell>
          <cell r="AO49">
            <v>0.15</v>
          </cell>
          <cell r="AP49">
            <v>0.15</v>
          </cell>
          <cell r="AQ49">
            <v>0.15</v>
          </cell>
          <cell r="AR49">
            <v>0.15</v>
          </cell>
          <cell r="AS49">
            <v>0.10000050000000001</v>
          </cell>
          <cell r="AT49">
            <v>5.0000250000000003E-2</v>
          </cell>
          <cell r="AU49">
            <v>0</v>
          </cell>
          <cell r="AV49">
            <v>0</v>
          </cell>
          <cell r="AW49">
            <v>0</v>
          </cell>
          <cell r="AX49">
            <v>0</v>
          </cell>
          <cell r="AY49">
            <v>0</v>
          </cell>
          <cell r="AZ49">
            <v>0</v>
          </cell>
          <cell r="BA49">
            <v>0</v>
          </cell>
          <cell r="BB49">
            <v>0</v>
          </cell>
          <cell r="BC49">
            <v>0</v>
          </cell>
          <cell r="BD49">
            <v>0</v>
          </cell>
          <cell r="BE49">
            <v>0</v>
          </cell>
          <cell r="BF49">
            <v>0</v>
          </cell>
          <cell r="BG49">
            <v>0</v>
          </cell>
          <cell r="BH49">
            <v>4</v>
          </cell>
        </row>
        <row r="50">
          <cell r="B50" t="str">
            <v>ETCLEPFSS-E</v>
          </cell>
          <cell r="C50" t="str">
            <v>Coal low grade</v>
          </cell>
          <cell r="D50" t="str">
            <v>PWRCLE</v>
          </cell>
          <cell r="E50">
            <v>0</v>
          </cell>
          <cell r="F50">
            <v>0</v>
          </cell>
          <cell r="G50" t="str">
            <v>UPSELC</v>
          </cell>
          <cell r="H50" t="str">
            <v/>
          </cell>
          <cell r="I50">
            <v>0.25429035508469455</v>
          </cell>
          <cell r="J50">
            <v>0</v>
          </cell>
          <cell r="K50">
            <v>0</v>
          </cell>
          <cell r="L50">
            <v>1</v>
          </cell>
          <cell r="M50">
            <v>0.81</v>
          </cell>
          <cell r="N50">
            <v>0.9</v>
          </cell>
          <cell r="O50">
            <v>9.2499999999999982</v>
          </cell>
          <cell r="P50">
            <v>2250.8077091503355</v>
          </cell>
          <cell r="Q50">
            <v>712.59259259259238</v>
          </cell>
          <cell r="R50">
            <v>277.77777777777777</v>
          </cell>
          <cell r="S50">
            <v>0.05</v>
          </cell>
          <cell r="T50">
            <v>0.5</v>
          </cell>
          <cell r="U50">
            <v>0.5</v>
          </cell>
          <cell r="V50">
            <v>0.5</v>
          </cell>
          <cell r="W50">
            <v>0.5</v>
          </cell>
          <cell r="X50">
            <v>0.5</v>
          </cell>
          <cell r="Y50">
            <v>0.5</v>
          </cell>
          <cell r="Z50">
            <v>0.5</v>
          </cell>
          <cell r="AA50">
            <v>0.5</v>
          </cell>
          <cell r="AB50">
            <v>0.5</v>
          </cell>
          <cell r="AC50">
            <v>0.5</v>
          </cell>
          <cell r="AD50">
            <v>0.5</v>
          </cell>
          <cell r="AE50">
            <v>0.5</v>
          </cell>
          <cell r="AF50">
            <v>0.5</v>
          </cell>
          <cell r="AG50">
            <v>0.5</v>
          </cell>
          <cell r="AH50">
            <v>0.5</v>
          </cell>
          <cell r="AI50">
            <v>0.5</v>
          </cell>
          <cell r="AJ50">
            <v>0.5</v>
          </cell>
          <cell r="AK50">
            <v>0.5</v>
          </cell>
          <cell r="AL50">
            <v>0.5</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5</v>
          </cell>
        </row>
        <row r="51">
          <cell r="B51" t="str">
            <v>ETCLEPFSI-E</v>
          </cell>
          <cell r="C51" t="str">
            <v>Coal low grade</v>
          </cell>
          <cell r="D51" t="str">
            <v>PWRCLE</v>
          </cell>
          <cell r="E51">
            <v>0</v>
          </cell>
          <cell r="F51">
            <v>0</v>
          </cell>
          <cell r="G51" t="str">
            <v>ICPELC</v>
          </cell>
          <cell r="H51" t="str">
            <v/>
          </cell>
          <cell r="I51">
            <v>0.25429035508469455</v>
          </cell>
          <cell r="J51">
            <v>0</v>
          </cell>
          <cell r="K51">
            <v>0</v>
          </cell>
          <cell r="L51">
            <v>1</v>
          </cell>
          <cell r="M51">
            <v>0.81</v>
          </cell>
          <cell r="N51">
            <v>0.9</v>
          </cell>
          <cell r="O51">
            <v>9.2499999999999982</v>
          </cell>
          <cell r="P51">
            <v>2250.8077091503355</v>
          </cell>
          <cell r="Q51">
            <v>712.59259259259238</v>
          </cell>
          <cell r="R51">
            <v>277.77777777777777</v>
          </cell>
          <cell r="S51">
            <v>0.05</v>
          </cell>
          <cell r="T51">
            <v>0.15</v>
          </cell>
          <cell r="U51">
            <v>0.15</v>
          </cell>
          <cell r="V51">
            <v>0.15</v>
          </cell>
          <cell r="W51">
            <v>0.15</v>
          </cell>
          <cell r="X51">
            <v>0.15</v>
          </cell>
          <cell r="Y51">
            <v>0.15</v>
          </cell>
          <cell r="Z51">
            <v>0.15</v>
          </cell>
          <cell r="AA51">
            <v>0.15</v>
          </cell>
          <cell r="AB51">
            <v>0.15</v>
          </cell>
          <cell r="AC51">
            <v>0.15</v>
          </cell>
          <cell r="AD51">
            <v>0.15</v>
          </cell>
          <cell r="AE51">
            <v>0.15</v>
          </cell>
          <cell r="AF51">
            <v>0.15</v>
          </cell>
          <cell r="AG51">
            <v>0.15</v>
          </cell>
          <cell r="AH51">
            <v>0.15</v>
          </cell>
          <cell r="AI51">
            <v>0.15</v>
          </cell>
          <cell r="AJ51">
            <v>0.15</v>
          </cell>
          <cell r="AK51">
            <v>0.15</v>
          </cell>
          <cell r="AL51">
            <v>0.15</v>
          </cell>
          <cell r="AM51">
            <v>0.15</v>
          </cell>
          <cell r="AN51">
            <v>0.15</v>
          </cell>
          <cell r="AO51">
            <v>0.15</v>
          </cell>
          <cell r="AP51">
            <v>0.15</v>
          </cell>
          <cell r="AQ51">
            <v>0.15</v>
          </cell>
          <cell r="AR51">
            <v>0.15</v>
          </cell>
          <cell r="AS51">
            <v>0.15</v>
          </cell>
          <cell r="AT51">
            <v>0.15</v>
          </cell>
          <cell r="AU51">
            <v>0.15</v>
          </cell>
          <cell r="AV51">
            <v>0.15</v>
          </cell>
          <cell r="AW51">
            <v>0.15</v>
          </cell>
          <cell r="AX51">
            <v>0.15</v>
          </cell>
          <cell r="AY51">
            <v>0.15</v>
          </cell>
          <cell r="AZ51">
            <v>0.15</v>
          </cell>
          <cell r="BA51">
            <v>0.15</v>
          </cell>
          <cell r="BB51">
            <v>0.15</v>
          </cell>
          <cell r="BC51">
            <v>0</v>
          </cell>
          <cell r="BD51">
            <v>0</v>
          </cell>
          <cell r="BE51">
            <v>0</v>
          </cell>
          <cell r="BF51">
            <v>0</v>
          </cell>
          <cell r="BG51">
            <v>0</v>
          </cell>
          <cell r="BH51">
            <v>6</v>
          </cell>
        </row>
        <row r="52">
          <cell r="B52" t="str">
            <v>ETODSGT-E</v>
          </cell>
          <cell r="C52" t="str">
            <v>Oil Diesel</v>
          </cell>
          <cell r="D52" t="str">
            <v>PWRODS</v>
          </cell>
          <cell r="E52">
            <v>0</v>
          </cell>
          <cell r="F52">
            <v>0</v>
          </cell>
          <cell r="G52" t="str">
            <v>ELCC</v>
          </cell>
          <cell r="H52" t="str">
            <v/>
          </cell>
          <cell r="I52">
            <v>0.32271024591215164</v>
          </cell>
          <cell r="J52">
            <v>0</v>
          </cell>
          <cell r="K52">
            <v>0</v>
          </cell>
          <cell r="L52">
            <v>1</v>
          </cell>
          <cell r="M52">
            <v>0.09</v>
          </cell>
          <cell r="N52">
            <v>0.94867073170731708</v>
          </cell>
          <cell r="O52">
            <v>0</v>
          </cell>
          <cell r="P52">
            <v>66.195121951219505</v>
          </cell>
          <cell r="Q52">
            <v>0</v>
          </cell>
          <cell r="R52">
            <v>277.77777777777777</v>
          </cell>
          <cell r="S52">
            <v>0.13682926829268294</v>
          </cell>
          <cell r="T52">
            <v>2.46</v>
          </cell>
          <cell r="U52">
            <v>2.46</v>
          </cell>
          <cell r="V52">
            <v>2.46</v>
          </cell>
          <cell r="W52">
            <v>2.46</v>
          </cell>
          <cell r="X52">
            <v>2.46</v>
          </cell>
          <cell r="Y52">
            <v>2.46</v>
          </cell>
          <cell r="Z52">
            <v>2.46</v>
          </cell>
          <cell r="AA52">
            <v>2.46</v>
          </cell>
          <cell r="AB52">
            <v>2.46</v>
          </cell>
          <cell r="AC52">
            <v>2.46</v>
          </cell>
          <cell r="AD52">
            <v>2.46</v>
          </cell>
          <cell r="AE52">
            <v>2.46</v>
          </cell>
          <cell r="AF52">
            <v>2.46</v>
          </cell>
          <cell r="AG52">
            <v>2.46</v>
          </cell>
          <cell r="AH52">
            <v>2.46</v>
          </cell>
          <cell r="AI52">
            <v>2.46</v>
          </cell>
          <cell r="AJ52">
            <v>2.46</v>
          </cell>
          <cell r="AK52">
            <v>2.46</v>
          </cell>
          <cell r="AL52">
            <v>2.46</v>
          </cell>
          <cell r="AM52">
            <v>2.4000005999999998</v>
          </cell>
          <cell r="AN52">
            <v>2.1600003000000001</v>
          </cell>
          <cell r="AO52">
            <v>2.1</v>
          </cell>
          <cell r="AP52">
            <v>2.1</v>
          </cell>
          <cell r="AQ52">
            <v>2.1</v>
          </cell>
          <cell r="AR52">
            <v>2.1</v>
          </cell>
          <cell r="AS52">
            <v>2.1</v>
          </cell>
          <cell r="AT52">
            <v>2.1</v>
          </cell>
          <cell r="AU52">
            <v>2.1</v>
          </cell>
          <cell r="AV52">
            <v>2.1</v>
          </cell>
          <cell r="AW52">
            <v>2.1</v>
          </cell>
          <cell r="AX52">
            <v>2.1</v>
          </cell>
          <cell r="AY52">
            <v>0</v>
          </cell>
          <cell r="AZ52">
            <v>0</v>
          </cell>
          <cell r="BA52">
            <v>0</v>
          </cell>
          <cell r="BB52">
            <v>0</v>
          </cell>
          <cell r="BC52">
            <v>0</v>
          </cell>
          <cell r="BD52">
            <v>0</v>
          </cell>
          <cell r="BE52">
            <v>0</v>
          </cell>
          <cell r="BF52">
            <v>0</v>
          </cell>
          <cell r="BG52">
            <v>0</v>
          </cell>
          <cell r="BH52">
            <v>7</v>
          </cell>
        </row>
        <row r="53">
          <cell r="B53" t="str">
            <v>ERHYD-E</v>
          </cell>
          <cell r="C53" t="str">
            <v>Hydro</v>
          </cell>
          <cell r="D53" t="str">
            <v>PWRHYD</v>
          </cell>
          <cell r="E53">
            <v>0</v>
          </cell>
          <cell r="F53">
            <v>0</v>
          </cell>
          <cell r="G53" t="str">
            <v>ELCC</v>
          </cell>
          <cell r="H53" t="str">
            <v/>
          </cell>
          <cell r="I53">
            <v>1</v>
          </cell>
          <cell r="J53">
            <v>0</v>
          </cell>
          <cell r="K53">
            <v>0</v>
          </cell>
          <cell r="L53">
            <v>1</v>
          </cell>
          <cell r="M53">
            <v>0.89254707313432835</v>
          </cell>
          <cell r="N53">
            <v>0.93385970149253739</v>
          </cell>
          <cell r="O53">
            <v>0</v>
          </cell>
          <cell r="P53">
            <v>2209.5969280608774</v>
          </cell>
          <cell r="Q53">
            <v>0</v>
          </cell>
          <cell r="R53">
            <v>0</v>
          </cell>
          <cell r="S53">
            <v>9.8656716417910448E-2</v>
          </cell>
          <cell r="T53">
            <v>0.67</v>
          </cell>
          <cell r="U53">
            <v>0.67</v>
          </cell>
          <cell r="V53">
            <v>0.67</v>
          </cell>
          <cell r="W53">
            <v>0.67</v>
          </cell>
          <cell r="X53">
            <v>0.67</v>
          </cell>
          <cell r="Y53">
            <v>0.67</v>
          </cell>
          <cell r="Z53">
            <v>0.67</v>
          </cell>
          <cell r="AA53">
            <v>0.67</v>
          </cell>
          <cell r="AB53">
            <v>0.67</v>
          </cell>
          <cell r="AC53">
            <v>0.67</v>
          </cell>
          <cell r="AD53">
            <v>0.67</v>
          </cell>
          <cell r="AE53">
            <v>0.67</v>
          </cell>
          <cell r="AF53">
            <v>0.67</v>
          </cell>
          <cell r="AG53">
            <v>0.67</v>
          </cell>
          <cell r="AH53">
            <v>0.67</v>
          </cell>
          <cell r="AI53">
            <v>0.67</v>
          </cell>
          <cell r="AJ53">
            <v>0.67</v>
          </cell>
          <cell r="AK53">
            <v>0.67</v>
          </cell>
          <cell r="AL53">
            <v>0.67</v>
          </cell>
          <cell r="AM53">
            <v>0.67</v>
          </cell>
          <cell r="AN53">
            <v>0.67</v>
          </cell>
          <cell r="AO53">
            <v>0.67</v>
          </cell>
          <cell r="AP53">
            <v>0.67</v>
          </cell>
          <cell r="AQ53">
            <v>0.67</v>
          </cell>
          <cell r="AR53">
            <v>0.67</v>
          </cell>
          <cell r="AS53">
            <v>0.67</v>
          </cell>
          <cell r="AT53">
            <v>0.67</v>
          </cell>
          <cell r="AU53">
            <v>0.67</v>
          </cell>
          <cell r="AV53">
            <v>0.67</v>
          </cell>
          <cell r="AW53">
            <v>0.67</v>
          </cell>
          <cell r="AX53">
            <v>0.67</v>
          </cell>
          <cell r="AY53">
            <v>0.67</v>
          </cell>
          <cell r="AZ53">
            <v>0.67</v>
          </cell>
          <cell r="BA53">
            <v>0.67</v>
          </cell>
          <cell r="BB53">
            <v>0.67</v>
          </cell>
          <cell r="BC53">
            <v>0.67</v>
          </cell>
          <cell r="BD53">
            <v>0.67</v>
          </cell>
          <cell r="BE53">
            <v>0</v>
          </cell>
          <cell r="BF53">
            <v>0</v>
          </cell>
          <cell r="BG53">
            <v>0</v>
          </cell>
          <cell r="BH53">
            <v>8</v>
          </cell>
        </row>
        <row r="54">
          <cell r="B54" t="str">
            <v>ERHYD-I</v>
          </cell>
          <cell r="C54" t="str">
            <v>Hydro</v>
          </cell>
          <cell r="D54" t="str">
            <v>PWRHYD</v>
          </cell>
          <cell r="E54">
            <v>0</v>
          </cell>
          <cell r="F54">
            <v>0</v>
          </cell>
          <cell r="G54" t="str">
            <v>ELCC</v>
          </cell>
          <cell r="H54" t="str">
            <v/>
          </cell>
          <cell r="I54">
            <v>1</v>
          </cell>
          <cell r="J54">
            <v>0</v>
          </cell>
          <cell r="K54">
            <v>0</v>
          </cell>
          <cell r="L54">
            <v>1</v>
          </cell>
          <cell r="M54">
            <v>0.66600000000000004</v>
          </cell>
          <cell r="N54">
            <v>0.9</v>
          </cell>
          <cell r="O54">
            <v>0</v>
          </cell>
          <cell r="P54">
            <v>2200.7014056728176</v>
          </cell>
          <cell r="Q54">
            <v>0</v>
          </cell>
          <cell r="R54">
            <v>0</v>
          </cell>
          <cell r="S54">
            <v>0.3</v>
          </cell>
          <cell r="T54">
            <v>1.5</v>
          </cell>
          <cell r="U54">
            <v>1.5</v>
          </cell>
          <cell r="V54">
            <v>1.5</v>
          </cell>
          <cell r="W54">
            <v>1.5</v>
          </cell>
          <cell r="X54">
            <v>1.5</v>
          </cell>
          <cell r="Y54">
            <v>1.5</v>
          </cell>
          <cell r="Z54">
            <v>1.5</v>
          </cell>
          <cell r="AA54">
            <v>1.5</v>
          </cell>
          <cell r="AB54">
            <v>1.5</v>
          </cell>
          <cell r="AC54">
            <v>1.5</v>
          </cell>
          <cell r="AD54">
            <v>1.5</v>
          </cell>
          <cell r="AE54">
            <v>1.5</v>
          </cell>
          <cell r="AF54">
            <v>1.5</v>
          </cell>
          <cell r="AG54">
            <v>1.5</v>
          </cell>
          <cell r="AH54">
            <v>1.5</v>
          </cell>
          <cell r="AI54">
            <v>1.5</v>
          </cell>
          <cell r="AJ54">
            <v>1.5</v>
          </cell>
          <cell r="AK54">
            <v>1.5</v>
          </cell>
          <cell r="AL54">
            <v>1.5</v>
          </cell>
          <cell r="AM54">
            <v>1.5</v>
          </cell>
          <cell r="AN54">
            <v>1.5</v>
          </cell>
          <cell r="AO54">
            <v>1.5</v>
          </cell>
          <cell r="AP54">
            <v>1.5</v>
          </cell>
          <cell r="AQ54">
            <v>1.5</v>
          </cell>
          <cell r="AR54">
            <v>1.5</v>
          </cell>
          <cell r="AS54">
            <v>1.5</v>
          </cell>
          <cell r="AT54">
            <v>1.5</v>
          </cell>
          <cell r="AU54">
            <v>1.5</v>
          </cell>
          <cell r="AV54">
            <v>1.5</v>
          </cell>
          <cell r="AW54">
            <v>1.5</v>
          </cell>
          <cell r="AX54">
            <v>1.5</v>
          </cell>
          <cell r="AY54">
            <v>1.5</v>
          </cell>
          <cell r="AZ54">
            <v>1.5</v>
          </cell>
          <cell r="BA54">
            <v>1.5</v>
          </cell>
          <cell r="BB54">
            <v>1.5</v>
          </cell>
          <cell r="BC54">
            <v>1.5</v>
          </cell>
          <cell r="BD54">
            <v>1.5</v>
          </cell>
          <cell r="BE54">
            <v>1.5</v>
          </cell>
          <cell r="BF54">
            <v>1.5</v>
          </cell>
          <cell r="BG54">
            <v>0</v>
          </cell>
          <cell r="BH54">
            <v>9</v>
          </cell>
        </row>
        <row r="55">
          <cell r="B55" t="str">
            <v>ETNUC-E</v>
          </cell>
          <cell r="C55" t="str">
            <v>Nuclear</v>
          </cell>
          <cell r="D55" t="str">
            <v>PWRNUC</v>
          </cell>
          <cell r="E55">
            <v>0</v>
          </cell>
          <cell r="F55">
            <v>0</v>
          </cell>
          <cell r="G55" t="str">
            <v>ELCC</v>
          </cell>
          <cell r="H55" t="str">
            <v/>
          </cell>
          <cell r="I55">
            <v>0.32001521850150205</v>
          </cell>
          <cell r="J55">
            <v>0</v>
          </cell>
          <cell r="K55">
            <v>0</v>
          </cell>
          <cell r="L55">
            <v>1</v>
          </cell>
          <cell r="M55">
            <v>0.81038133000000012</v>
          </cell>
          <cell r="N55">
            <v>0.91290000000000004</v>
          </cell>
          <cell r="O55">
            <v>2.7777777777777777</v>
          </cell>
          <cell r="P55">
            <v>4920.6939317282322</v>
          </cell>
          <cell r="Q55">
            <v>0</v>
          </cell>
          <cell r="R55">
            <v>277.77777777777777</v>
          </cell>
          <cell r="S55">
            <v>0.93</v>
          </cell>
          <cell r="T55">
            <v>1.86</v>
          </cell>
          <cell r="U55">
            <v>1.86</v>
          </cell>
          <cell r="V55">
            <v>1.86</v>
          </cell>
          <cell r="W55">
            <v>1.86</v>
          </cell>
          <cell r="X55">
            <v>1.86</v>
          </cell>
          <cell r="Y55">
            <v>1.86</v>
          </cell>
          <cell r="Z55">
            <v>1.86</v>
          </cell>
          <cell r="AA55">
            <v>1.86</v>
          </cell>
          <cell r="AB55">
            <v>1.86</v>
          </cell>
          <cell r="AC55">
            <v>1.86</v>
          </cell>
          <cell r="AD55">
            <v>1.86</v>
          </cell>
          <cell r="AE55">
            <v>1.86</v>
          </cell>
          <cell r="AF55">
            <v>1.86</v>
          </cell>
          <cell r="AG55">
            <v>1.86</v>
          </cell>
          <cell r="AH55">
            <v>1.86</v>
          </cell>
          <cell r="AI55">
            <v>1.86</v>
          </cell>
          <cell r="AJ55">
            <v>1.86</v>
          </cell>
          <cell r="AK55">
            <v>1.86</v>
          </cell>
          <cell r="AL55">
            <v>1.86</v>
          </cell>
          <cell r="AM55">
            <v>1.86</v>
          </cell>
          <cell r="AN55">
            <v>1.86</v>
          </cell>
          <cell r="AO55">
            <v>1.86</v>
          </cell>
          <cell r="AP55">
            <v>1.86</v>
          </cell>
          <cell r="AQ55">
            <v>1.86</v>
          </cell>
          <cell r="AR55">
            <v>1.86</v>
          </cell>
          <cell r="AS55">
            <v>1.86</v>
          </cell>
          <cell r="AT55">
            <v>1.86</v>
          </cell>
          <cell r="AU55">
            <v>1.86</v>
          </cell>
          <cell r="AV55">
            <v>1.86</v>
          </cell>
          <cell r="AW55">
            <v>1.86</v>
          </cell>
          <cell r="AX55">
            <v>1.86</v>
          </cell>
          <cell r="AY55">
            <v>1.86</v>
          </cell>
          <cell r="AZ55">
            <v>1.86</v>
          </cell>
          <cell r="BA55">
            <v>1.86</v>
          </cell>
          <cell r="BB55">
            <v>1.86</v>
          </cell>
          <cell r="BC55">
            <v>0</v>
          </cell>
          <cell r="BD55">
            <v>0</v>
          </cell>
          <cell r="BE55">
            <v>0</v>
          </cell>
          <cell r="BF55">
            <v>0</v>
          </cell>
          <cell r="BG55">
            <v>0</v>
          </cell>
          <cell r="BH55">
            <v>10</v>
          </cell>
        </row>
        <row r="56">
          <cell r="B56">
            <v>0</v>
          </cell>
          <cell r="C56">
            <v>0</v>
          </cell>
          <cell r="E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row>
        <row r="57">
          <cell r="B57" t="str">
            <v>EPP-E</v>
          </cell>
          <cell r="C57" t="str">
            <v>Electricity</v>
          </cell>
          <cell r="D57" t="str">
            <v>ELCC</v>
          </cell>
          <cell r="E57">
            <v>0</v>
          </cell>
          <cell r="F57">
            <v>0</v>
          </cell>
          <cell r="G57" t="str">
            <v>PWREPE</v>
          </cell>
          <cell r="H57" t="str">
            <v/>
          </cell>
          <cell r="I57">
            <v>0.73000000000000009</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row>
        <row r="58">
          <cell r="B58" t="str">
            <v>EPD-E</v>
          </cell>
          <cell r="C58" t="str">
            <v>Power Sector - PS Dummy Commodity - Existing</v>
          </cell>
          <cell r="D58" t="str">
            <v>PWREPE</v>
          </cell>
          <cell r="E58">
            <v>0</v>
          </cell>
          <cell r="F58">
            <v>0</v>
          </cell>
          <cell r="G58" t="str">
            <v>PWREPE</v>
          </cell>
          <cell r="H58" t="str">
            <v/>
          </cell>
          <cell r="I58">
            <v>1</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row>
        <row r="59">
          <cell r="B59" t="str">
            <v>EPT-E</v>
          </cell>
          <cell r="C59" t="str">
            <v>Power Sector - PS Dummy Commodity - Existing</v>
          </cell>
          <cell r="D59" t="str">
            <v>PWREPE</v>
          </cell>
          <cell r="E59">
            <v>0</v>
          </cell>
          <cell r="F59">
            <v>0</v>
          </cell>
          <cell r="G59" t="str">
            <v>ELCC</v>
          </cell>
          <cell r="H59" t="str">
            <v/>
          </cell>
          <cell r="I59">
            <v>1</v>
          </cell>
          <cell r="J59">
            <v>0</v>
          </cell>
          <cell r="K59">
            <v>0</v>
          </cell>
          <cell r="L59">
            <v>1</v>
          </cell>
          <cell r="M59">
            <v>0.24500000000000002</v>
          </cell>
          <cell r="N59">
            <v>0.93197468354430379</v>
          </cell>
          <cell r="O59">
            <v>3.3670886075949369</v>
          </cell>
          <cell r="P59">
            <v>1815.9706760565057</v>
          </cell>
          <cell r="Q59">
            <v>0</v>
          </cell>
          <cell r="R59">
            <v>0</v>
          </cell>
          <cell r="S59">
            <v>0.21569620253164559</v>
          </cell>
          <cell r="T59">
            <v>1.58</v>
          </cell>
          <cell r="U59">
            <v>1.58</v>
          </cell>
          <cell r="V59">
            <v>1.58</v>
          </cell>
          <cell r="W59">
            <v>1.58</v>
          </cell>
          <cell r="X59">
            <v>1.58</v>
          </cell>
          <cell r="Y59">
            <v>1.58</v>
          </cell>
          <cell r="Z59">
            <v>1.58</v>
          </cell>
          <cell r="AA59">
            <v>1.58</v>
          </cell>
          <cell r="AB59">
            <v>1.58</v>
          </cell>
          <cell r="AC59">
            <v>1.58</v>
          </cell>
          <cell r="AD59">
            <v>1.58</v>
          </cell>
          <cell r="AE59">
            <v>1.58</v>
          </cell>
          <cell r="AF59">
            <v>1.58</v>
          </cell>
          <cell r="AG59">
            <v>1.58</v>
          </cell>
          <cell r="AH59">
            <v>1.58</v>
          </cell>
          <cell r="AI59">
            <v>1.58</v>
          </cell>
          <cell r="AJ59">
            <v>1.58</v>
          </cell>
          <cell r="AK59">
            <v>1.58</v>
          </cell>
          <cell r="AL59">
            <v>1.58</v>
          </cell>
          <cell r="AM59">
            <v>1.58</v>
          </cell>
          <cell r="AN59">
            <v>1.58</v>
          </cell>
          <cell r="AO59">
            <v>1.58</v>
          </cell>
          <cell r="AP59">
            <v>1.58</v>
          </cell>
          <cell r="AQ59">
            <v>1.58</v>
          </cell>
          <cell r="AR59">
            <v>1.58</v>
          </cell>
          <cell r="AS59">
            <v>1.58</v>
          </cell>
          <cell r="AT59">
            <v>1.58</v>
          </cell>
          <cell r="AU59">
            <v>1.58</v>
          </cell>
          <cell r="AV59">
            <v>1.58</v>
          </cell>
          <cell r="AW59">
            <v>1.58</v>
          </cell>
          <cell r="AX59">
            <v>1.58</v>
          </cell>
          <cell r="AY59">
            <v>1.58</v>
          </cell>
          <cell r="AZ59">
            <v>1.58</v>
          </cell>
          <cell r="BA59">
            <v>1.58</v>
          </cell>
          <cell r="BB59">
            <v>1.58</v>
          </cell>
          <cell r="BC59">
            <v>1.58</v>
          </cell>
          <cell r="BD59">
            <v>1.58</v>
          </cell>
          <cell r="BE59">
            <v>1.58</v>
          </cell>
          <cell r="BF59">
            <v>1.58</v>
          </cell>
          <cell r="BG59">
            <v>0</v>
          </cell>
          <cell r="BH59">
            <v>12</v>
          </cell>
        </row>
        <row r="60">
          <cell r="B60">
            <v>0</v>
          </cell>
          <cell r="C60">
            <v>0</v>
          </cell>
          <cell r="E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row>
        <row r="61">
          <cell r="B61" t="str">
            <v>EHBIW-E</v>
          </cell>
          <cell r="C61" t="str">
            <v>Biomass Wood</v>
          </cell>
          <cell r="D61" t="str">
            <v>PWRBIW</v>
          </cell>
          <cell r="E61" t="str">
            <v>Coal existing</v>
          </cell>
          <cell r="F61" t="str">
            <v>PWRCLE</v>
          </cell>
          <cell r="G61" t="str">
            <v>IPPELC</v>
          </cell>
          <cell r="H61" t="str">
            <v>IPPS</v>
          </cell>
          <cell r="I61">
            <v>0.75</v>
          </cell>
          <cell r="J61">
            <v>0.67</v>
          </cell>
          <cell r="K61">
            <v>2</v>
          </cell>
          <cell r="L61">
            <v>1</v>
          </cell>
          <cell r="M61">
            <v>0.624</v>
          </cell>
          <cell r="N61">
            <v>0.91</v>
          </cell>
          <cell r="O61">
            <v>0</v>
          </cell>
          <cell r="P61">
            <v>6211.2566762217448</v>
          </cell>
          <cell r="Q61">
            <v>0</v>
          </cell>
          <cell r="R61">
            <v>0</v>
          </cell>
          <cell r="S61">
            <v>1.9412280701754388E-2</v>
          </cell>
          <cell r="T61">
            <v>0.22800000000000001</v>
          </cell>
          <cell r="U61">
            <v>0.22800000000000001</v>
          </cell>
          <cell r="V61">
            <v>0.22800000000000001</v>
          </cell>
          <cell r="W61">
            <v>0.22800000000000001</v>
          </cell>
          <cell r="X61">
            <v>0.22800000000000001</v>
          </cell>
          <cell r="Y61">
            <v>0.22800000000000001</v>
          </cell>
          <cell r="Z61">
            <v>0.22800000000000001</v>
          </cell>
          <cell r="AA61">
            <v>0.22800000000000001</v>
          </cell>
          <cell r="AB61">
            <v>0.22800000000000001</v>
          </cell>
          <cell r="AC61">
            <v>0.22800000000000001</v>
          </cell>
          <cell r="AD61">
            <v>0.22800000000000001</v>
          </cell>
          <cell r="AE61">
            <v>0.22800000000000001</v>
          </cell>
          <cell r="AF61">
            <v>0.22800000000000001</v>
          </cell>
          <cell r="AG61">
            <v>0.22800000000000001</v>
          </cell>
          <cell r="AH61">
            <v>0.22800000000000001</v>
          </cell>
          <cell r="AI61">
            <v>0.22800000000000001</v>
          </cell>
          <cell r="AJ61">
            <v>0.22800000000000001</v>
          </cell>
          <cell r="AK61">
            <v>0.22800000000000001</v>
          </cell>
          <cell r="AL61">
            <v>0.22800000000000001</v>
          </cell>
          <cell r="AM61">
            <v>0.22800000000000001</v>
          </cell>
          <cell r="AN61">
            <v>0.22800000000000001</v>
          </cell>
          <cell r="AO61">
            <v>0.22800000000000001</v>
          </cell>
          <cell r="AP61">
            <v>0.22800000000000001</v>
          </cell>
          <cell r="AQ61">
            <v>0.22800000000000001</v>
          </cell>
          <cell r="AR61">
            <v>0.22800000000000001</v>
          </cell>
          <cell r="AS61">
            <v>0.22800000000000001</v>
          </cell>
          <cell r="AT61">
            <v>0.22800000000000001</v>
          </cell>
          <cell r="AU61">
            <v>0.22800000000000001</v>
          </cell>
          <cell r="AV61">
            <v>0.22800000000000001</v>
          </cell>
          <cell r="AW61">
            <v>0.22800000000000001</v>
          </cell>
          <cell r="AX61">
            <v>0.22800000000000001</v>
          </cell>
          <cell r="AY61">
            <v>0.22800000000000001</v>
          </cell>
          <cell r="AZ61">
            <v>0.22800000000000001</v>
          </cell>
          <cell r="BA61">
            <v>0.22800000000000001</v>
          </cell>
          <cell r="BB61">
            <v>0.22800000000000001</v>
          </cell>
          <cell r="BC61">
            <v>0.22800000000000001</v>
          </cell>
          <cell r="BD61">
            <v>0.22800000000000001</v>
          </cell>
          <cell r="BE61">
            <v>0</v>
          </cell>
          <cell r="BF61">
            <v>0</v>
          </cell>
          <cell r="BH61">
            <v>13</v>
          </cell>
        </row>
        <row r="62">
          <cell r="B62" t="str">
            <v>EHBIB-E</v>
          </cell>
          <cell r="C62" t="str">
            <v>Biomass bagasse</v>
          </cell>
          <cell r="D62" t="str">
            <v>PWRBIB</v>
          </cell>
          <cell r="E62">
            <v>0</v>
          </cell>
          <cell r="F62">
            <v>0</v>
          </cell>
          <cell r="G62" t="str">
            <v>IFBELC</v>
          </cell>
          <cell r="H62" t="str">
            <v>IFBS</v>
          </cell>
          <cell r="I62">
            <v>0.75</v>
          </cell>
          <cell r="J62" t="str">
            <v/>
          </cell>
          <cell r="K62">
            <v>2</v>
          </cell>
          <cell r="L62">
            <v>1</v>
          </cell>
          <cell r="M62">
            <v>0.624</v>
          </cell>
          <cell r="N62">
            <v>0.91</v>
          </cell>
          <cell r="O62">
            <v>8.6388888888888893</v>
          </cell>
          <cell r="P62">
            <v>7183.2566762217448</v>
          </cell>
          <cell r="Q62">
            <v>58.333333333333329</v>
          </cell>
          <cell r="R62">
            <v>0</v>
          </cell>
          <cell r="S62">
            <v>0.02</v>
          </cell>
          <cell r="T62">
            <v>0.1</v>
          </cell>
          <cell r="U62">
            <v>0.1</v>
          </cell>
          <cell r="V62">
            <v>0.1</v>
          </cell>
          <cell r="W62">
            <v>0.1</v>
          </cell>
          <cell r="X62">
            <v>0.1</v>
          </cell>
          <cell r="Y62">
            <v>0.1</v>
          </cell>
          <cell r="Z62">
            <v>0.1</v>
          </cell>
          <cell r="AA62">
            <v>0.1</v>
          </cell>
          <cell r="AB62">
            <v>0.1</v>
          </cell>
          <cell r="AC62">
            <v>0.1</v>
          </cell>
          <cell r="AD62">
            <v>0.1</v>
          </cell>
          <cell r="AE62">
            <v>0.1</v>
          </cell>
          <cell r="AF62">
            <v>0.1</v>
          </cell>
          <cell r="AG62">
            <v>0.1</v>
          </cell>
          <cell r="AH62">
            <v>0.1</v>
          </cell>
          <cell r="AI62">
            <v>0.1</v>
          </cell>
          <cell r="AJ62">
            <v>0.1</v>
          </cell>
          <cell r="AK62">
            <v>0.1</v>
          </cell>
          <cell r="AL62">
            <v>0.1</v>
          </cell>
          <cell r="AM62">
            <v>0.1</v>
          </cell>
          <cell r="AN62">
            <v>0.1</v>
          </cell>
          <cell r="AO62">
            <v>0.1</v>
          </cell>
          <cell r="AP62">
            <v>0.1</v>
          </cell>
          <cell r="AQ62">
            <v>0.1</v>
          </cell>
          <cell r="AR62">
            <v>0.1</v>
          </cell>
          <cell r="AS62">
            <v>0.1</v>
          </cell>
          <cell r="AT62">
            <v>0.1</v>
          </cell>
          <cell r="AU62">
            <v>0.1</v>
          </cell>
          <cell r="AV62">
            <v>0.1</v>
          </cell>
          <cell r="AW62">
            <v>0.1</v>
          </cell>
          <cell r="AX62">
            <v>0.1</v>
          </cell>
          <cell r="AY62">
            <v>0.1</v>
          </cell>
          <cell r="AZ62">
            <v>0.1</v>
          </cell>
          <cell r="BA62">
            <v>0.1</v>
          </cell>
          <cell r="BB62">
            <v>0.1</v>
          </cell>
          <cell r="BC62">
            <v>0.1</v>
          </cell>
          <cell r="BD62">
            <v>0.1</v>
          </cell>
          <cell r="BE62">
            <v>0</v>
          </cell>
          <cell r="BF62">
            <v>0</v>
          </cell>
          <cell r="BH62">
            <v>14</v>
          </cell>
        </row>
        <row r="63">
          <cell r="B63" t="str">
            <v>EHBIG-E</v>
          </cell>
          <cell r="C63" t="str">
            <v>Biogas</v>
          </cell>
          <cell r="D63" t="str">
            <v>PWRBIG</v>
          </cell>
          <cell r="E63">
            <v>0</v>
          </cell>
          <cell r="F63">
            <v>0</v>
          </cell>
          <cell r="G63" t="str">
            <v>ELC</v>
          </cell>
          <cell r="H63" t="str">
            <v>IPPR</v>
          </cell>
          <cell r="I63">
            <v>0.75</v>
          </cell>
          <cell r="J63" t="str">
            <v/>
          </cell>
          <cell r="K63">
            <v>2</v>
          </cell>
          <cell r="L63">
            <v>1</v>
          </cell>
          <cell r="M63">
            <v>0.624</v>
          </cell>
          <cell r="N63">
            <v>0.91</v>
          </cell>
          <cell r="O63">
            <v>0</v>
          </cell>
          <cell r="P63">
            <v>6211.2566762217448</v>
          </cell>
          <cell r="Q63">
            <v>0</v>
          </cell>
          <cell r="R63">
            <v>277.77777777777777</v>
          </cell>
          <cell r="S63">
            <v>9.4999999999999998E-3</v>
          </cell>
          <cell r="T63">
            <v>9.9000000000000005E-2</v>
          </cell>
          <cell r="U63">
            <v>9.9000000000000005E-2</v>
          </cell>
          <cell r="V63">
            <v>9.9000000000000005E-2</v>
          </cell>
          <cell r="W63">
            <v>9.9000000000000005E-2</v>
          </cell>
          <cell r="X63">
            <v>9.9000000000000005E-2</v>
          </cell>
          <cell r="Y63">
            <v>9.9000000000000005E-2</v>
          </cell>
          <cell r="Z63">
            <v>9.9000000000000005E-2</v>
          </cell>
          <cell r="AA63">
            <v>9.9000000000000005E-2</v>
          </cell>
          <cell r="AB63">
            <v>9.9000000000000005E-2</v>
          </cell>
          <cell r="AC63">
            <v>9.9000000000000005E-2</v>
          </cell>
          <cell r="AD63">
            <v>9.9000000000000005E-2</v>
          </cell>
          <cell r="AE63">
            <v>9.9000000000000005E-2</v>
          </cell>
          <cell r="AF63">
            <v>9.9000000000000005E-2</v>
          </cell>
          <cell r="AG63">
            <v>9.9000000000000005E-2</v>
          </cell>
          <cell r="AH63">
            <v>9.9000000000000005E-2</v>
          </cell>
          <cell r="AI63">
            <v>9.9000000000000005E-2</v>
          </cell>
          <cell r="AJ63">
            <v>9.9000000000000005E-2</v>
          </cell>
          <cell r="AK63">
            <v>9.9000000000000005E-2</v>
          </cell>
          <cell r="AL63">
            <v>9.9000000000000005E-2</v>
          </cell>
          <cell r="AM63">
            <v>9.9000000000000005E-2</v>
          </cell>
          <cell r="AN63">
            <v>9.9000000000000005E-2</v>
          </cell>
          <cell r="AO63">
            <v>9.9000000000000005E-2</v>
          </cell>
          <cell r="AP63">
            <v>9.9000000000000005E-2</v>
          </cell>
          <cell r="AQ63">
            <v>9.9000000000000005E-2</v>
          </cell>
          <cell r="AR63">
            <v>9.9000000000000005E-2</v>
          </cell>
          <cell r="AS63">
            <v>9.9000000000000005E-2</v>
          </cell>
          <cell r="AT63">
            <v>9.9000000000000005E-2</v>
          </cell>
          <cell r="AU63">
            <v>9.9000000000000005E-2</v>
          </cell>
          <cell r="AV63">
            <v>9.9000000000000005E-2</v>
          </cell>
          <cell r="AW63">
            <v>9.9000000000000005E-2</v>
          </cell>
          <cell r="AX63">
            <v>9.9000000000000005E-2</v>
          </cell>
          <cell r="AY63">
            <v>9.9000000000000005E-2</v>
          </cell>
          <cell r="AZ63">
            <v>9.9000000000000005E-2</v>
          </cell>
          <cell r="BA63">
            <v>9.9000000000000005E-2</v>
          </cell>
          <cell r="BB63">
            <v>9.9000000000000005E-2</v>
          </cell>
          <cell r="BC63">
            <v>9.9000000000000005E-2</v>
          </cell>
          <cell r="BD63">
            <v>9.9000000000000005E-2</v>
          </cell>
          <cell r="BE63">
            <v>0</v>
          </cell>
          <cell r="BF63">
            <v>0</v>
          </cell>
          <cell r="BH63">
            <v>15</v>
          </cell>
        </row>
        <row r="64">
          <cell r="B64">
            <v>0</v>
          </cell>
          <cell r="C64">
            <v>0</v>
          </cell>
          <cell r="D64">
            <v>0</v>
          </cell>
          <cell r="E64">
            <v>0</v>
          </cell>
          <cell r="F64">
            <v>0</v>
          </cell>
          <cell r="I64">
            <v>0</v>
          </cell>
          <cell r="K64">
            <v>0</v>
          </cell>
          <cell r="M64">
            <v>0</v>
          </cell>
          <cell r="P64">
            <v>0</v>
          </cell>
          <cell r="Q64">
            <v>0</v>
          </cell>
          <cell r="BE64">
            <v>0</v>
          </cell>
        </row>
        <row r="65">
          <cell r="B65">
            <v>0</v>
          </cell>
          <cell r="C65">
            <v>0</v>
          </cell>
          <cell r="D65">
            <v>0</v>
          </cell>
          <cell r="E65">
            <v>0</v>
          </cell>
          <cell r="F65">
            <v>0</v>
          </cell>
          <cell r="I65">
            <v>0</v>
          </cell>
          <cell r="K65">
            <v>0</v>
          </cell>
          <cell r="M65">
            <v>0</v>
          </cell>
          <cell r="P65">
            <v>0</v>
          </cell>
          <cell r="Q65">
            <v>0</v>
          </cell>
          <cell r="BE65">
            <v>0</v>
          </cell>
        </row>
        <row r="66">
          <cell r="B66">
            <v>0</v>
          </cell>
          <cell r="C66">
            <v>0</v>
          </cell>
          <cell r="D66">
            <v>0</v>
          </cell>
          <cell r="E66">
            <v>0</v>
          </cell>
          <cell r="F66">
            <v>0</v>
          </cell>
          <cell r="I66">
            <v>0</v>
          </cell>
          <cell r="K66">
            <v>0</v>
          </cell>
          <cell r="M66">
            <v>0</v>
          </cell>
          <cell r="P66">
            <v>0</v>
          </cell>
          <cell r="Q66">
            <v>0</v>
          </cell>
          <cell r="BE66">
            <v>0</v>
          </cell>
        </row>
        <row r="67">
          <cell r="K67">
            <v>0</v>
          </cell>
          <cell r="M67">
            <v>0</v>
          </cell>
          <cell r="P67">
            <v>0</v>
          </cell>
          <cell r="Q67">
            <v>0</v>
          </cell>
          <cell r="BE67">
            <v>0</v>
          </cell>
        </row>
        <row r="68">
          <cell r="K68">
            <v>0</v>
          </cell>
          <cell r="M68">
            <v>0</v>
          </cell>
          <cell r="P68">
            <v>0</v>
          </cell>
          <cell r="Q68">
            <v>0</v>
          </cell>
          <cell r="BE68">
            <v>0</v>
          </cell>
        </row>
      </sheetData>
      <sheetData sheetId="2"/>
      <sheetData sheetId="3"/>
      <sheetData sheetId="4"/>
      <sheetData sheetId="5"/>
      <sheetData sheetId="6"/>
      <sheetData sheetId="7"/>
      <sheetData sheetId="8"/>
      <sheetData sheetId="9">
        <row r="35">
          <cell r="C35" t="str">
            <v>ETCRBSCMO-I</v>
          </cell>
          <cell r="D35" t="str">
            <v>Coal for plants in Botswana</v>
          </cell>
          <cell r="E35" t="str">
            <v>PWRCRB</v>
          </cell>
          <cell r="F35">
            <v>0</v>
          </cell>
          <cell r="G35" t="str">
            <v>ELCC</v>
          </cell>
          <cell r="I35">
            <v>0.35</v>
          </cell>
          <cell r="J35">
            <v>1</v>
          </cell>
          <cell r="K35">
            <v>0.85</v>
          </cell>
          <cell r="L35">
            <v>0.96299999999999997</v>
          </cell>
          <cell r="M35">
            <v>30</v>
          </cell>
          <cell r="N35">
            <v>4</v>
          </cell>
          <cell r="O35">
            <v>27.777777777777779</v>
          </cell>
          <cell r="P35">
            <v>0</v>
          </cell>
          <cell r="Q35">
            <v>160</v>
          </cell>
          <cell r="R35">
            <v>2.1388888888888888</v>
          </cell>
          <cell r="S35">
            <v>2024</v>
          </cell>
          <cell r="T35">
            <v>0.3</v>
          </cell>
          <cell r="U35">
            <v>0</v>
          </cell>
          <cell r="V35">
            <v>0</v>
          </cell>
          <cell r="W35">
            <v>14400</v>
          </cell>
          <cell r="X35">
            <v>14400</v>
          </cell>
          <cell r="Y35">
            <v>14400</v>
          </cell>
          <cell r="Z35">
            <v>14400</v>
          </cell>
          <cell r="AA35">
            <v>14400</v>
          </cell>
          <cell r="AB35">
            <v>14400</v>
          </cell>
          <cell r="AC35">
            <v>14400</v>
          </cell>
          <cell r="AD35">
            <v>14400</v>
          </cell>
          <cell r="AE35">
            <v>14400</v>
          </cell>
          <cell r="AF35">
            <v>14400</v>
          </cell>
          <cell r="AG35" t="str">
            <v/>
          </cell>
          <cell r="AH35" t="str">
            <v/>
          </cell>
          <cell r="AI35" t="str">
            <v/>
          </cell>
          <cell r="AJ35" t="str">
            <v/>
          </cell>
          <cell r="AK35">
            <v>1</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v>0</v>
          </cell>
          <cell r="BA35">
            <v>31</v>
          </cell>
        </row>
        <row r="38">
          <cell r="C38" t="str">
            <v>ETGIHGT-N</v>
          </cell>
        </row>
        <row r="39">
          <cell r="C39" t="str">
            <v>ETGASGT-N</v>
          </cell>
          <cell r="D39" t="str">
            <v>Gas South Africa</v>
          </cell>
          <cell r="E39" t="str">
            <v>PWRGAS</v>
          </cell>
          <cell r="F39">
            <v>0</v>
          </cell>
          <cell r="G39" t="str">
            <v>ELCC</v>
          </cell>
          <cell r="I39">
            <v>0.30186147912124767</v>
          </cell>
          <cell r="J39">
            <v>1</v>
          </cell>
          <cell r="K39">
            <v>0.88800000000000001</v>
          </cell>
          <cell r="L39">
            <v>0.95399999999999996</v>
          </cell>
          <cell r="M39">
            <v>30</v>
          </cell>
          <cell r="N39">
            <v>2</v>
          </cell>
          <cell r="O39">
            <v>5.5</v>
          </cell>
          <cell r="P39">
            <v>277.77777777777777</v>
          </cell>
          <cell r="Q39">
            <v>70</v>
          </cell>
          <cell r="R39">
            <v>0</v>
          </cell>
          <cell r="S39">
            <v>2010</v>
          </cell>
          <cell r="T39">
            <v>0.115</v>
          </cell>
          <cell r="U39">
            <v>0</v>
          </cell>
          <cell r="V39">
            <v>0</v>
          </cell>
          <cell r="W39">
            <v>3932.310469314079</v>
          </cell>
          <cell r="X39">
            <v>3932.310469314079</v>
          </cell>
          <cell r="Y39">
            <v>3932.310469314079</v>
          </cell>
          <cell r="Z39">
            <v>3932.310469314079</v>
          </cell>
          <cell r="AA39">
            <v>3932.310469314079</v>
          </cell>
          <cell r="AB39">
            <v>3932.310469314079</v>
          </cell>
          <cell r="AC39">
            <v>3932.310469314079</v>
          </cell>
          <cell r="AD39">
            <v>3932.310469314079</v>
          </cell>
          <cell r="AE39">
            <v>3932.310469314079</v>
          </cell>
          <cell r="AF39">
            <v>3932.310469314079</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v>0</v>
          </cell>
          <cell r="BA39">
            <v>3</v>
          </cell>
        </row>
        <row r="40">
          <cell r="C40" t="str">
            <v>ETGICGT-N</v>
          </cell>
          <cell r="D40" t="str">
            <v>Coastal Gas</v>
          </cell>
          <cell r="E40" t="str">
            <v>PWRGIC</v>
          </cell>
          <cell r="F40">
            <v>0</v>
          </cell>
          <cell r="G40" t="str">
            <v>ELCC</v>
          </cell>
          <cell r="I40">
            <v>0.30186147912124767</v>
          </cell>
          <cell r="J40">
            <v>1</v>
          </cell>
          <cell r="K40">
            <v>0.88800000000000001</v>
          </cell>
          <cell r="L40">
            <v>0.95399999999999996</v>
          </cell>
          <cell r="M40">
            <v>30</v>
          </cell>
          <cell r="N40">
            <v>2</v>
          </cell>
          <cell r="O40">
            <v>5.5</v>
          </cell>
          <cell r="P40">
            <v>277.77777777777777</v>
          </cell>
          <cell r="Q40">
            <v>70</v>
          </cell>
          <cell r="R40">
            <v>0</v>
          </cell>
          <cell r="S40">
            <v>2010</v>
          </cell>
          <cell r="T40">
            <v>0.115</v>
          </cell>
          <cell r="U40">
            <v>0</v>
          </cell>
          <cell r="V40">
            <v>0</v>
          </cell>
          <cell r="W40">
            <v>3932.310469314079</v>
          </cell>
          <cell r="X40">
            <v>3932.310469314079</v>
          </cell>
          <cell r="Y40">
            <v>3932.310469314079</v>
          </cell>
          <cell r="Z40">
            <v>3932.310469314079</v>
          </cell>
          <cell r="AA40">
            <v>3932.310469314079</v>
          </cell>
          <cell r="AB40">
            <v>3932.310469314079</v>
          </cell>
          <cell r="AC40">
            <v>3932.310469314079</v>
          </cell>
          <cell r="AD40">
            <v>3932.310469314079</v>
          </cell>
          <cell r="AE40">
            <v>3932.310469314079</v>
          </cell>
          <cell r="AF40">
            <v>3932.310469314079</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v>0</v>
          </cell>
          <cell r="BA40">
            <v>3</v>
          </cell>
        </row>
        <row r="41">
          <cell r="C41" t="str">
            <v>ETGASCCSS-N</v>
          </cell>
          <cell r="D41" t="str">
            <v>Gas South Africa</v>
          </cell>
          <cell r="E41" t="str">
            <v>PWRGAS</v>
          </cell>
          <cell r="F41">
            <v>0</v>
          </cell>
          <cell r="G41" t="str">
            <v>ELCC</v>
          </cell>
          <cell r="I41">
            <v>0.45</v>
          </cell>
          <cell r="J41">
            <v>1</v>
          </cell>
          <cell r="K41">
            <v>0.88800000000000001</v>
          </cell>
          <cell r="L41">
            <v>0.95399999999999996</v>
          </cell>
          <cell r="M41">
            <v>30</v>
          </cell>
          <cell r="N41">
            <v>2</v>
          </cell>
          <cell r="O41">
            <v>3.5555555555555558</v>
          </cell>
          <cell r="P41">
            <v>277.77777777777777</v>
          </cell>
          <cell r="Q41">
            <v>148</v>
          </cell>
          <cell r="R41">
            <v>0</v>
          </cell>
          <cell r="S41">
            <v>2010</v>
          </cell>
          <cell r="T41">
            <v>2.5000000000000001E-2</v>
          </cell>
          <cell r="U41">
            <v>0</v>
          </cell>
          <cell r="V41">
            <v>0</v>
          </cell>
          <cell r="W41">
            <v>5781.5884476534293</v>
          </cell>
          <cell r="X41">
            <v>5781.5884476534293</v>
          </cell>
          <cell r="Y41">
            <v>5781.5884476534293</v>
          </cell>
          <cell r="Z41">
            <v>5781.5884476534293</v>
          </cell>
          <cell r="AA41">
            <v>5781.5884476534293</v>
          </cell>
          <cell r="AB41">
            <v>5781.5884476534293</v>
          </cell>
          <cell r="AC41">
            <v>5781.5884476534293</v>
          </cell>
          <cell r="AD41">
            <v>5781.5884476534293</v>
          </cell>
          <cell r="AE41">
            <v>5781.5884476534293</v>
          </cell>
          <cell r="AF41">
            <v>5781.5884476534293</v>
          </cell>
          <cell r="AG41" t="str">
            <v/>
          </cell>
          <cell r="AH41" t="str">
            <v/>
          </cell>
          <cell r="AI41" t="str">
            <v/>
          </cell>
          <cell r="AJ41" t="str">
            <v/>
          </cell>
          <cell r="AK41">
            <v>0.39</v>
          </cell>
          <cell r="AL41" t="str">
            <v/>
          </cell>
          <cell r="AM41" t="str">
            <v/>
          </cell>
          <cell r="AN41" t="str">
            <v/>
          </cell>
          <cell r="AO41">
            <v>0.26</v>
          </cell>
          <cell r="AP41">
            <v>0.13</v>
          </cell>
          <cell r="AQ41" t="str">
            <v/>
          </cell>
          <cell r="AR41" t="str">
            <v/>
          </cell>
          <cell r="AS41" t="str">
            <v/>
          </cell>
          <cell r="AT41" t="str">
            <v/>
          </cell>
          <cell r="AU41" t="str">
            <v/>
          </cell>
          <cell r="AV41" t="str">
            <v/>
          </cell>
          <cell r="AW41" t="str">
            <v/>
          </cell>
          <cell r="AX41" t="str">
            <v/>
          </cell>
          <cell r="AY41" t="str">
            <v/>
          </cell>
          <cell r="AZ41">
            <v>0</v>
          </cell>
          <cell r="BA41">
            <v>1</v>
          </cell>
        </row>
        <row r="42">
          <cell r="C42" t="str">
            <v>ETGICCC-N</v>
          </cell>
          <cell r="D42" t="str">
            <v>Coastal Gas</v>
          </cell>
          <cell r="E42" t="str">
            <v>PWRGIC</v>
          </cell>
          <cell r="F42">
            <v>0</v>
          </cell>
          <cell r="G42" t="str">
            <v>ELCC</v>
          </cell>
          <cell r="I42">
            <v>0.48089767566123431</v>
          </cell>
          <cell r="J42">
            <v>1</v>
          </cell>
          <cell r="K42">
            <v>0.88800000000000001</v>
          </cell>
          <cell r="L42">
            <v>0.95399999999999996</v>
          </cell>
          <cell r="M42">
            <v>30</v>
          </cell>
          <cell r="N42">
            <v>3</v>
          </cell>
          <cell r="O42">
            <v>3.5555555555555558</v>
          </cell>
          <cell r="P42">
            <v>277.77777777777777</v>
          </cell>
          <cell r="Q42">
            <v>148</v>
          </cell>
          <cell r="R42">
            <v>0</v>
          </cell>
          <cell r="S42">
            <v>2010</v>
          </cell>
          <cell r="T42">
            <v>2.5000000000000001E-2</v>
          </cell>
          <cell r="U42">
            <v>0</v>
          </cell>
          <cell r="V42">
            <v>0</v>
          </cell>
          <cell r="W42">
            <v>5781.5884476534293</v>
          </cell>
          <cell r="X42">
            <v>5781.5884476534293</v>
          </cell>
          <cell r="Y42">
            <v>5781.5884476534293</v>
          </cell>
          <cell r="Z42">
            <v>5781.5884476534293</v>
          </cell>
          <cell r="AA42">
            <v>5781.5884476534293</v>
          </cell>
          <cell r="AB42">
            <v>5781.5884476534293</v>
          </cell>
          <cell r="AC42">
            <v>5781.5884476534293</v>
          </cell>
          <cell r="AD42">
            <v>5781.5884476534293</v>
          </cell>
          <cell r="AE42">
            <v>5781.5884476534293</v>
          </cell>
          <cell r="AF42">
            <v>5781.5884476534293</v>
          </cell>
          <cell r="AG42" t="str">
            <v/>
          </cell>
          <cell r="AH42" t="str">
            <v/>
          </cell>
          <cell r="AI42" t="str">
            <v/>
          </cell>
          <cell r="AJ42" t="str">
            <v/>
          </cell>
          <cell r="AK42">
            <v>0.4</v>
          </cell>
          <cell r="AL42">
            <v>5</v>
          </cell>
          <cell r="AM42">
            <v>50</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v>0</v>
          </cell>
          <cell r="BA42">
            <v>1</v>
          </cell>
        </row>
        <row r="43">
          <cell r="C43" t="str">
            <v>ETGIHCC-N</v>
          </cell>
          <cell r="D43" t="str">
            <v>Gas Indigenous Shale</v>
          </cell>
          <cell r="E43" t="str">
            <v>PWRGIH</v>
          </cell>
          <cell r="F43">
            <v>0</v>
          </cell>
          <cell r="G43" t="str">
            <v>ELCC</v>
          </cell>
          <cell r="I43">
            <v>0.48089767566123431</v>
          </cell>
          <cell r="J43">
            <v>1</v>
          </cell>
          <cell r="K43">
            <v>0.88800000000000001</v>
          </cell>
          <cell r="L43">
            <v>0.95399999999999996</v>
          </cell>
          <cell r="M43">
            <v>30</v>
          </cell>
          <cell r="N43">
            <v>3</v>
          </cell>
          <cell r="O43">
            <v>3.5555555555555558</v>
          </cell>
          <cell r="P43">
            <v>277.77777777777777</v>
          </cell>
          <cell r="Q43">
            <v>148</v>
          </cell>
          <cell r="R43">
            <v>0</v>
          </cell>
          <cell r="S43">
            <v>2010</v>
          </cell>
          <cell r="T43">
            <v>2.5000000000000001E-2</v>
          </cell>
          <cell r="U43">
            <v>0</v>
          </cell>
          <cell r="V43">
            <v>0</v>
          </cell>
          <cell r="W43">
            <v>5781.5884476534293</v>
          </cell>
          <cell r="X43">
            <v>5781.5884476534293</v>
          </cell>
          <cell r="Y43">
            <v>5781.5884476534293</v>
          </cell>
          <cell r="Z43">
            <v>5781.5884476534293</v>
          </cell>
          <cell r="AA43">
            <v>5781.5884476534293</v>
          </cell>
          <cell r="AB43">
            <v>5781.5884476534293</v>
          </cell>
          <cell r="AC43">
            <v>5781.5884476534293</v>
          </cell>
          <cell r="AD43">
            <v>5781.5884476534293</v>
          </cell>
          <cell r="AE43">
            <v>5781.5884476534293</v>
          </cell>
          <cell r="AF43">
            <v>5781.5884476534293</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v>0</v>
          </cell>
          <cell r="BA43">
            <v>1</v>
          </cell>
        </row>
        <row r="44">
          <cell r="C44" t="str">
            <v>ETGASCC-N</v>
          </cell>
          <cell r="D44" t="str">
            <v>Gas South Africa</v>
          </cell>
          <cell r="E44" t="str">
            <v>PWRGAS</v>
          </cell>
          <cell r="F44">
            <v>0</v>
          </cell>
          <cell r="G44" t="str">
            <v>ELCC</v>
          </cell>
          <cell r="I44">
            <v>0.48089767566123431</v>
          </cell>
          <cell r="J44">
            <v>1</v>
          </cell>
          <cell r="K44">
            <v>0.88800000000000001</v>
          </cell>
          <cell r="L44">
            <v>0.95399999999999996</v>
          </cell>
          <cell r="M44">
            <v>30</v>
          </cell>
          <cell r="N44">
            <v>3</v>
          </cell>
          <cell r="O44">
            <v>3.5555555555555558</v>
          </cell>
          <cell r="P44">
            <v>277.77777777777777</v>
          </cell>
          <cell r="Q44">
            <v>148</v>
          </cell>
          <cell r="R44">
            <v>0</v>
          </cell>
          <cell r="S44">
            <v>2010</v>
          </cell>
          <cell r="T44">
            <v>2.5000000000000001E-2</v>
          </cell>
          <cell r="U44">
            <v>0</v>
          </cell>
          <cell r="V44">
            <v>0</v>
          </cell>
          <cell r="W44">
            <v>5781.5884476534293</v>
          </cell>
          <cell r="X44">
            <v>5781.5884476534293</v>
          </cell>
          <cell r="Y44">
            <v>5781.5884476534293</v>
          </cell>
          <cell r="Z44">
            <v>5781.5884476534293</v>
          </cell>
          <cell r="AA44">
            <v>5781.5884476534293</v>
          </cell>
          <cell r="AB44">
            <v>5781.5884476534293</v>
          </cell>
          <cell r="AC44">
            <v>5781.5884476534293</v>
          </cell>
          <cell r="AD44">
            <v>5781.5884476534293</v>
          </cell>
          <cell r="AE44">
            <v>5781.5884476534293</v>
          </cell>
          <cell r="AF44">
            <v>5781.5884476534293</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v>0</v>
          </cell>
          <cell r="BA44">
            <v>1</v>
          </cell>
        </row>
        <row r="45">
          <cell r="C45" t="str">
            <v>ETGRMCC-N</v>
          </cell>
          <cell r="D45" t="str">
            <v>Gas Northern Mozambique</v>
          </cell>
          <cell r="E45" t="str">
            <v>PWRGRM</v>
          </cell>
          <cell r="F45">
            <v>0</v>
          </cell>
          <cell r="G45" t="str">
            <v>ELCC</v>
          </cell>
          <cell r="I45">
            <v>0.42411196137552004</v>
          </cell>
          <cell r="J45">
            <v>1</v>
          </cell>
          <cell r="K45">
            <v>0.88800000000000001</v>
          </cell>
          <cell r="L45">
            <v>0.95399999999999996</v>
          </cell>
          <cell r="M45">
            <v>30</v>
          </cell>
          <cell r="N45">
            <v>3</v>
          </cell>
          <cell r="O45">
            <v>3.5555555555555558</v>
          </cell>
          <cell r="P45">
            <v>0</v>
          </cell>
          <cell r="Q45">
            <v>483.85375862584891</v>
          </cell>
          <cell r="R45">
            <v>0</v>
          </cell>
          <cell r="S45">
            <v>2020</v>
          </cell>
          <cell r="T45">
            <v>2.5000000000000001E-2</v>
          </cell>
          <cell r="U45">
            <v>0</v>
          </cell>
          <cell r="V45">
            <v>0</v>
          </cell>
          <cell r="W45">
            <v>16976.713735181725</v>
          </cell>
          <cell r="X45">
            <v>16976.713735181725</v>
          </cell>
          <cell r="Y45">
            <v>16976.713735181725</v>
          </cell>
          <cell r="Z45">
            <v>16976.713735181725</v>
          </cell>
          <cell r="AA45">
            <v>16976.713735181725</v>
          </cell>
          <cell r="AB45">
            <v>16976.713735181725</v>
          </cell>
          <cell r="AC45">
            <v>16976.713735181725</v>
          </cell>
          <cell r="AD45">
            <v>16976.713735181725</v>
          </cell>
          <cell r="AE45">
            <v>16976.713735181725</v>
          </cell>
          <cell r="AF45">
            <v>16976.713735181725</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v>0</v>
          </cell>
          <cell r="BA45">
            <v>1</v>
          </cell>
        </row>
        <row r="46">
          <cell r="C46" t="str">
            <v>ETGICCC-N</v>
          </cell>
          <cell r="D46" t="str">
            <v>Coastal Gas</v>
          </cell>
          <cell r="E46" t="str">
            <v>PWRGIC</v>
          </cell>
          <cell r="F46">
            <v>0</v>
          </cell>
          <cell r="G46" t="str">
            <v>ELCC</v>
          </cell>
          <cell r="I46">
            <v>0.48089767566123431</v>
          </cell>
          <cell r="J46">
            <v>1</v>
          </cell>
          <cell r="K46">
            <v>0.88800000000000001</v>
          </cell>
          <cell r="L46">
            <v>0.95399999999999996</v>
          </cell>
          <cell r="M46">
            <v>30</v>
          </cell>
          <cell r="N46">
            <v>3</v>
          </cell>
          <cell r="O46">
            <v>3.5555555555555558</v>
          </cell>
          <cell r="P46">
            <v>277.77777777777777</v>
          </cell>
          <cell r="Q46">
            <v>148</v>
          </cell>
          <cell r="R46">
            <v>0</v>
          </cell>
          <cell r="S46">
            <v>2010</v>
          </cell>
          <cell r="T46">
            <v>2.5000000000000001E-2</v>
          </cell>
          <cell r="U46">
            <v>0</v>
          </cell>
          <cell r="V46">
            <v>0</v>
          </cell>
          <cell r="W46">
            <v>5781.5884476534293</v>
          </cell>
          <cell r="X46">
            <v>5781.5884476534293</v>
          </cell>
          <cell r="Y46">
            <v>5781.5884476534293</v>
          </cell>
          <cell r="Z46">
            <v>5781.5884476534293</v>
          </cell>
          <cell r="AA46">
            <v>5781.5884476534293</v>
          </cell>
          <cell r="AB46">
            <v>5781.5884476534293</v>
          </cell>
          <cell r="AC46">
            <v>5781.5884476534293</v>
          </cell>
          <cell r="AD46">
            <v>5781.5884476534293</v>
          </cell>
          <cell r="AE46">
            <v>5781.5884476534293</v>
          </cell>
          <cell r="AF46">
            <v>5781.5884476534293</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v>0</v>
          </cell>
          <cell r="BA46">
            <v>1</v>
          </cell>
        </row>
        <row r="47">
          <cell r="C47" t="str">
            <v>ETGRNCC-I</v>
          </cell>
          <cell r="D47" t="str">
            <v>Gas Namibia</v>
          </cell>
          <cell r="E47" t="str">
            <v>PWRGRN</v>
          </cell>
          <cell r="F47">
            <v>0</v>
          </cell>
          <cell r="G47" t="str">
            <v>ELCC</v>
          </cell>
          <cell r="I47">
            <v>0.4572857142857143</v>
          </cell>
          <cell r="J47">
            <v>1</v>
          </cell>
          <cell r="K47">
            <v>0.88800000000000001</v>
          </cell>
          <cell r="L47">
            <v>0.95399999999999996</v>
          </cell>
          <cell r="M47">
            <v>30</v>
          </cell>
          <cell r="N47">
            <v>3</v>
          </cell>
          <cell r="O47">
            <v>3.5555555555555558</v>
          </cell>
          <cell r="P47">
            <v>0</v>
          </cell>
          <cell r="Q47">
            <v>302.34150345033959</v>
          </cell>
          <cell r="R47">
            <v>0</v>
          </cell>
          <cell r="S47">
            <v>2019</v>
          </cell>
          <cell r="T47">
            <v>0.23699999999999999</v>
          </cell>
          <cell r="U47">
            <v>0</v>
          </cell>
          <cell r="V47">
            <v>0</v>
          </cell>
          <cell r="W47">
            <v>5780</v>
          </cell>
          <cell r="X47">
            <v>5780</v>
          </cell>
          <cell r="Y47">
            <v>5780</v>
          </cell>
          <cell r="Z47">
            <v>5780</v>
          </cell>
          <cell r="AA47">
            <v>5780</v>
          </cell>
          <cell r="AB47">
            <v>5780</v>
          </cell>
          <cell r="AC47">
            <v>5780</v>
          </cell>
          <cell r="AD47">
            <v>5780</v>
          </cell>
          <cell r="AE47">
            <v>5780</v>
          </cell>
          <cell r="AF47">
            <v>5780</v>
          </cell>
          <cell r="AG47" t="str">
            <v/>
          </cell>
          <cell r="AH47" t="str">
            <v/>
          </cell>
          <cell r="AI47" t="str">
            <v/>
          </cell>
          <cell r="AJ47" t="str">
            <v/>
          </cell>
          <cell r="AK47">
            <v>0.71099999999999997</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v>0</v>
          </cell>
          <cell r="BA47">
            <v>35</v>
          </cell>
        </row>
        <row r="48">
          <cell r="C48" t="str">
            <v>ETNUC-N</v>
          </cell>
          <cell r="D48" t="str">
            <v>Nuclear</v>
          </cell>
          <cell r="E48" t="str">
            <v>PWRNUC</v>
          </cell>
          <cell r="F48">
            <v>0</v>
          </cell>
          <cell r="G48" t="str">
            <v>ELCC</v>
          </cell>
          <cell r="I48">
            <v>0.33457249070631973</v>
          </cell>
          <cell r="J48">
            <v>1</v>
          </cell>
          <cell r="K48">
            <v>0.9</v>
          </cell>
          <cell r="L48">
            <v>0.98</v>
          </cell>
          <cell r="M48">
            <v>60</v>
          </cell>
          <cell r="N48">
            <v>7</v>
          </cell>
          <cell r="O48">
            <v>0</v>
          </cell>
          <cell r="P48">
            <v>277.77777777777777</v>
          </cell>
          <cell r="Q48">
            <v>480.14440433212991</v>
          </cell>
          <cell r="R48">
            <v>7.3957079823505811</v>
          </cell>
          <cell r="S48">
            <v>2025</v>
          </cell>
          <cell r="T48">
            <v>1.6</v>
          </cell>
          <cell r="U48">
            <v>0</v>
          </cell>
          <cell r="V48">
            <v>0</v>
          </cell>
          <cell r="W48">
            <v>39784.590544161372</v>
          </cell>
          <cell r="X48">
            <v>39720.216606498194</v>
          </cell>
          <cell r="Y48">
            <v>39662.946857281713</v>
          </cell>
          <cell r="Z48">
            <v>39596.66046069203</v>
          </cell>
          <cell r="AA48">
            <v>39501.103899325768</v>
          </cell>
          <cell r="AB48">
            <v>39442.603183837287</v>
          </cell>
          <cell r="AC48">
            <v>39185.781477960634</v>
          </cell>
          <cell r="AD48">
            <v>38896.757621388402</v>
          </cell>
          <cell r="AE48">
            <v>38609.971329200402</v>
          </cell>
          <cell r="AF48">
            <v>38467.398423075203</v>
          </cell>
          <cell r="AG48">
            <v>1.6</v>
          </cell>
          <cell r="AH48" t="str">
            <v/>
          </cell>
          <cell r="AI48">
            <v>3.2</v>
          </cell>
          <cell r="AJ48" t="str">
            <v/>
          </cell>
          <cell r="AK48" t="str">
            <v/>
          </cell>
          <cell r="AL48" t="str">
            <v/>
          </cell>
          <cell r="AM48">
            <v>9.6000000000000014</v>
          </cell>
          <cell r="AN48">
            <v>50</v>
          </cell>
          <cell r="AO48" t="str">
            <v/>
          </cell>
          <cell r="AP48" t="str">
            <v/>
          </cell>
          <cell r="AQ48" t="str">
            <v/>
          </cell>
          <cell r="AR48" t="str">
            <v/>
          </cell>
          <cell r="AS48" t="str">
            <v/>
          </cell>
          <cell r="AT48" t="str">
            <v/>
          </cell>
          <cell r="AU48" t="str">
            <v/>
          </cell>
          <cell r="AV48" t="str">
            <v/>
          </cell>
          <cell r="AW48" t="str">
            <v/>
          </cell>
          <cell r="AX48" t="str">
            <v/>
          </cell>
          <cell r="AY48" t="str">
            <v/>
          </cell>
          <cell r="AZ48">
            <v>0</v>
          </cell>
          <cell r="BA48">
            <v>7</v>
          </cell>
        </row>
        <row r="49">
          <cell r="C49" t="str">
            <v>ERHYDH-I</v>
          </cell>
          <cell r="D49" t="str">
            <v>Hydro</v>
          </cell>
          <cell r="E49" t="str">
            <v>PWRHYD</v>
          </cell>
          <cell r="F49">
            <v>0</v>
          </cell>
          <cell r="G49" t="str">
            <v>ELCC</v>
          </cell>
          <cell r="I49">
            <v>1</v>
          </cell>
          <cell r="J49">
            <v>1</v>
          </cell>
          <cell r="K49">
            <v>0.38</v>
          </cell>
          <cell r="L49">
            <v>0.95</v>
          </cell>
          <cell r="M49">
            <v>60</v>
          </cell>
          <cell r="N49">
            <v>7</v>
          </cell>
          <cell r="O49">
            <v>0</v>
          </cell>
          <cell r="P49">
            <v>0</v>
          </cell>
          <cell r="Q49">
            <v>69.8</v>
          </cell>
          <cell r="R49">
            <v>3.3611111111111107</v>
          </cell>
          <cell r="S49">
            <v>2023</v>
          </cell>
          <cell r="T49">
            <v>0.3</v>
          </cell>
          <cell r="U49">
            <v>0</v>
          </cell>
          <cell r="V49">
            <v>0</v>
          </cell>
          <cell r="W49">
            <v>7526.2635379061367</v>
          </cell>
          <cell r="X49">
            <v>7526.2635379061367</v>
          </cell>
          <cell r="Y49">
            <v>7526.2635379061367</v>
          </cell>
          <cell r="Z49">
            <v>7526.2635379061367</v>
          </cell>
          <cell r="AA49">
            <v>7526.2635379061367</v>
          </cell>
          <cell r="AB49">
            <v>7526.2635379061367</v>
          </cell>
          <cell r="AC49">
            <v>7526.2635379061367</v>
          </cell>
          <cell r="AD49">
            <v>7526.2635379061367</v>
          </cell>
          <cell r="AE49">
            <v>7526.2635379061367</v>
          </cell>
          <cell r="AF49">
            <v>7526.2635379061367</v>
          </cell>
          <cell r="AG49" t="str">
            <v/>
          </cell>
          <cell r="AH49" t="str">
            <v/>
          </cell>
          <cell r="AI49" t="str">
            <v/>
          </cell>
          <cell r="AJ49" t="str">
            <v/>
          </cell>
          <cell r="AK49">
            <v>0.85</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v>0</v>
          </cell>
          <cell r="BA49">
            <v>28</v>
          </cell>
        </row>
        <row r="50">
          <cell r="C50" t="str">
            <v>ERHYDI-I</v>
          </cell>
          <cell r="D50" t="str">
            <v>Hydro</v>
          </cell>
          <cell r="E50" t="str">
            <v>PWRHYD</v>
          </cell>
          <cell r="F50">
            <v>0</v>
          </cell>
          <cell r="G50" t="str">
            <v>ELCC</v>
          </cell>
          <cell r="I50">
            <v>1</v>
          </cell>
          <cell r="J50">
            <v>1</v>
          </cell>
          <cell r="K50">
            <v>0.46</v>
          </cell>
          <cell r="L50">
            <v>0.95</v>
          </cell>
          <cell r="M50">
            <v>60</v>
          </cell>
          <cell r="N50">
            <v>6</v>
          </cell>
          <cell r="O50">
            <v>0</v>
          </cell>
          <cell r="P50">
            <v>0</v>
          </cell>
          <cell r="Q50">
            <v>69.8</v>
          </cell>
          <cell r="R50">
            <v>3.3611111111111107</v>
          </cell>
          <cell r="S50">
            <v>2022</v>
          </cell>
          <cell r="T50">
            <v>0.3</v>
          </cell>
          <cell r="U50">
            <v>0</v>
          </cell>
          <cell r="V50">
            <v>0</v>
          </cell>
          <cell r="W50">
            <v>5558.6642599277975</v>
          </cell>
          <cell r="X50">
            <v>5558.6642599277975</v>
          </cell>
          <cell r="Y50">
            <v>5558.6642599277975</v>
          </cell>
          <cell r="Z50">
            <v>5558.6642599277975</v>
          </cell>
          <cell r="AA50">
            <v>5558.6642599277975</v>
          </cell>
          <cell r="AB50">
            <v>5558.6642599277975</v>
          </cell>
          <cell r="AC50">
            <v>5558.6642599277975</v>
          </cell>
          <cell r="AD50">
            <v>5558.6642599277975</v>
          </cell>
          <cell r="AE50">
            <v>5558.6642599277975</v>
          </cell>
          <cell r="AF50">
            <v>5558.6642599277975</v>
          </cell>
          <cell r="AG50" t="str">
            <v/>
          </cell>
          <cell r="AH50" t="str">
            <v/>
          </cell>
          <cell r="AI50" t="str">
            <v/>
          </cell>
          <cell r="AJ50" t="str">
            <v/>
          </cell>
          <cell r="AK50">
            <v>0.12</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v>0</v>
          </cell>
          <cell r="BA50">
            <v>33</v>
          </cell>
        </row>
        <row r="51">
          <cell r="C51" t="str">
            <v>ERHYDF-I</v>
          </cell>
          <cell r="D51" t="str">
            <v>Hydro</v>
          </cell>
          <cell r="E51" t="str">
            <v>PWRHYD</v>
          </cell>
          <cell r="F51">
            <v>0</v>
          </cell>
          <cell r="G51" t="str">
            <v>ELCC</v>
          </cell>
          <cell r="I51">
            <v>1</v>
          </cell>
          <cell r="J51">
            <v>1</v>
          </cell>
          <cell r="K51">
            <v>0.64</v>
          </cell>
          <cell r="L51">
            <v>0.95</v>
          </cell>
          <cell r="M51">
            <v>60</v>
          </cell>
          <cell r="N51">
            <v>3</v>
          </cell>
          <cell r="O51">
            <v>0</v>
          </cell>
          <cell r="P51">
            <v>0</v>
          </cell>
          <cell r="Q51">
            <v>69.8</v>
          </cell>
          <cell r="R51">
            <v>3.3611111111111107</v>
          </cell>
          <cell r="S51">
            <v>2020</v>
          </cell>
          <cell r="T51">
            <v>0.3</v>
          </cell>
          <cell r="U51">
            <v>0</v>
          </cell>
          <cell r="V51">
            <v>0</v>
          </cell>
          <cell r="W51">
            <v>9182.3104693140795</v>
          </cell>
          <cell r="X51">
            <v>9182.3104693140795</v>
          </cell>
          <cell r="Y51">
            <v>9182.3104693140795</v>
          </cell>
          <cell r="Z51">
            <v>9182.3104693140795</v>
          </cell>
          <cell r="AA51">
            <v>9182.3104693140795</v>
          </cell>
          <cell r="AB51">
            <v>9182.3104693140795</v>
          </cell>
          <cell r="AC51">
            <v>9182.3104693140795</v>
          </cell>
          <cell r="AD51">
            <v>9182.3104693140795</v>
          </cell>
          <cell r="AE51">
            <v>9182.3104693140795</v>
          </cell>
          <cell r="AF51">
            <v>9182.3104693140795</v>
          </cell>
          <cell r="AG51" t="str">
            <v/>
          </cell>
          <cell r="AH51" t="str">
            <v/>
          </cell>
          <cell r="AI51" t="str">
            <v/>
          </cell>
          <cell r="AJ51" t="str">
            <v/>
          </cell>
          <cell r="AK51">
            <v>0.75</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v>0</v>
          </cell>
          <cell r="BA51">
            <v>32</v>
          </cell>
        </row>
        <row r="52">
          <cell r="C52" t="str">
            <v>ERHYDK-I</v>
          </cell>
          <cell r="D52" t="str">
            <v>Hydro</v>
          </cell>
          <cell r="E52" t="str">
            <v>PWRHYD</v>
          </cell>
          <cell r="F52">
            <v>0</v>
          </cell>
          <cell r="G52" t="str">
            <v>ELCC</v>
          </cell>
          <cell r="I52">
            <v>1</v>
          </cell>
          <cell r="J52">
            <v>1</v>
          </cell>
          <cell r="K52">
            <v>0.38</v>
          </cell>
          <cell r="L52">
            <v>0.95</v>
          </cell>
          <cell r="M52">
            <v>60</v>
          </cell>
          <cell r="N52">
            <v>3</v>
          </cell>
          <cell r="O52">
            <v>0</v>
          </cell>
          <cell r="P52">
            <v>0</v>
          </cell>
          <cell r="Q52">
            <v>69.8</v>
          </cell>
          <cell r="R52">
            <v>3.3611111111111107</v>
          </cell>
          <cell r="S52">
            <v>2023</v>
          </cell>
          <cell r="T52">
            <v>0.3</v>
          </cell>
          <cell r="U52">
            <v>0</v>
          </cell>
          <cell r="V52">
            <v>0</v>
          </cell>
          <cell r="W52">
            <v>4007.2202166064981</v>
          </cell>
          <cell r="X52">
            <v>4007.2202166064981</v>
          </cell>
          <cell r="Y52">
            <v>4007.2202166064981</v>
          </cell>
          <cell r="Z52">
            <v>4007.2202166064981</v>
          </cell>
          <cell r="AA52">
            <v>4007.2202166064981</v>
          </cell>
          <cell r="AB52">
            <v>4007.2202166064981</v>
          </cell>
          <cell r="AC52">
            <v>4007.2202166064981</v>
          </cell>
          <cell r="AD52">
            <v>4007.2202166064981</v>
          </cell>
          <cell r="AE52">
            <v>4007.2202166064981</v>
          </cell>
          <cell r="AF52">
            <v>4007.2202166064981</v>
          </cell>
          <cell r="AG52" t="str">
            <v/>
          </cell>
          <cell r="AH52" t="str">
            <v/>
          </cell>
          <cell r="AI52" t="str">
            <v/>
          </cell>
          <cell r="AJ52" t="str">
            <v/>
          </cell>
          <cell r="AK52">
            <v>0.36</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v>0</v>
          </cell>
          <cell r="BA52">
            <v>34</v>
          </cell>
        </row>
        <row r="53">
          <cell r="C53" t="str">
            <v>ERHYDM-I</v>
          </cell>
          <cell r="D53" t="str">
            <v>Hydro</v>
          </cell>
          <cell r="E53" t="str">
            <v>PWRHYD</v>
          </cell>
          <cell r="F53">
            <v>0</v>
          </cell>
          <cell r="G53" t="str">
            <v>ELCC</v>
          </cell>
          <cell r="I53">
            <v>1</v>
          </cell>
          <cell r="J53">
            <v>1</v>
          </cell>
          <cell r="K53">
            <v>0.66700000000000004</v>
          </cell>
          <cell r="L53">
            <v>0.96</v>
          </cell>
          <cell r="M53">
            <v>60</v>
          </cell>
          <cell r="N53">
            <v>7</v>
          </cell>
          <cell r="O53">
            <v>0</v>
          </cell>
          <cell r="P53">
            <v>0</v>
          </cell>
          <cell r="Q53">
            <v>344</v>
          </cell>
          <cell r="R53">
            <v>0</v>
          </cell>
          <cell r="S53">
            <v>2023</v>
          </cell>
          <cell r="T53">
            <v>0.3</v>
          </cell>
          <cell r="U53">
            <v>0</v>
          </cell>
          <cell r="V53">
            <v>0</v>
          </cell>
          <cell r="W53">
            <v>16096.001805054149</v>
          </cell>
          <cell r="X53">
            <v>16096.001805054149</v>
          </cell>
          <cell r="Y53">
            <v>16096.001805054149</v>
          </cell>
          <cell r="Z53">
            <v>16096.001805054149</v>
          </cell>
          <cell r="AA53">
            <v>16096.001805054149</v>
          </cell>
          <cell r="AB53">
            <v>16096.001805054149</v>
          </cell>
          <cell r="AC53">
            <v>16096.001805054149</v>
          </cell>
          <cell r="AD53">
            <v>16096.001805054149</v>
          </cell>
          <cell r="AE53">
            <v>16096.001805054149</v>
          </cell>
          <cell r="AF53">
            <v>16096.001805054149</v>
          </cell>
          <cell r="AG53" t="str">
            <v/>
          </cell>
          <cell r="AH53" t="str">
            <v/>
          </cell>
          <cell r="AI53" t="str">
            <v/>
          </cell>
          <cell r="AJ53" t="str">
            <v/>
          </cell>
          <cell r="AK53">
            <v>1.125</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v>0</v>
          </cell>
          <cell r="BA53">
            <v>27</v>
          </cell>
        </row>
        <row r="54">
          <cell r="C54" t="str">
            <v>ERHYDB-I</v>
          </cell>
          <cell r="D54" t="str">
            <v>Hydro</v>
          </cell>
          <cell r="E54" t="str">
            <v>PWRHYD</v>
          </cell>
          <cell r="F54">
            <v>0</v>
          </cell>
          <cell r="G54" t="str">
            <v>ELCC</v>
          </cell>
          <cell r="I54">
            <v>1</v>
          </cell>
          <cell r="J54">
            <v>1</v>
          </cell>
          <cell r="K54">
            <v>0.42</v>
          </cell>
          <cell r="L54">
            <v>0.95</v>
          </cell>
          <cell r="M54">
            <v>60</v>
          </cell>
          <cell r="N54">
            <v>3</v>
          </cell>
          <cell r="O54">
            <v>0</v>
          </cell>
          <cell r="P54">
            <v>0</v>
          </cell>
          <cell r="Q54">
            <v>69.8</v>
          </cell>
          <cell r="R54">
            <v>3.3611111111111107</v>
          </cell>
          <cell r="S54">
            <v>2018</v>
          </cell>
          <cell r="T54">
            <v>0.3</v>
          </cell>
          <cell r="U54">
            <v>0</v>
          </cell>
          <cell r="V54">
            <v>0</v>
          </cell>
          <cell r="W54">
            <v>13079.422382671479</v>
          </cell>
          <cell r="X54">
            <v>13079.422382671479</v>
          </cell>
          <cell r="Y54">
            <v>13079.422382671479</v>
          </cell>
          <cell r="Z54">
            <v>13079.422382671479</v>
          </cell>
          <cell r="AA54">
            <v>13079.422382671479</v>
          </cell>
          <cell r="AB54">
            <v>13079.422382671479</v>
          </cell>
          <cell r="AC54">
            <v>13079.422382671479</v>
          </cell>
          <cell r="AD54">
            <v>13079.422382671479</v>
          </cell>
          <cell r="AE54">
            <v>13079.422382671479</v>
          </cell>
          <cell r="AF54">
            <v>13079.422382671479</v>
          </cell>
          <cell r="AG54" t="str">
            <v/>
          </cell>
          <cell r="AH54" t="str">
            <v/>
          </cell>
          <cell r="AI54" t="str">
            <v/>
          </cell>
          <cell r="AJ54" t="str">
            <v/>
          </cell>
          <cell r="AK54">
            <v>0.16</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v>0</v>
          </cell>
          <cell r="BA54">
            <v>30</v>
          </cell>
        </row>
        <row r="55">
          <cell r="C55" t="str">
            <v>ERHYD-N</v>
          </cell>
          <cell r="D55" t="str">
            <v>Hydro</v>
          </cell>
          <cell r="E55" t="str">
            <v>PWRHYD</v>
          </cell>
          <cell r="F55">
            <v>0</v>
          </cell>
          <cell r="G55" t="str">
            <v>ELCC</v>
          </cell>
          <cell r="I55">
            <v>1</v>
          </cell>
          <cell r="J55">
            <v>1</v>
          </cell>
          <cell r="K55">
            <v>0.5</v>
          </cell>
          <cell r="L55">
            <v>0.93399999999999994</v>
          </cell>
          <cell r="M55">
            <v>50</v>
          </cell>
          <cell r="N55">
            <v>3</v>
          </cell>
          <cell r="O55">
            <v>0</v>
          </cell>
          <cell r="P55">
            <v>0</v>
          </cell>
          <cell r="Q55">
            <v>130.27000000000001</v>
          </cell>
          <cell r="R55">
            <v>0</v>
          </cell>
          <cell r="S55">
            <v>2012</v>
          </cell>
          <cell r="T55">
            <v>5.0000000000000001E-3</v>
          </cell>
          <cell r="U55">
            <v>0</v>
          </cell>
          <cell r="V55">
            <v>0</v>
          </cell>
          <cell r="W55">
            <v>20000</v>
          </cell>
          <cell r="X55">
            <v>20000</v>
          </cell>
          <cell r="Y55">
            <v>20000</v>
          </cell>
          <cell r="Z55">
            <v>20000</v>
          </cell>
          <cell r="AA55">
            <v>20000</v>
          </cell>
          <cell r="AB55">
            <v>20000</v>
          </cell>
          <cell r="AC55">
            <v>20000</v>
          </cell>
          <cell r="AD55">
            <v>20000</v>
          </cell>
          <cell r="AE55">
            <v>20000</v>
          </cell>
          <cell r="AF55">
            <v>20000</v>
          </cell>
          <cell r="AG55" t="str">
            <v/>
          </cell>
          <cell r="AH55" t="str">
            <v/>
          </cell>
          <cell r="AI55" t="str">
            <v/>
          </cell>
          <cell r="AJ55" t="str">
            <v/>
          </cell>
          <cell r="AK55">
            <v>0.5</v>
          </cell>
          <cell r="AL55" t="str">
            <v/>
          </cell>
          <cell r="AM55" t="str">
            <v/>
          </cell>
          <cell r="AN55" t="str">
            <v/>
          </cell>
          <cell r="AO55" t="str">
            <v/>
          </cell>
          <cell r="AP55" t="str">
            <v/>
          </cell>
          <cell r="AQ55" t="str">
            <v/>
          </cell>
          <cell r="AR55" t="str">
            <v/>
          </cell>
          <cell r="AS55">
            <v>1.43E-2</v>
          </cell>
          <cell r="AT55">
            <v>6.0699999999999997E-2</v>
          </cell>
          <cell r="AU55" t="str">
            <v/>
          </cell>
          <cell r="AV55" t="str">
            <v/>
          </cell>
          <cell r="AW55" t="str">
            <v/>
          </cell>
          <cell r="AX55" t="str">
            <v/>
          </cell>
          <cell r="AY55" t="str">
            <v/>
          </cell>
          <cell r="AZ55">
            <v>0</v>
          </cell>
          <cell r="BA55">
            <v>26</v>
          </cell>
        </row>
        <row r="56">
          <cell r="C56" t="str">
            <v>ERBIO-N</v>
          </cell>
          <cell r="D56" t="str">
            <v>Biomass Other</v>
          </cell>
          <cell r="E56" t="str">
            <v>PWRBIO</v>
          </cell>
          <cell r="F56">
            <v>0</v>
          </cell>
          <cell r="G56" t="str">
            <v>COMELC</v>
          </cell>
          <cell r="I56">
            <v>0.19400000000000001</v>
          </cell>
          <cell r="J56">
            <v>1</v>
          </cell>
          <cell r="K56">
            <v>0.85</v>
          </cell>
          <cell r="L56">
            <v>0.94</v>
          </cell>
          <cell r="M56">
            <v>30</v>
          </cell>
          <cell r="N56">
            <v>2</v>
          </cell>
          <cell r="O56">
            <v>55.555555555555557</v>
          </cell>
          <cell r="P56">
            <v>0</v>
          </cell>
          <cell r="Q56">
            <v>2579</v>
          </cell>
          <cell r="R56">
            <v>10.611111111111112</v>
          </cell>
          <cell r="S56">
            <v>2013</v>
          </cell>
          <cell r="T56">
            <v>0.01</v>
          </cell>
          <cell r="U56">
            <v>0</v>
          </cell>
          <cell r="V56">
            <v>0</v>
          </cell>
          <cell r="W56">
            <v>67235.559566786993</v>
          </cell>
          <cell r="X56">
            <v>65640.599431772163</v>
          </cell>
          <cell r="Y56">
            <v>64139.982613189379</v>
          </cell>
          <cell r="Z56">
            <v>63063.573328652412</v>
          </cell>
          <cell r="AA56">
            <v>62050.720427858374</v>
          </cell>
          <cell r="AB56">
            <v>61424.173364880808</v>
          </cell>
          <cell r="AC56">
            <v>60846.941071885667</v>
          </cell>
          <cell r="AD56">
            <v>60421.303195674351</v>
          </cell>
          <cell r="AE56">
            <v>59998.790580756686</v>
          </cell>
          <cell r="AF56">
            <v>59788.680321140208</v>
          </cell>
          <cell r="AG56" t="str">
            <v/>
          </cell>
          <cell r="AH56" t="str">
            <v/>
          </cell>
          <cell r="AI56" t="str">
            <v/>
          </cell>
          <cell r="AJ56" t="str">
            <v/>
          </cell>
          <cell r="AK56">
            <v>0.1</v>
          </cell>
          <cell r="AL56">
            <v>0.5</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v>0</v>
          </cell>
          <cell r="BA56">
            <v>36</v>
          </cell>
        </row>
        <row r="57">
          <cell r="C57" t="str">
            <v>ERBIG-N</v>
          </cell>
          <cell r="D57" t="str">
            <v>Biogas</v>
          </cell>
          <cell r="E57" t="str">
            <v>PWRBIG</v>
          </cell>
          <cell r="F57">
            <v>0</v>
          </cell>
          <cell r="G57" t="str">
            <v>ELCC</v>
          </cell>
          <cell r="I57">
            <v>1</v>
          </cell>
          <cell r="J57">
            <v>1</v>
          </cell>
          <cell r="K57">
            <v>0.5</v>
          </cell>
          <cell r="L57">
            <v>0.96</v>
          </cell>
          <cell r="M57">
            <v>30</v>
          </cell>
          <cell r="N57">
            <v>1</v>
          </cell>
          <cell r="O57">
            <v>0</v>
          </cell>
          <cell r="P57">
            <v>0</v>
          </cell>
          <cell r="Q57">
            <v>953</v>
          </cell>
          <cell r="R57">
            <v>0</v>
          </cell>
          <cell r="S57">
            <v>2012</v>
          </cell>
          <cell r="T57">
            <v>0.01</v>
          </cell>
          <cell r="U57">
            <v>0</v>
          </cell>
          <cell r="V57">
            <v>0</v>
          </cell>
          <cell r="W57">
            <v>21076</v>
          </cell>
          <cell r="X57">
            <v>21076</v>
          </cell>
          <cell r="Y57">
            <v>21076</v>
          </cell>
          <cell r="Z57">
            <v>21076</v>
          </cell>
          <cell r="AA57">
            <v>21076</v>
          </cell>
          <cell r="AB57">
            <v>21076</v>
          </cell>
          <cell r="AC57">
            <v>21076</v>
          </cell>
          <cell r="AD57">
            <v>21076</v>
          </cell>
          <cell r="AE57">
            <v>21076</v>
          </cell>
          <cell r="AF57">
            <v>21076</v>
          </cell>
          <cell r="AG57" t="str">
            <v/>
          </cell>
          <cell r="AH57" t="str">
            <v/>
          </cell>
          <cell r="AI57" t="str">
            <v/>
          </cell>
          <cell r="AJ57" t="str">
            <v/>
          </cell>
          <cell r="AK57">
            <v>0.5</v>
          </cell>
          <cell r="AL57" t="str">
            <v/>
          </cell>
          <cell r="AM57" t="str">
            <v/>
          </cell>
          <cell r="AN57" t="str">
            <v/>
          </cell>
          <cell r="AO57" t="str">
            <v/>
          </cell>
          <cell r="AP57" t="str">
            <v/>
          </cell>
          <cell r="AQ57">
            <v>7.4999999999999997E-3</v>
          </cell>
          <cell r="AR57" t="str">
            <v/>
          </cell>
          <cell r="AS57" t="str">
            <v/>
          </cell>
          <cell r="AT57" t="str">
            <v/>
          </cell>
          <cell r="AU57" t="str">
            <v/>
          </cell>
          <cell r="AV57" t="str">
            <v/>
          </cell>
          <cell r="AW57" t="str">
            <v/>
          </cell>
          <cell r="AX57" t="str">
            <v/>
          </cell>
          <cell r="AY57" t="str">
            <v/>
          </cell>
          <cell r="AZ57">
            <v>0</v>
          </cell>
          <cell r="BA57">
            <v>25</v>
          </cell>
        </row>
        <row r="58">
          <cell r="C58" t="str">
            <v>ERSOLTC03-N</v>
          </cell>
          <cell r="D58" t="str">
            <v>Solar</v>
          </cell>
          <cell r="E58" t="str">
            <v>PWRSOL</v>
          </cell>
          <cell r="F58">
            <v>0</v>
          </cell>
          <cell r="G58" t="str">
            <v>ELCC</v>
          </cell>
          <cell r="I58">
            <v>1</v>
          </cell>
          <cell r="J58">
            <v>1</v>
          </cell>
          <cell r="K58">
            <v>0.318</v>
          </cell>
          <cell r="L58">
            <v>0.96</v>
          </cell>
          <cell r="M58">
            <v>30</v>
          </cell>
          <cell r="N58">
            <v>3</v>
          </cell>
          <cell r="O58">
            <v>68.055555555555557</v>
          </cell>
          <cell r="P58">
            <v>0</v>
          </cell>
          <cell r="Q58">
            <v>489</v>
          </cell>
          <cell r="R58">
            <v>0</v>
          </cell>
          <cell r="S58">
            <v>2014</v>
          </cell>
          <cell r="T58">
            <v>0.05</v>
          </cell>
          <cell r="U58">
            <v>0</v>
          </cell>
          <cell r="V58">
            <v>0</v>
          </cell>
          <cell r="W58">
            <v>41028.930586956827</v>
          </cell>
          <cell r="X58">
            <v>33914.25992779783</v>
          </cell>
          <cell r="Y58">
            <v>29519.544323948336</v>
          </cell>
          <cell r="Z58">
            <v>25377.15596388622</v>
          </cell>
          <cell r="AA58">
            <v>23461.213200502891</v>
          </cell>
          <cell r="AB58">
            <v>22229.509101726144</v>
          </cell>
          <cell r="AC58">
            <v>20989.463976067302</v>
          </cell>
          <cell r="AD58">
            <v>20242.110222219708</v>
          </cell>
          <cell r="AE58">
            <v>18826.2863646228</v>
          </cell>
          <cell r="AF58">
            <v>17509.491569398062</v>
          </cell>
          <cell r="AG58">
            <v>0.5</v>
          </cell>
          <cell r="AH58">
            <v>1</v>
          </cell>
          <cell r="AI58">
            <v>3</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v>0</v>
          </cell>
          <cell r="BA58">
            <v>20</v>
          </cell>
        </row>
        <row r="59">
          <cell r="C59" t="str">
            <v>ERSOLTC06-N</v>
          </cell>
          <cell r="D59" t="str">
            <v>Solar</v>
          </cell>
          <cell r="E59" t="str">
            <v>PWRSOL</v>
          </cell>
          <cell r="F59">
            <v>0</v>
          </cell>
          <cell r="G59" t="str">
            <v>ELCC</v>
          </cell>
          <cell r="I59">
            <v>1</v>
          </cell>
          <cell r="J59">
            <v>1</v>
          </cell>
          <cell r="K59">
            <v>0.4</v>
          </cell>
          <cell r="L59">
            <v>0.96</v>
          </cell>
          <cell r="M59">
            <v>30</v>
          </cell>
          <cell r="N59">
            <v>3</v>
          </cell>
          <cell r="O59">
            <v>68.055555555555557</v>
          </cell>
          <cell r="P59">
            <v>0</v>
          </cell>
          <cell r="Q59">
            <v>546</v>
          </cell>
          <cell r="R59">
            <v>0</v>
          </cell>
          <cell r="S59">
            <v>2014</v>
          </cell>
          <cell r="T59">
            <v>0.05</v>
          </cell>
          <cell r="U59">
            <v>0</v>
          </cell>
          <cell r="V59">
            <v>0</v>
          </cell>
          <cell r="W59">
            <v>48987.518953466344</v>
          </cell>
          <cell r="X59">
            <v>40492.779783393496</v>
          </cell>
          <cell r="Y59">
            <v>35245.5990536303</v>
          </cell>
          <cell r="Z59">
            <v>30299.690754336934</v>
          </cell>
          <cell r="AA59">
            <v>28012.102920769688</v>
          </cell>
          <cell r="AB59">
            <v>26541.478972723875</v>
          </cell>
          <cell r="AC59">
            <v>25060.896046790203</v>
          </cell>
          <cell r="AD59">
            <v>24168.574320198772</v>
          </cell>
          <cell r="AE59">
            <v>22478.115976133442</v>
          </cell>
          <cell r="AF59">
            <v>20905.895860569322</v>
          </cell>
          <cell r="AG59">
            <v>0.5</v>
          </cell>
          <cell r="AH59">
            <v>1</v>
          </cell>
          <cell r="AI59">
            <v>3</v>
          </cell>
          <cell r="AJ59" t="str">
            <v/>
          </cell>
          <cell r="AK59" t="str">
            <v/>
          </cell>
          <cell r="AL59" t="str">
            <v/>
          </cell>
          <cell r="AM59" t="str">
            <v/>
          </cell>
          <cell r="AN59" t="str">
            <v/>
          </cell>
          <cell r="AO59" t="str">
            <v/>
          </cell>
          <cell r="AP59" t="str">
            <v/>
          </cell>
          <cell r="AQ59" t="str">
            <v/>
          </cell>
          <cell r="AR59" t="str">
            <v/>
          </cell>
          <cell r="AS59" t="str">
            <v/>
          </cell>
          <cell r="AT59">
            <v>0.05</v>
          </cell>
          <cell r="AU59" t="str">
            <v/>
          </cell>
          <cell r="AV59" t="str">
            <v/>
          </cell>
          <cell r="AW59" t="str">
            <v/>
          </cell>
          <cell r="AX59" t="str">
            <v/>
          </cell>
          <cell r="AY59" t="str">
            <v/>
          </cell>
          <cell r="AZ59">
            <v>0</v>
          </cell>
          <cell r="BA59">
            <v>21</v>
          </cell>
        </row>
        <row r="60">
          <cell r="C60" t="str">
            <v>ERSOLTC09-N</v>
          </cell>
          <cell r="D60" t="str">
            <v>Solar</v>
          </cell>
          <cell r="E60" t="str">
            <v>PWRSOL</v>
          </cell>
          <cell r="F60">
            <v>0</v>
          </cell>
          <cell r="G60" t="str">
            <v>ELCC</v>
          </cell>
          <cell r="I60">
            <v>1</v>
          </cell>
          <cell r="J60">
            <v>1</v>
          </cell>
          <cell r="K60">
            <v>0.46799999999999997</v>
          </cell>
          <cell r="L60">
            <v>0.96</v>
          </cell>
          <cell r="M60">
            <v>30</v>
          </cell>
          <cell r="N60">
            <v>3</v>
          </cell>
          <cell r="O60">
            <v>68.055555555555557</v>
          </cell>
          <cell r="P60">
            <v>0</v>
          </cell>
          <cell r="Q60">
            <v>603</v>
          </cell>
          <cell r="R60">
            <v>0</v>
          </cell>
          <cell r="S60">
            <v>2014</v>
          </cell>
          <cell r="T60">
            <v>0.05</v>
          </cell>
          <cell r="U60">
            <v>0</v>
          </cell>
          <cell r="V60">
            <v>0</v>
          </cell>
          <cell r="W60">
            <v>56344.490885630046</v>
          </cell>
          <cell r="X60">
            <v>46574.007220216605</v>
          </cell>
          <cell r="Y60">
            <v>40538.802067568729</v>
          </cell>
          <cell r="Z60">
            <v>34850.114600962945</v>
          </cell>
          <cell r="AA60">
            <v>32218.975596741391</v>
          </cell>
          <cell r="AB60">
            <v>30527.492553569362</v>
          </cell>
          <cell r="AC60">
            <v>28824.554887856324</v>
          </cell>
          <cell r="AD60">
            <v>27798.223804652469</v>
          </cell>
          <cell r="AE60">
            <v>25853.891517683554</v>
          </cell>
          <cell r="AF60">
            <v>24045.554539937137</v>
          </cell>
          <cell r="AG60">
            <v>0.5</v>
          </cell>
          <cell r="AH60">
            <v>1</v>
          </cell>
          <cell r="AI60">
            <v>3</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v>0</v>
          </cell>
          <cell r="BA60">
            <v>22</v>
          </cell>
        </row>
        <row r="61">
          <cell r="C61" t="str">
            <v>ERSOLTC12-N</v>
          </cell>
          <cell r="D61" t="str">
            <v>Solar</v>
          </cell>
          <cell r="E61" t="str">
            <v>PWRSOL</v>
          </cell>
          <cell r="F61">
            <v>0</v>
          </cell>
          <cell r="G61" t="str">
            <v>ELCC</v>
          </cell>
          <cell r="I61">
            <v>1</v>
          </cell>
          <cell r="J61">
            <v>1</v>
          </cell>
          <cell r="K61">
            <v>0.6</v>
          </cell>
          <cell r="L61">
            <v>0.96</v>
          </cell>
          <cell r="M61">
            <v>30</v>
          </cell>
          <cell r="N61">
            <v>3</v>
          </cell>
          <cell r="O61">
            <v>68.055555555555557</v>
          </cell>
          <cell r="P61">
            <v>0</v>
          </cell>
          <cell r="Q61">
            <v>603</v>
          </cell>
          <cell r="R61">
            <v>0</v>
          </cell>
          <cell r="S61">
            <v>2014</v>
          </cell>
          <cell r="T61">
            <v>0.05</v>
          </cell>
          <cell r="U61">
            <v>0</v>
          </cell>
          <cell r="V61">
            <v>0</v>
          </cell>
          <cell r="W61">
            <v>60699.620615920277</v>
          </cell>
          <cell r="X61">
            <v>50173.930483614982</v>
          </cell>
          <cell r="Y61">
            <v>43672.236043805911</v>
          </cell>
          <cell r="Z61">
            <v>37543.843265771669</v>
          </cell>
          <cell r="AA61">
            <v>34709.331198421874</v>
          </cell>
          <cell r="AB61">
            <v>32887.105504569889</v>
          </cell>
          <cell r="AC61">
            <v>31052.539806724439</v>
          </cell>
          <cell r="AD61">
            <v>29946.878784722216</v>
          </cell>
          <cell r="AE61">
            <v>27852.259944171168</v>
          </cell>
          <cell r="AF61">
            <v>25904.14812756512</v>
          </cell>
          <cell r="AG61">
            <v>0.5</v>
          </cell>
          <cell r="AH61">
            <v>1</v>
          </cell>
          <cell r="AI61">
            <v>3</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v>0</v>
          </cell>
          <cell r="BA61">
            <v>23</v>
          </cell>
        </row>
        <row r="62">
          <cell r="C62" t="str">
            <v>ERSOLTC14-N</v>
          </cell>
          <cell r="D62" t="str">
            <v>Solar</v>
          </cell>
          <cell r="E62" t="str">
            <v>PWRSOL</v>
          </cell>
          <cell r="F62">
            <v>0</v>
          </cell>
          <cell r="G62" t="str">
            <v>ELCC</v>
          </cell>
          <cell r="I62">
            <v>1</v>
          </cell>
          <cell r="J62">
            <v>1</v>
          </cell>
          <cell r="K62">
            <v>0.70000000000000007</v>
          </cell>
          <cell r="L62">
            <v>0.96</v>
          </cell>
          <cell r="M62">
            <v>30</v>
          </cell>
          <cell r="N62">
            <v>3</v>
          </cell>
          <cell r="O62">
            <v>68.055555555555557</v>
          </cell>
          <cell r="P62">
            <v>0</v>
          </cell>
          <cell r="Q62">
            <v>603</v>
          </cell>
          <cell r="R62">
            <v>0</v>
          </cell>
          <cell r="S62">
            <v>2014</v>
          </cell>
          <cell r="T62">
            <v>0.05</v>
          </cell>
          <cell r="U62">
            <v>0</v>
          </cell>
          <cell r="V62">
            <v>0</v>
          </cell>
          <cell r="W62">
            <v>62527.219699167072</v>
          </cell>
          <cell r="X62">
            <v>51684.612567362514</v>
          </cell>
          <cell r="Y62">
            <v>44987.159230262587</v>
          </cell>
          <cell r="Z62">
            <v>38674.247259039614</v>
          </cell>
          <cell r="AA62">
            <v>35754.391138412793</v>
          </cell>
          <cell r="AB62">
            <v>33877.300225079038</v>
          </cell>
          <cell r="AC62">
            <v>31987.497763749452</v>
          </cell>
          <cell r="AD62">
            <v>30848.546499572916</v>
          </cell>
          <cell r="AE62">
            <v>28690.860980286503</v>
          </cell>
          <cell r="AF62">
            <v>26684.093650944724</v>
          </cell>
          <cell r="AG62">
            <v>0.5</v>
          </cell>
          <cell r="AH62">
            <v>1</v>
          </cell>
          <cell r="AI62">
            <v>3</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v>0</v>
          </cell>
          <cell r="BA62">
            <v>24</v>
          </cell>
        </row>
        <row r="63">
          <cell r="C63" t="str">
            <v>ERSOLTT00-N</v>
          </cell>
          <cell r="D63" t="str">
            <v>Solar</v>
          </cell>
          <cell r="E63" t="str">
            <v>PWRSOL</v>
          </cell>
          <cell r="F63">
            <v>0</v>
          </cell>
          <cell r="G63" t="str">
            <v>ELCC</v>
          </cell>
          <cell r="I63">
            <v>1</v>
          </cell>
          <cell r="J63">
            <v>0</v>
          </cell>
          <cell r="K63">
            <v>0.25</v>
          </cell>
          <cell r="L63">
            <v>0.96</v>
          </cell>
          <cell r="M63">
            <v>30</v>
          </cell>
          <cell r="N63">
            <v>3</v>
          </cell>
          <cell r="O63">
            <v>68.055555555555557</v>
          </cell>
          <cell r="P63">
            <v>0</v>
          </cell>
          <cell r="Q63">
            <v>424</v>
          </cell>
          <cell r="R63">
            <v>0</v>
          </cell>
          <cell r="S63">
            <v>2014</v>
          </cell>
          <cell r="T63">
            <v>0.05</v>
          </cell>
          <cell r="U63">
            <v>0</v>
          </cell>
          <cell r="V63">
            <v>0</v>
          </cell>
          <cell r="W63">
            <v>32384.582326831682</v>
          </cell>
          <cell r="X63">
            <v>26768.895191104224</v>
          </cell>
          <cell r="Y63">
            <v>23300.098241248554</v>
          </cell>
          <cell r="Z63">
            <v>20030.465936506316</v>
          </cell>
          <cell r="AA63">
            <v>18518.19142028947</v>
          </cell>
          <cell r="AB63">
            <v>17545.993943570149</v>
          </cell>
          <cell r="AC63">
            <v>16567.2128033751</v>
          </cell>
          <cell r="AD63">
            <v>15977.31833567873</v>
          </cell>
          <cell r="AE63">
            <v>14859.793125523351</v>
          </cell>
          <cell r="AF63">
            <v>13820.432634195909</v>
          </cell>
          <cell r="AG63">
            <v>0.5</v>
          </cell>
          <cell r="AH63">
            <v>1</v>
          </cell>
          <cell r="AI63">
            <v>3</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v>0</v>
          </cell>
          <cell r="BA63">
            <v>16</v>
          </cell>
        </row>
        <row r="64">
          <cell r="C64" t="str">
            <v>ERSOLTT03-N</v>
          </cell>
          <cell r="D64" t="str">
            <v>Solar</v>
          </cell>
          <cell r="E64" t="str">
            <v>PWRSOL</v>
          </cell>
          <cell r="F64">
            <v>0</v>
          </cell>
          <cell r="G64" t="str">
            <v>ELCC</v>
          </cell>
          <cell r="I64">
            <v>1</v>
          </cell>
          <cell r="J64">
            <v>0</v>
          </cell>
          <cell r="K64">
            <v>0.309</v>
          </cell>
          <cell r="L64">
            <v>0.96</v>
          </cell>
          <cell r="M64">
            <v>30</v>
          </cell>
          <cell r="N64">
            <v>3</v>
          </cell>
          <cell r="O64">
            <v>68.055555555555557</v>
          </cell>
          <cell r="P64">
            <v>0</v>
          </cell>
          <cell r="Q64">
            <v>513</v>
          </cell>
          <cell r="R64">
            <v>0</v>
          </cell>
          <cell r="S64">
            <v>2014</v>
          </cell>
          <cell r="T64">
            <v>0.05</v>
          </cell>
          <cell r="U64">
            <v>0</v>
          </cell>
          <cell r="V64">
            <v>0</v>
          </cell>
          <cell r="W64">
            <v>44152.750221554677</v>
          </cell>
          <cell r="X64">
            <v>36496.389891696745</v>
          </cell>
          <cell r="Y64">
            <v>31767.073831647624</v>
          </cell>
          <cell r="Z64">
            <v>27309.29645441709</v>
          </cell>
          <cell r="AA64">
            <v>25247.479559356412</v>
          </cell>
          <cell r="AB64">
            <v>23921.997207217228</v>
          </cell>
          <cell r="AC64">
            <v>22587.538767443104</v>
          </cell>
          <cell r="AD64">
            <v>21783.283741813357</v>
          </cell>
          <cell r="AE64">
            <v>20259.663305016813</v>
          </cell>
          <cell r="AF64">
            <v>18842.611706185136</v>
          </cell>
          <cell r="AG64">
            <v>0.5</v>
          </cell>
          <cell r="AH64">
            <v>1</v>
          </cell>
          <cell r="AI64">
            <v>3</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v>0</v>
          </cell>
          <cell r="BA64">
            <v>17</v>
          </cell>
        </row>
        <row r="65">
          <cell r="C65" t="str">
            <v>ERSOLTT06-N</v>
          </cell>
          <cell r="D65" t="str">
            <v>Solar</v>
          </cell>
          <cell r="E65" t="str">
            <v>PWRSOL</v>
          </cell>
          <cell r="F65">
            <v>0</v>
          </cell>
          <cell r="G65" t="str">
            <v>ELCC</v>
          </cell>
          <cell r="I65">
            <v>1</v>
          </cell>
          <cell r="J65">
            <v>1</v>
          </cell>
          <cell r="K65">
            <v>0.36899999999999999</v>
          </cell>
          <cell r="L65">
            <v>0.96</v>
          </cell>
          <cell r="M65">
            <v>30</v>
          </cell>
          <cell r="N65">
            <v>3</v>
          </cell>
          <cell r="O65">
            <v>68.055555555555557</v>
          </cell>
          <cell r="P65">
            <v>0</v>
          </cell>
          <cell r="Q65">
            <v>562</v>
          </cell>
          <cell r="R65">
            <v>0</v>
          </cell>
          <cell r="S65">
            <v>2014</v>
          </cell>
          <cell r="T65">
            <v>0.05</v>
          </cell>
          <cell r="U65">
            <v>0</v>
          </cell>
          <cell r="V65">
            <v>0</v>
          </cell>
          <cell r="W65">
            <v>55783.273377002537</v>
          </cell>
          <cell r="X65">
            <v>46110.108303249093</v>
          </cell>
          <cell r="Y65">
            <v>40135.016619488531</v>
          </cell>
          <cell r="Z65">
            <v>34502.99114338417</v>
          </cell>
          <cell r="AA65">
            <v>31898.059515493325</v>
          </cell>
          <cell r="AB65">
            <v>30223.424435351109</v>
          </cell>
          <cell r="AC65">
            <v>28537.448826071224</v>
          </cell>
          <cell r="AD65">
            <v>27521.340480964547</v>
          </cell>
          <cell r="AE65">
            <v>25596.374653872816</v>
          </cell>
          <cell r="AF65">
            <v>23806.049559053332</v>
          </cell>
          <cell r="AG65">
            <v>0.5</v>
          </cell>
          <cell r="AH65">
            <v>1</v>
          </cell>
          <cell r="AI65">
            <v>3</v>
          </cell>
          <cell r="AJ65" t="str">
            <v/>
          </cell>
          <cell r="AK65" t="str">
            <v/>
          </cell>
          <cell r="AL65" t="str">
            <v/>
          </cell>
          <cell r="AM65" t="str">
            <v/>
          </cell>
          <cell r="AN65" t="str">
            <v/>
          </cell>
          <cell r="AO65" t="str">
            <v/>
          </cell>
          <cell r="AP65" t="str">
            <v/>
          </cell>
          <cell r="AQ65" t="str">
            <v/>
          </cell>
          <cell r="AR65" t="str">
            <v/>
          </cell>
          <cell r="AS65" t="str">
            <v/>
          </cell>
          <cell r="AT65" t="str">
            <v/>
          </cell>
          <cell r="AU65">
            <v>0.1</v>
          </cell>
          <cell r="AV65" t="str">
            <v/>
          </cell>
          <cell r="AW65" t="str">
            <v/>
          </cell>
          <cell r="AX65" t="str">
            <v/>
          </cell>
          <cell r="AY65" t="str">
            <v/>
          </cell>
          <cell r="AZ65">
            <v>0</v>
          </cell>
          <cell r="BA65">
            <v>18</v>
          </cell>
        </row>
        <row r="66">
          <cell r="C66" t="str">
            <v>ERSOLTT09-N</v>
          </cell>
          <cell r="D66" t="str">
            <v>Solar</v>
          </cell>
          <cell r="E66" t="str">
            <v>PWRSOL</v>
          </cell>
          <cell r="F66">
            <v>0</v>
          </cell>
          <cell r="G66" t="str">
            <v>ELCC</v>
          </cell>
          <cell r="I66">
            <v>1</v>
          </cell>
          <cell r="J66">
            <v>1</v>
          </cell>
          <cell r="K66">
            <v>0.42799999999999999</v>
          </cell>
          <cell r="L66">
            <v>0.96</v>
          </cell>
          <cell r="M66">
            <v>30</v>
          </cell>
          <cell r="N66">
            <v>3</v>
          </cell>
          <cell r="O66">
            <v>68.055555555555557</v>
          </cell>
          <cell r="P66">
            <v>0</v>
          </cell>
          <cell r="Q66">
            <v>635</v>
          </cell>
          <cell r="R66">
            <v>0</v>
          </cell>
          <cell r="S66">
            <v>2014</v>
          </cell>
          <cell r="T66">
            <v>0.05</v>
          </cell>
          <cell r="U66">
            <v>0</v>
          </cell>
          <cell r="V66">
            <v>0</v>
          </cell>
          <cell r="W66">
            <v>66795.802155245779</v>
          </cell>
          <cell r="X66">
            <v>55212.99638989169</v>
          </cell>
          <cell r="Y66">
            <v>48058.324069560193</v>
          </cell>
          <cell r="Z66">
            <v>41314.444826534935</v>
          </cell>
          <cell r="AA66">
            <v>38195.257172045793</v>
          </cell>
          <cell r="AB66">
            <v>36190.021790116254</v>
          </cell>
          <cell r="AC66">
            <v>34171.20707347295</v>
          </cell>
          <cell r="AD66">
            <v>32954.502353953554</v>
          </cell>
          <cell r="AE66">
            <v>30649.516849194035</v>
          </cell>
          <cell r="AF66">
            <v>28505.752355150646</v>
          </cell>
          <cell r="AG66">
            <v>0.5</v>
          </cell>
          <cell r="AH66">
            <v>1</v>
          </cell>
          <cell r="AI66">
            <v>3</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v>0.05</v>
          </cell>
          <cell r="AW66" t="str">
            <v/>
          </cell>
          <cell r="AX66" t="str">
            <v/>
          </cell>
          <cell r="AY66" t="str">
            <v/>
          </cell>
          <cell r="AZ66">
            <v>0</v>
          </cell>
          <cell r="BA66">
            <v>19</v>
          </cell>
        </row>
        <row r="67">
          <cell r="C67" t="str">
            <v>ERSOLPCF-N</v>
          </cell>
          <cell r="D67" t="str">
            <v>Solar</v>
          </cell>
          <cell r="E67" t="str">
            <v>PWRSOL</v>
          </cell>
          <cell r="F67">
            <v>0</v>
          </cell>
          <cell r="G67" t="str">
            <v>ELCC</v>
          </cell>
          <cell r="I67">
            <v>1</v>
          </cell>
          <cell r="J67">
            <v>0</v>
          </cell>
          <cell r="K67">
            <v>0.19399999999999998</v>
          </cell>
          <cell r="L67">
            <v>0.96</v>
          </cell>
          <cell r="M67">
            <v>25</v>
          </cell>
          <cell r="N67">
            <v>1</v>
          </cell>
          <cell r="O67">
            <v>0</v>
          </cell>
          <cell r="P67">
            <v>0</v>
          </cell>
          <cell r="Q67">
            <v>208</v>
          </cell>
          <cell r="R67">
            <v>0</v>
          </cell>
          <cell r="S67">
            <v>2012</v>
          </cell>
          <cell r="T67">
            <v>0.01</v>
          </cell>
          <cell r="U67">
            <v>0</v>
          </cell>
          <cell r="V67">
            <v>0</v>
          </cell>
          <cell r="W67">
            <v>20922.617168240831</v>
          </cell>
          <cell r="X67">
            <v>17373.646209386279</v>
          </cell>
          <cell r="Y67">
            <v>15474.520395538284</v>
          </cell>
          <cell r="Z67">
            <v>13853.720335580088</v>
          </cell>
          <cell r="AA67">
            <v>12457.076223485108</v>
          </cell>
          <cell r="AB67">
            <v>11244.186812110003</v>
          </cell>
          <cell r="AC67">
            <v>9977.0813264140015</v>
          </cell>
          <cell r="AD67">
            <v>8887.1640822097288</v>
          </cell>
          <cell r="AE67">
            <v>7921.6103206471598</v>
          </cell>
          <cell r="AF67">
            <v>7480.1520117258478</v>
          </cell>
          <cell r="AG67">
            <v>1</v>
          </cell>
          <cell r="AH67" t="str">
            <v/>
          </cell>
          <cell r="AI67">
            <v>3</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v>0</v>
          </cell>
          <cell r="BA67">
            <v>12</v>
          </cell>
        </row>
        <row r="68">
          <cell r="C68" t="str">
            <v>ERSOLPCT-N</v>
          </cell>
          <cell r="D68" t="str">
            <v>Solar</v>
          </cell>
          <cell r="E68" t="str">
            <v>PWRSOL</v>
          </cell>
          <cell r="F68">
            <v>0</v>
          </cell>
          <cell r="G68" t="str">
            <v>ELCC</v>
          </cell>
          <cell r="I68">
            <v>1</v>
          </cell>
          <cell r="J68">
            <v>0</v>
          </cell>
          <cell r="K68">
            <v>0.26800000000000002</v>
          </cell>
          <cell r="L68">
            <v>0.96</v>
          </cell>
          <cell r="M68">
            <v>25</v>
          </cell>
          <cell r="N68">
            <v>1</v>
          </cell>
          <cell r="O68">
            <v>0</v>
          </cell>
          <cell r="P68">
            <v>0</v>
          </cell>
          <cell r="Q68">
            <v>228.8</v>
          </cell>
          <cell r="R68">
            <v>0</v>
          </cell>
          <cell r="S68">
            <v>2012</v>
          </cell>
          <cell r="T68">
            <v>0.01</v>
          </cell>
          <cell r="U68">
            <v>0</v>
          </cell>
          <cell r="V68">
            <v>0</v>
          </cell>
          <cell r="W68">
            <v>23014.878885064914</v>
          </cell>
          <cell r="X68">
            <v>19111.010830324907</v>
          </cell>
          <cell r="Y68">
            <v>17021.972435092113</v>
          </cell>
          <cell r="Z68">
            <v>15239.092369138096</v>
          </cell>
          <cell r="AA68">
            <v>13702.783845833619</v>
          </cell>
          <cell r="AB68">
            <v>12368.605493321003</v>
          </cell>
          <cell r="AC68">
            <v>10974.789459055401</v>
          </cell>
          <cell r="AD68">
            <v>9775.8804904307017</v>
          </cell>
          <cell r="AE68">
            <v>8713.7713527118758</v>
          </cell>
          <cell r="AF68">
            <v>8228.1672128984319</v>
          </cell>
          <cell r="AG68">
            <v>1</v>
          </cell>
          <cell r="AH68" t="str">
            <v/>
          </cell>
          <cell r="AI68">
            <v>3</v>
          </cell>
          <cell r="AJ68" t="str">
            <v/>
          </cell>
          <cell r="AK68" t="str">
            <v/>
          </cell>
          <cell r="AL68" t="str">
            <v/>
          </cell>
          <cell r="AM68" t="str">
            <v/>
          </cell>
          <cell r="AN68" t="str">
            <v/>
          </cell>
          <cell r="AO68" t="str">
            <v/>
          </cell>
          <cell r="AP68" t="str">
            <v/>
          </cell>
          <cell r="AQ68" t="str">
            <v/>
          </cell>
          <cell r="AR68">
            <v>0.36569999999999997</v>
          </cell>
          <cell r="AS68">
            <v>0.68230000000000013</v>
          </cell>
          <cell r="AT68">
            <v>0.40100000000000002</v>
          </cell>
          <cell r="AU68" t="str">
            <v/>
          </cell>
          <cell r="AV68" t="str">
            <v/>
          </cell>
          <cell r="AW68" t="str">
            <v/>
          </cell>
          <cell r="AX68" t="str">
            <v/>
          </cell>
          <cell r="AY68" t="str">
            <v/>
          </cell>
          <cell r="AZ68">
            <v>0</v>
          </cell>
          <cell r="BA68">
            <v>13</v>
          </cell>
        </row>
        <row r="69">
          <cell r="C69" t="str">
            <v>ERSOLPRC-N</v>
          </cell>
          <cell r="D69" t="str">
            <v>Solar</v>
          </cell>
          <cell r="E69" t="str">
            <v>PWRSOL</v>
          </cell>
          <cell r="F69">
            <v>0</v>
          </cell>
          <cell r="G69" t="str">
            <v>COMELC</v>
          </cell>
          <cell r="I69">
            <v>1</v>
          </cell>
          <cell r="J69">
            <v>0</v>
          </cell>
          <cell r="K69">
            <v>0.17599999999999999</v>
          </cell>
          <cell r="L69">
            <v>0.96</v>
          </cell>
          <cell r="M69">
            <v>25</v>
          </cell>
          <cell r="N69">
            <v>1</v>
          </cell>
          <cell r="O69">
            <v>0</v>
          </cell>
          <cell r="P69">
            <v>0</v>
          </cell>
          <cell r="Q69">
            <v>208</v>
          </cell>
          <cell r="R69">
            <v>0</v>
          </cell>
          <cell r="S69">
            <v>2012</v>
          </cell>
          <cell r="T69">
            <v>1E-4</v>
          </cell>
          <cell r="U69">
            <v>0</v>
          </cell>
          <cell r="V69">
            <v>0</v>
          </cell>
          <cell r="W69">
            <v>27199.402318713081</v>
          </cell>
          <cell r="X69">
            <v>22585.740072202163</v>
          </cell>
          <cell r="Y69">
            <v>20116.876514199768</v>
          </cell>
          <cell r="Z69">
            <v>18009.836436254114</v>
          </cell>
          <cell r="AA69">
            <v>16194.199090530641</v>
          </cell>
          <cell r="AB69">
            <v>14617.442855743004</v>
          </cell>
          <cell r="AC69">
            <v>12970.205724338202</v>
          </cell>
          <cell r="AD69">
            <v>11553.313306872647</v>
          </cell>
          <cell r="AE69">
            <v>10298.093416841308</v>
          </cell>
          <cell r="AF69">
            <v>9724.1976152436018</v>
          </cell>
          <cell r="AG69">
            <v>1</v>
          </cell>
          <cell r="AH69" t="str">
            <v/>
          </cell>
          <cell r="AI69">
            <v>3</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v>0</v>
          </cell>
          <cell r="BA69">
            <v>14</v>
          </cell>
        </row>
        <row r="70">
          <cell r="C70" t="str">
            <v>ERSOLPRR-N</v>
          </cell>
          <cell r="D70" t="str">
            <v>Solar</v>
          </cell>
          <cell r="E70" t="str">
            <v>PWRSOL</v>
          </cell>
          <cell r="F70">
            <v>0</v>
          </cell>
          <cell r="G70" t="str">
            <v>RESELC</v>
          </cell>
          <cell r="I70">
            <v>1</v>
          </cell>
          <cell r="J70">
            <v>0</v>
          </cell>
          <cell r="K70">
            <v>0.17599999999999999</v>
          </cell>
          <cell r="L70">
            <v>0.96</v>
          </cell>
          <cell r="M70">
            <v>25</v>
          </cell>
          <cell r="N70">
            <v>1</v>
          </cell>
          <cell r="O70">
            <v>0</v>
          </cell>
          <cell r="P70">
            <v>0</v>
          </cell>
          <cell r="Q70">
            <v>208</v>
          </cell>
          <cell r="R70">
            <v>0</v>
          </cell>
          <cell r="S70">
            <v>2012</v>
          </cell>
          <cell r="T70">
            <v>1E-4</v>
          </cell>
          <cell r="U70">
            <v>0</v>
          </cell>
          <cell r="V70">
            <v>0</v>
          </cell>
          <cell r="W70">
            <v>32953.122039979302</v>
          </cell>
          <cell r="X70">
            <v>27363.492779783384</v>
          </cell>
          <cell r="Y70">
            <v>24372.369622972794</v>
          </cell>
          <cell r="Z70">
            <v>21819.609528538633</v>
          </cell>
          <cell r="AA70">
            <v>19619.895051989042</v>
          </cell>
          <cell r="AB70">
            <v>17709.594229073249</v>
          </cell>
          <cell r="AC70">
            <v>15713.903089102048</v>
          </cell>
          <cell r="AD70">
            <v>13997.28342948032</v>
          </cell>
          <cell r="AE70">
            <v>12476.536255019273</v>
          </cell>
          <cell r="AF70">
            <v>11781.239418468207</v>
          </cell>
          <cell r="AG70">
            <v>1</v>
          </cell>
          <cell r="AH70" t="str">
            <v/>
          </cell>
          <cell r="AI70">
            <v>3</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v>0</v>
          </cell>
          <cell r="BA70">
            <v>15</v>
          </cell>
        </row>
        <row r="71">
          <cell r="C71" t="str">
            <v>ERWNDH-N</v>
          </cell>
          <cell r="D71" t="str">
            <v>Wind</v>
          </cell>
          <cell r="E71" t="str">
            <v>PWRWND</v>
          </cell>
          <cell r="F71">
            <v>0</v>
          </cell>
          <cell r="G71" t="str">
            <v>ELCC</v>
          </cell>
          <cell r="I71">
            <v>1</v>
          </cell>
          <cell r="J71">
            <v>0.15</v>
          </cell>
          <cell r="K71">
            <v>0.3</v>
          </cell>
          <cell r="L71">
            <v>0.31914893617021278</v>
          </cell>
          <cell r="M71">
            <v>20</v>
          </cell>
          <cell r="N71">
            <v>2</v>
          </cell>
          <cell r="O71">
            <v>0</v>
          </cell>
          <cell r="P71">
            <v>0</v>
          </cell>
          <cell r="Q71">
            <v>266</v>
          </cell>
          <cell r="R71">
            <v>0</v>
          </cell>
          <cell r="S71">
            <v>2012</v>
          </cell>
          <cell r="T71">
            <v>2E-3</v>
          </cell>
          <cell r="U71">
            <v>0</v>
          </cell>
          <cell r="V71">
            <v>0</v>
          </cell>
          <cell r="W71">
            <v>14852.844403049674</v>
          </cell>
          <cell r="X71">
            <v>13893.501805054151</v>
          </cell>
          <cell r="Y71">
            <v>13674.647414454164</v>
          </cell>
          <cell r="Z71">
            <v>13487.501735279824</v>
          </cell>
          <cell r="AA71">
            <v>13330.246210163632</v>
          </cell>
          <cell r="AB71">
            <v>13251.875113778782</v>
          </cell>
          <cell r="AC71">
            <v>13087.688987334595</v>
          </cell>
          <cell r="AD71">
            <v>12984.175046211076</v>
          </cell>
          <cell r="AE71">
            <v>12881.520435819442</v>
          </cell>
          <cell r="AF71">
            <v>12830.507987998632</v>
          </cell>
          <cell r="AG71">
            <v>1.6</v>
          </cell>
          <cell r="AH71" t="str">
            <v/>
          </cell>
          <cell r="AI71">
            <v>3.2</v>
          </cell>
          <cell r="AJ71" t="str">
            <v/>
          </cell>
          <cell r="AK71">
            <v>26</v>
          </cell>
          <cell r="AL71" t="str">
            <v/>
          </cell>
          <cell r="AM71" t="str">
            <v/>
          </cell>
          <cell r="AN71" t="str">
            <v/>
          </cell>
          <cell r="AO71" t="str">
            <v/>
          </cell>
          <cell r="AP71" t="str">
            <v/>
          </cell>
          <cell r="AQ71" t="str">
            <v/>
          </cell>
          <cell r="AR71">
            <v>0.3639</v>
          </cell>
          <cell r="AS71">
            <v>0.83210000000000017</v>
          </cell>
          <cell r="AT71">
            <v>0.753</v>
          </cell>
          <cell r="AU71" t="str">
            <v/>
          </cell>
          <cell r="AV71" t="str">
            <v/>
          </cell>
          <cell r="AW71" t="str">
            <v/>
          </cell>
          <cell r="AX71" t="str">
            <v/>
          </cell>
          <cell r="AY71" t="str">
            <v/>
          </cell>
          <cell r="AZ71">
            <v>0</v>
          </cell>
          <cell r="BA71">
            <v>10</v>
          </cell>
        </row>
        <row r="72">
          <cell r="C72" t="str">
            <v>ERWNDM-N</v>
          </cell>
          <cell r="D72" t="str">
            <v>Wind</v>
          </cell>
          <cell r="E72" t="str">
            <v>PWRWND</v>
          </cell>
          <cell r="F72">
            <v>0</v>
          </cell>
          <cell r="G72" t="str">
            <v>ELCC</v>
          </cell>
          <cell r="I72">
            <v>1</v>
          </cell>
          <cell r="J72">
            <v>0.125</v>
          </cell>
          <cell r="K72">
            <v>0.25</v>
          </cell>
          <cell r="L72">
            <v>0.26595744680851063</v>
          </cell>
          <cell r="M72">
            <v>20</v>
          </cell>
          <cell r="N72">
            <v>2</v>
          </cell>
          <cell r="O72">
            <v>0</v>
          </cell>
          <cell r="P72">
            <v>0</v>
          </cell>
          <cell r="Q72">
            <v>266</v>
          </cell>
          <cell r="R72">
            <v>0</v>
          </cell>
          <cell r="S72">
            <v>2015</v>
          </cell>
          <cell r="T72">
            <v>2E-3</v>
          </cell>
          <cell r="U72">
            <v>0</v>
          </cell>
          <cell r="V72">
            <v>0</v>
          </cell>
          <cell r="W72">
            <v>14852.844403049674</v>
          </cell>
          <cell r="X72">
            <v>13893.501805054151</v>
          </cell>
          <cell r="Y72">
            <v>13674.647414454164</v>
          </cell>
          <cell r="Z72">
            <v>13487.501735279824</v>
          </cell>
          <cell r="AA72">
            <v>13330.246210163632</v>
          </cell>
          <cell r="AB72">
            <v>13251.875113778782</v>
          </cell>
          <cell r="AC72">
            <v>13087.688987334595</v>
          </cell>
          <cell r="AD72">
            <v>12984.175046211076</v>
          </cell>
          <cell r="AE72">
            <v>12881.520435819442</v>
          </cell>
          <cell r="AF72">
            <v>12830.507987998632</v>
          </cell>
          <cell r="AG72">
            <v>1.6</v>
          </cell>
          <cell r="AH72" t="str">
            <v/>
          </cell>
          <cell r="AI72">
            <v>3.2</v>
          </cell>
          <cell r="AJ72" t="str">
            <v/>
          </cell>
          <cell r="AK72">
            <v>30</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v>0</v>
          </cell>
          <cell r="BA72">
            <v>11</v>
          </cell>
        </row>
        <row r="73">
          <cell r="C73" t="str">
            <v>ERHYDGIW-I</v>
          </cell>
          <cell r="D73" t="str">
            <v>Hydro</v>
          </cell>
          <cell r="E73" t="str">
            <v>PWRHYD</v>
          </cell>
          <cell r="F73">
            <v>0</v>
          </cell>
          <cell r="G73" t="str">
            <v>ELCC</v>
          </cell>
          <cell r="I73">
            <v>1</v>
          </cell>
          <cell r="J73">
            <v>1</v>
          </cell>
          <cell r="K73">
            <v>0.8</v>
          </cell>
          <cell r="L73">
            <v>0.8</v>
          </cell>
          <cell r="M73">
            <v>50</v>
          </cell>
          <cell r="N73">
            <v>0</v>
          </cell>
          <cell r="O73">
            <v>0</v>
          </cell>
          <cell r="P73">
            <v>0</v>
          </cell>
          <cell r="Q73">
            <v>0</v>
          </cell>
          <cell r="R73">
            <v>133.0400773605468</v>
          </cell>
          <cell r="S73">
            <v>2022</v>
          </cell>
          <cell r="T73">
            <v>2.4500000000000002</v>
          </cell>
          <cell r="U73">
            <v>0</v>
          </cell>
          <cell r="V73">
            <v>0</v>
          </cell>
          <cell r="W73">
            <v>0</v>
          </cell>
          <cell r="X73">
            <v>0</v>
          </cell>
          <cell r="Y73">
            <v>0</v>
          </cell>
          <cell r="Z73">
            <v>0</v>
          </cell>
          <cell r="AA73">
            <v>0</v>
          </cell>
          <cell r="AB73">
            <v>0</v>
          </cell>
          <cell r="AC73">
            <v>0</v>
          </cell>
          <cell r="AD73">
            <v>0</v>
          </cell>
          <cell r="AE73">
            <v>0</v>
          </cell>
          <cell r="AF73">
            <v>0</v>
          </cell>
          <cell r="AG73">
            <v>2.6</v>
          </cell>
          <cell r="AH73" t="str">
            <v/>
          </cell>
          <cell r="AI73">
            <v>0</v>
          </cell>
          <cell r="AJ73" t="str">
            <v/>
          </cell>
          <cell r="AK73">
            <v>2.6</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v>0</v>
          </cell>
          <cell r="BA73">
            <v>39</v>
          </cell>
        </row>
        <row r="74">
          <cell r="C74" t="str">
            <v>ERHYDGIE-I</v>
          </cell>
          <cell r="D74" t="str">
            <v>Hydro</v>
          </cell>
          <cell r="E74" t="str">
            <v>PWRHYD</v>
          </cell>
          <cell r="F74">
            <v>0</v>
          </cell>
          <cell r="G74" t="str">
            <v>ELCC</v>
          </cell>
          <cell r="I74">
            <v>1</v>
          </cell>
          <cell r="J74">
            <v>1</v>
          </cell>
          <cell r="K74">
            <v>0.8</v>
          </cell>
          <cell r="L74">
            <v>0.8</v>
          </cell>
          <cell r="M74">
            <v>50</v>
          </cell>
          <cell r="N74">
            <v>0</v>
          </cell>
          <cell r="O74">
            <v>0</v>
          </cell>
          <cell r="P74">
            <v>0</v>
          </cell>
          <cell r="Q74">
            <v>0</v>
          </cell>
          <cell r="R74">
            <v>149.70073655046846</v>
          </cell>
          <cell r="S74">
            <v>2027</v>
          </cell>
          <cell r="T74">
            <v>3.75</v>
          </cell>
          <cell r="U74">
            <v>0</v>
          </cell>
          <cell r="V74">
            <v>0</v>
          </cell>
          <cell r="W74">
            <v>0</v>
          </cell>
          <cell r="X74">
            <v>0</v>
          </cell>
          <cell r="Y74">
            <v>0</v>
          </cell>
          <cell r="Z74">
            <v>0</v>
          </cell>
          <cell r="AA74">
            <v>0</v>
          </cell>
          <cell r="AB74">
            <v>0</v>
          </cell>
          <cell r="AC74">
            <v>0</v>
          </cell>
          <cell r="AD74">
            <v>0</v>
          </cell>
          <cell r="AE74">
            <v>0</v>
          </cell>
          <cell r="AF74">
            <v>0</v>
          </cell>
          <cell r="AG74">
            <v>3.6</v>
          </cell>
          <cell r="AH74" t="str">
            <v/>
          </cell>
          <cell r="AI74" t="str">
            <v/>
          </cell>
          <cell r="AJ74" t="str">
            <v/>
          </cell>
          <cell r="AK74">
            <v>3.6</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v>0</v>
          </cell>
          <cell r="BA74">
            <v>40</v>
          </cell>
        </row>
        <row r="75">
          <cell r="C75">
            <v>0</v>
          </cell>
          <cell r="D75">
            <v>0</v>
          </cell>
          <cell r="E75">
            <v>0</v>
          </cell>
          <cell r="F75">
            <v>0</v>
          </cell>
          <cell r="G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t="e">
            <v>#N/A</v>
          </cell>
        </row>
        <row r="76">
          <cell r="C76">
            <v>0</v>
          </cell>
          <cell r="D76">
            <v>0</v>
          </cell>
          <cell r="E76">
            <v>0</v>
          </cell>
          <cell r="F76">
            <v>0</v>
          </cell>
          <cell r="G76">
            <v>0</v>
          </cell>
          <cell r="I76">
            <v>0</v>
          </cell>
          <cell r="J76">
            <v>0</v>
          </cell>
          <cell r="K76">
            <v>0</v>
          </cell>
          <cell r="L76">
            <v>0</v>
          </cell>
          <cell r="M76">
            <v>0</v>
          </cell>
          <cell r="N76">
            <v>0</v>
          </cell>
          <cell r="O76">
            <v>0</v>
          </cell>
          <cell r="P76">
            <v>0</v>
          </cell>
          <cell r="Q76">
            <v>0</v>
          </cell>
          <cell r="R76">
            <v>0</v>
          </cell>
          <cell r="S76">
            <v>0</v>
          </cell>
          <cell r="T76">
            <v>0</v>
          </cell>
          <cell r="U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e">
            <v>#N/A</v>
          </cell>
        </row>
        <row r="77">
          <cell r="C77">
            <v>0</v>
          </cell>
          <cell r="D77">
            <v>0</v>
          </cell>
          <cell r="E77">
            <v>0</v>
          </cell>
          <cell r="F77">
            <v>0</v>
          </cell>
          <cell r="G77">
            <v>0</v>
          </cell>
          <cell r="I77">
            <v>0</v>
          </cell>
          <cell r="J77">
            <v>0</v>
          </cell>
          <cell r="K77">
            <v>0</v>
          </cell>
          <cell r="L77">
            <v>0</v>
          </cell>
          <cell r="M77">
            <v>0</v>
          </cell>
          <cell r="N77">
            <v>0</v>
          </cell>
          <cell r="O77">
            <v>0</v>
          </cell>
          <cell r="P77">
            <v>0</v>
          </cell>
          <cell r="Q77">
            <v>0</v>
          </cell>
          <cell r="R77">
            <v>0</v>
          </cell>
          <cell r="S77">
            <v>0</v>
          </cell>
          <cell r="T77">
            <v>0</v>
          </cell>
          <cell r="U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e">
            <v>#N/A</v>
          </cell>
        </row>
        <row r="78">
          <cell r="C78">
            <v>0</v>
          </cell>
          <cell r="D78">
            <v>0</v>
          </cell>
          <cell r="E78">
            <v>0</v>
          </cell>
          <cell r="F78">
            <v>0</v>
          </cell>
          <cell r="G78">
            <v>0</v>
          </cell>
          <cell r="I78">
            <v>0</v>
          </cell>
          <cell r="J78">
            <v>0</v>
          </cell>
          <cell r="K78">
            <v>0</v>
          </cell>
          <cell r="L78">
            <v>0</v>
          </cell>
          <cell r="M78">
            <v>0</v>
          </cell>
          <cell r="N78">
            <v>0</v>
          </cell>
          <cell r="O78">
            <v>0</v>
          </cell>
          <cell r="P78">
            <v>0</v>
          </cell>
          <cell r="Q78">
            <v>0</v>
          </cell>
          <cell r="R78">
            <v>0</v>
          </cell>
          <cell r="S78">
            <v>0</v>
          </cell>
          <cell r="T78">
            <v>0</v>
          </cell>
          <cell r="U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t="e">
            <v>#N/A</v>
          </cell>
        </row>
        <row r="79">
          <cell r="C79">
            <v>0</v>
          </cell>
          <cell r="D79">
            <v>0</v>
          </cell>
          <cell r="E79">
            <v>0</v>
          </cell>
          <cell r="F79">
            <v>0</v>
          </cell>
          <cell r="G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e">
            <v>#N/A</v>
          </cell>
        </row>
        <row r="80">
          <cell r="C80">
            <v>0</v>
          </cell>
          <cell r="D80">
            <v>0</v>
          </cell>
          <cell r="E80">
            <v>0</v>
          </cell>
          <cell r="F80">
            <v>0</v>
          </cell>
          <cell r="G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t="e">
            <v>#N/A</v>
          </cell>
        </row>
        <row r="81">
          <cell r="C81">
            <v>0</v>
          </cell>
          <cell r="D81">
            <v>0</v>
          </cell>
          <cell r="E81">
            <v>0</v>
          </cell>
          <cell r="F81">
            <v>0</v>
          </cell>
          <cell r="G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t="e">
            <v>#N/A</v>
          </cell>
        </row>
        <row r="82">
          <cell r="C82">
            <v>0</v>
          </cell>
          <cell r="D82">
            <v>0</v>
          </cell>
          <cell r="E82">
            <v>0</v>
          </cell>
          <cell r="F82">
            <v>0</v>
          </cell>
          <cell r="G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t="e">
            <v>#N/A</v>
          </cell>
        </row>
        <row r="83">
          <cell r="C83">
            <v>0</v>
          </cell>
          <cell r="D83">
            <v>0</v>
          </cell>
          <cell r="E83">
            <v>0</v>
          </cell>
          <cell r="F83">
            <v>0</v>
          </cell>
          <cell r="G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t="e">
            <v>#N/A</v>
          </cell>
        </row>
        <row r="84">
          <cell r="C84">
            <v>0</v>
          </cell>
          <cell r="D84">
            <v>0</v>
          </cell>
          <cell r="E84">
            <v>0</v>
          </cell>
          <cell r="F84">
            <v>0</v>
          </cell>
          <cell r="G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t="e">
            <v>#N/A</v>
          </cell>
        </row>
        <row r="85">
          <cell r="C85">
            <v>0</v>
          </cell>
          <cell r="D85">
            <v>0</v>
          </cell>
          <cell r="E85">
            <v>0</v>
          </cell>
          <cell r="F85">
            <v>0</v>
          </cell>
          <cell r="G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t="e">
            <v>#N/A</v>
          </cell>
        </row>
        <row r="86">
          <cell r="C86">
            <v>0</v>
          </cell>
          <cell r="D86">
            <v>0</v>
          </cell>
          <cell r="E86">
            <v>0</v>
          </cell>
          <cell r="F86">
            <v>0</v>
          </cell>
          <cell r="G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t="e">
            <v>#N/A</v>
          </cell>
        </row>
        <row r="87">
          <cell r="C87">
            <v>0</v>
          </cell>
          <cell r="D87">
            <v>0</v>
          </cell>
          <cell r="E87">
            <v>0</v>
          </cell>
          <cell r="F87">
            <v>0</v>
          </cell>
          <cell r="G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t="e">
            <v>#N/A</v>
          </cell>
        </row>
        <row r="88">
          <cell r="C88">
            <v>0</v>
          </cell>
          <cell r="D88">
            <v>0</v>
          </cell>
          <cell r="E88">
            <v>0</v>
          </cell>
          <cell r="F88">
            <v>0</v>
          </cell>
          <cell r="G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t="e">
            <v>#N/A</v>
          </cell>
        </row>
        <row r="89">
          <cell r="C89">
            <v>0</v>
          </cell>
          <cell r="D89">
            <v>0</v>
          </cell>
          <cell r="E89">
            <v>0</v>
          </cell>
          <cell r="F89">
            <v>0</v>
          </cell>
          <cell r="G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t="e">
            <v>#N/A</v>
          </cell>
        </row>
        <row r="90">
          <cell r="C90">
            <v>0</v>
          </cell>
          <cell r="D90">
            <v>0</v>
          </cell>
          <cell r="E90">
            <v>0</v>
          </cell>
          <cell r="F90">
            <v>0</v>
          </cell>
          <cell r="G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t="e">
            <v>#N/A</v>
          </cell>
        </row>
        <row r="91">
          <cell r="C91">
            <v>0</v>
          </cell>
          <cell r="D91">
            <v>0</v>
          </cell>
          <cell r="E91">
            <v>0</v>
          </cell>
          <cell r="F91">
            <v>0</v>
          </cell>
          <cell r="G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t="e">
            <v>#N/A</v>
          </cell>
        </row>
        <row r="92">
          <cell r="C92">
            <v>0</v>
          </cell>
          <cell r="D92">
            <v>0</v>
          </cell>
          <cell r="E92">
            <v>0</v>
          </cell>
          <cell r="F92">
            <v>0</v>
          </cell>
          <cell r="G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t="e">
            <v>#N/A</v>
          </cell>
        </row>
        <row r="93">
          <cell r="C93">
            <v>44</v>
          </cell>
          <cell r="D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C94">
            <v>0</v>
          </cell>
          <cell r="D94">
            <v>0</v>
          </cell>
          <cell r="E94">
            <v>0</v>
          </cell>
          <cell r="F94">
            <v>0</v>
          </cell>
          <cell r="G94" t="str">
            <v>ELCC</v>
          </cell>
          <cell r="I94" t="str">
            <v/>
          </cell>
          <cell r="J94" t="str">
            <v/>
          </cell>
          <cell r="K94" t="str">
            <v/>
          </cell>
          <cell r="L94" t="str">
            <v/>
          </cell>
          <cell r="M94" t="str">
            <v/>
          </cell>
          <cell r="N94">
            <v>0</v>
          </cell>
          <cell r="O94" t="str">
            <v/>
          </cell>
          <cell r="P94" t="str">
            <v/>
          </cell>
          <cell r="Q94" t="str">
            <v/>
          </cell>
          <cell r="R94" t="str">
            <v/>
          </cell>
          <cell r="S94" t="str">
            <v/>
          </cell>
          <cell r="T94">
            <v>0</v>
          </cell>
          <cell r="U94" t="str">
            <v/>
          </cell>
          <cell r="V94" t="str">
            <v/>
          </cell>
          <cell r="W94">
            <v>0</v>
          </cell>
          <cell r="X94">
            <v>0</v>
          </cell>
          <cell r="Y94">
            <v>0</v>
          </cell>
          <cell r="Z94">
            <v>0</v>
          </cell>
          <cell r="AA94">
            <v>0</v>
          </cell>
          <cell r="AB94">
            <v>0</v>
          </cell>
          <cell r="AC94">
            <v>0</v>
          </cell>
          <cell r="AD94">
            <v>0</v>
          </cell>
          <cell r="AE94">
            <v>0</v>
          </cell>
          <cell r="AF94">
            <v>0</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v>0</v>
          </cell>
          <cell r="AU94" t="str">
            <v/>
          </cell>
          <cell r="AV94" t="str">
            <v/>
          </cell>
          <cell r="AW94" t="str">
            <v/>
          </cell>
          <cell r="AX94" t="str">
            <v/>
          </cell>
          <cell r="AY94" t="str">
            <v/>
          </cell>
          <cell r="AZ94">
            <v>0</v>
          </cell>
        </row>
        <row r="95">
          <cell r="C95" t="str">
            <v>EPP-N</v>
          </cell>
          <cell r="D95" t="str">
            <v>Electricity</v>
          </cell>
          <cell r="E95" t="str">
            <v>ELCC</v>
          </cell>
          <cell r="F95">
            <v>0</v>
          </cell>
          <cell r="G95" t="str">
            <v>PWREPN</v>
          </cell>
          <cell r="I95">
            <v>0.73000000000000009</v>
          </cell>
          <cell r="K95" t="str">
            <v/>
          </cell>
          <cell r="L95" t="str">
            <v/>
          </cell>
          <cell r="M95" t="str">
            <v/>
          </cell>
          <cell r="N95">
            <v>0</v>
          </cell>
          <cell r="O95" t="str">
            <v/>
          </cell>
          <cell r="P95" t="str">
            <v/>
          </cell>
          <cell r="Q95" t="str">
            <v/>
          </cell>
          <cell r="R95" t="str">
            <v/>
          </cell>
          <cell r="S95" t="str">
            <v/>
          </cell>
          <cell r="T95">
            <v>0</v>
          </cell>
          <cell r="U95" t="str">
            <v/>
          </cell>
          <cell r="V95" t="str">
            <v/>
          </cell>
          <cell r="W95">
            <v>0</v>
          </cell>
          <cell r="X95">
            <v>0</v>
          </cell>
          <cell r="Y95">
            <v>0</v>
          </cell>
          <cell r="Z95">
            <v>0</v>
          </cell>
          <cell r="AA95">
            <v>0</v>
          </cell>
          <cell r="AB95">
            <v>0</v>
          </cell>
          <cell r="AC95">
            <v>0</v>
          </cell>
          <cell r="AD95">
            <v>0</v>
          </cell>
          <cell r="AE95">
            <v>0</v>
          </cell>
          <cell r="AF95">
            <v>0</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v>0</v>
          </cell>
          <cell r="AU95" t="str">
            <v/>
          </cell>
          <cell r="AV95" t="str">
            <v/>
          </cell>
          <cell r="AW95" t="str">
            <v/>
          </cell>
          <cell r="AX95" t="str">
            <v/>
          </cell>
          <cell r="AY95" t="str">
            <v/>
          </cell>
          <cell r="AZ95">
            <v>0</v>
          </cell>
        </row>
        <row r="96">
          <cell r="C96" t="str">
            <v>EPD-N</v>
          </cell>
          <cell r="D96" t="str">
            <v>Power Sector - PS Dummy Commodity - New</v>
          </cell>
          <cell r="E96" t="str">
            <v>PWREPN</v>
          </cell>
          <cell r="F96">
            <v>0</v>
          </cell>
          <cell r="G96" t="str">
            <v>PWREPN</v>
          </cell>
          <cell r="I96" t="str">
            <v/>
          </cell>
          <cell r="J96" t="str">
            <v/>
          </cell>
          <cell r="K96" t="str">
            <v/>
          </cell>
          <cell r="L96" t="str">
            <v/>
          </cell>
          <cell r="M96" t="str">
            <v/>
          </cell>
          <cell r="N96">
            <v>0</v>
          </cell>
          <cell r="O96" t="str">
            <v/>
          </cell>
          <cell r="P96" t="str">
            <v/>
          </cell>
          <cell r="Q96" t="str">
            <v/>
          </cell>
          <cell r="R96" t="str">
            <v/>
          </cell>
          <cell r="S96" t="str">
            <v/>
          </cell>
          <cell r="T96">
            <v>0</v>
          </cell>
          <cell r="U96" t="str">
            <v/>
          </cell>
          <cell r="V96" t="str">
            <v/>
          </cell>
          <cell r="W96">
            <v>0</v>
          </cell>
          <cell r="X96">
            <v>0</v>
          </cell>
          <cell r="Y96">
            <v>0</v>
          </cell>
          <cell r="Z96">
            <v>0</v>
          </cell>
          <cell r="AA96">
            <v>0</v>
          </cell>
          <cell r="AB96">
            <v>0</v>
          </cell>
          <cell r="AC96">
            <v>0</v>
          </cell>
          <cell r="AD96">
            <v>0</v>
          </cell>
          <cell r="AE96">
            <v>0</v>
          </cell>
          <cell r="AF96">
            <v>0</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v>0</v>
          </cell>
          <cell r="AU96" t="str">
            <v/>
          </cell>
          <cell r="AV96" t="str">
            <v/>
          </cell>
          <cell r="AW96" t="str">
            <v/>
          </cell>
          <cell r="AX96" t="str">
            <v/>
          </cell>
          <cell r="AY96" t="str">
            <v/>
          </cell>
          <cell r="AZ96">
            <v>0</v>
          </cell>
        </row>
        <row r="97">
          <cell r="C97" t="str">
            <v>EPT-N</v>
          </cell>
          <cell r="D97" t="str">
            <v>Power Sector - PS Dummy Commodity - New</v>
          </cell>
          <cell r="E97" t="str">
            <v>PWREPN</v>
          </cell>
          <cell r="F97">
            <v>0</v>
          </cell>
          <cell r="G97" t="str">
            <v>ELCC</v>
          </cell>
          <cell r="I97" t="str">
            <v/>
          </cell>
          <cell r="J97">
            <v>1</v>
          </cell>
          <cell r="K97">
            <v>0.94</v>
          </cell>
          <cell r="L97">
            <v>0.24500000000000002</v>
          </cell>
          <cell r="M97">
            <v>50</v>
          </cell>
          <cell r="N97">
            <v>7</v>
          </cell>
          <cell r="O97">
            <v>0</v>
          </cell>
          <cell r="P97">
            <v>0</v>
          </cell>
          <cell r="Q97">
            <v>134.47653429602886</v>
          </cell>
          <cell r="R97">
            <v>4.4223826714801442</v>
          </cell>
          <cell r="S97">
            <v>2010</v>
          </cell>
          <cell r="T97">
            <v>0.33300000000000002</v>
          </cell>
          <cell r="U97" t="str">
            <v/>
          </cell>
          <cell r="V97" t="str">
            <v/>
          </cell>
          <cell r="W97">
            <v>15513.537906137182</v>
          </cell>
          <cell r="X97">
            <v>15513.537906137182</v>
          </cell>
          <cell r="Y97">
            <v>15513.537906137182</v>
          </cell>
          <cell r="Z97">
            <v>15513.537906137182</v>
          </cell>
          <cell r="AA97">
            <v>15513.537906137182</v>
          </cell>
          <cell r="AB97">
            <v>15513.537906137182</v>
          </cell>
          <cell r="AC97">
            <v>15513.537906137182</v>
          </cell>
          <cell r="AD97">
            <v>15513.537906137182</v>
          </cell>
          <cell r="AE97">
            <v>15513.537906137182</v>
          </cell>
          <cell r="AF97">
            <v>15513.537906137182</v>
          </cell>
          <cell r="AG97" t="str">
            <v/>
          </cell>
          <cell r="AH97" t="str">
            <v/>
          </cell>
          <cell r="AI97" t="str">
            <v/>
          </cell>
          <cell r="AJ97" t="str">
            <v/>
          </cell>
          <cell r="AK97">
            <v>4.3319999999999999</v>
          </cell>
          <cell r="AL97" t="str">
            <v/>
          </cell>
          <cell r="AM97" t="str">
            <v/>
          </cell>
          <cell r="AN97" t="str">
            <v/>
          </cell>
          <cell r="AO97" t="str">
            <v/>
          </cell>
          <cell r="AP97" t="str">
            <v/>
          </cell>
          <cell r="AQ97" t="str">
            <v/>
          </cell>
          <cell r="AR97" t="str">
            <v/>
          </cell>
          <cell r="AS97" t="str">
            <v/>
          </cell>
          <cell r="AT97">
            <v>1.3320000000000001</v>
          </cell>
          <cell r="AU97" t="str">
            <v/>
          </cell>
          <cell r="AV97" t="str">
            <v/>
          </cell>
          <cell r="AW97" t="str">
            <v/>
          </cell>
          <cell r="AX97" t="str">
            <v/>
          </cell>
          <cell r="AY97" t="str">
            <v/>
          </cell>
          <cell r="AZ97">
            <v>0</v>
          </cell>
          <cell r="BA97">
            <v>47</v>
          </cell>
        </row>
        <row r="98">
          <cell r="C98">
            <v>0</v>
          </cell>
          <cell r="D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row>
        <row r="99">
          <cell r="C99" t="str">
            <v>EHBIW-N</v>
          </cell>
          <cell r="D99" t="str">
            <v>Biomass Wood</v>
          </cell>
          <cell r="E99" t="str">
            <v>PWRBIW</v>
          </cell>
          <cell r="F99">
            <v>0</v>
          </cell>
          <cell r="G99" t="str">
            <v>INDELC</v>
          </cell>
          <cell r="H99">
            <v>0</v>
          </cell>
          <cell r="I99">
            <v>0.75</v>
          </cell>
          <cell r="J99">
            <v>0.1</v>
          </cell>
          <cell r="K99">
            <v>0.9</v>
          </cell>
          <cell r="L99">
            <v>0.94</v>
          </cell>
          <cell r="M99">
            <v>30</v>
          </cell>
          <cell r="N99">
            <v>3</v>
          </cell>
          <cell r="O99">
            <v>58.333333333333329</v>
          </cell>
          <cell r="P99">
            <v>0</v>
          </cell>
          <cell r="Q99">
            <v>972</v>
          </cell>
          <cell r="R99" t="str">
            <v/>
          </cell>
          <cell r="S99">
            <v>2010</v>
          </cell>
          <cell r="T99">
            <v>0.01</v>
          </cell>
          <cell r="U99" t="str">
            <v/>
          </cell>
          <cell r="V99" t="str">
            <v/>
          </cell>
          <cell r="W99">
            <v>32400.722021660647</v>
          </cell>
          <cell r="X99">
            <v>31632.112965631113</v>
          </cell>
          <cell r="Y99">
            <v>30908.967821704216</v>
          </cell>
          <cell r="Z99">
            <v>30390.247694519534</v>
          </cell>
          <cell r="AA99">
            <v>29902.155299678052</v>
          </cell>
          <cell r="AB99">
            <v>29600.223147230376</v>
          </cell>
          <cell r="AC99">
            <v>29322.055713393769</v>
          </cell>
          <cell r="AD99">
            <v>29116.941416764559</v>
          </cell>
          <cell r="AE99">
            <v>28913.333179177218</v>
          </cell>
          <cell r="AF99">
            <v>28812.081339234246</v>
          </cell>
          <cell r="AG99" t="str">
            <v/>
          </cell>
          <cell r="AH99" t="str">
            <v/>
          </cell>
          <cell r="AI99" t="str">
            <v/>
          </cell>
          <cell r="AJ99" t="str">
            <v/>
          </cell>
          <cell r="AK99">
            <v>1</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v>0</v>
          </cell>
          <cell r="BA99">
            <v>44</v>
          </cell>
        </row>
        <row r="100">
          <cell r="C100" t="str">
            <v>EHBIB-N</v>
          </cell>
          <cell r="D100" t="str">
            <v>Biomass bagasse</v>
          </cell>
          <cell r="E100" t="str">
            <v>PWRBIB</v>
          </cell>
          <cell r="F100">
            <v>0</v>
          </cell>
          <cell r="G100" t="str">
            <v>INDELC</v>
          </cell>
          <cell r="H100">
            <v>0</v>
          </cell>
          <cell r="I100">
            <v>0.75</v>
          </cell>
          <cell r="K100" t="str">
            <v/>
          </cell>
          <cell r="L100" t="str">
            <v/>
          </cell>
          <cell r="M100" t="str">
            <v/>
          </cell>
          <cell r="N100">
            <v>3</v>
          </cell>
          <cell r="O100">
            <v>55.555555555555557</v>
          </cell>
          <cell r="P100">
            <v>0</v>
          </cell>
          <cell r="Q100">
            <v>310</v>
          </cell>
          <cell r="R100" t="str">
            <v/>
          </cell>
          <cell r="S100">
            <v>2010</v>
          </cell>
          <cell r="T100">
            <v>2.5000000000000001E-2</v>
          </cell>
          <cell r="U100" t="str">
            <v/>
          </cell>
          <cell r="V100" t="str">
            <v/>
          </cell>
          <cell r="W100">
            <v>20021.660649819492</v>
          </cell>
          <cell r="X100">
            <v>19546.707354583861</v>
          </cell>
          <cell r="Y100">
            <v>19099.847970938335</v>
          </cell>
          <cell r="Z100">
            <v>18779.310720201152</v>
          </cell>
          <cell r="AA100">
            <v>18477.699531143673</v>
          </cell>
          <cell r="AB100">
            <v>18291.123963737009</v>
          </cell>
          <cell r="AC100">
            <v>18119.233536098254</v>
          </cell>
          <cell r="AD100">
            <v>17992.485470459749</v>
          </cell>
          <cell r="AE100">
            <v>17866.668057015806</v>
          </cell>
          <cell r="AF100">
            <v>17804.100624779177</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v>0</v>
          </cell>
          <cell r="BA100">
            <v>45</v>
          </cell>
        </row>
        <row r="101">
          <cell r="C101" t="str">
            <v>EHCLE-N</v>
          </cell>
          <cell r="D101" t="str">
            <v>Coal low grade</v>
          </cell>
          <cell r="E101" t="str">
            <v>PWRCLE</v>
          </cell>
          <cell r="F101">
            <v>0</v>
          </cell>
          <cell r="G101" t="str">
            <v>INDELC</v>
          </cell>
          <cell r="H101">
            <v>0</v>
          </cell>
          <cell r="I101">
            <v>0.75</v>
          </cell>
          <cell r="K101" t="str">
            <v/>
          </cell>
          <cell r="L101" t="str">
            <v/>
          </cell>
          <cell r="M101" t="str">
            <v/>
          </cell>
          <cell r="N101">
            <v>1</v>
          </cell>
          <cell r="O101">
            <v>63.638888888888886</v>
          </cell>
          <cell r="P101">
            <v>277.77777777777777</v>
          </cell>
          <cell r="Q101">
            <v>274.85142535997028</v>
          </cell>
          <cell r="R101" t="str">
            <v/>
          </cell>
          <cell r="S101">
            <v>2010</v>
          </cell>
          <cell r="T101">
            <v>2.5000000000000001E-2</v>
          </cell>
          <cell r="U101" t="str">
            <v/>
          </cell>
          <cell r="V101" t="str">
            <v/>
          </cell>
          <cell r="W101">
            <v>7064.8251352966272</v>
          </cell>
          <cell r="X101">
            <v>7064.8251352966272</v>
          </cell>
          <cell r="Y101">
            <v>7064.8251352966272</v>
          </cell>
          <cell r="Z101">
            <v>7064.8251352966272</v>
          </cell>
          <cell r="AA101">
            <v>7064.8251352966272</v>
          </cell>
          <cell r="AB101">
            <v>7064.8251352966272</v>
          </cell>
          <cell r="AC101">
            <v>7064.8251352966272</v>
          </cell>
          <cell r="AD101">
            <v>7064.8251352966272</v>
          </cell>
          <cell r="AE101">
            <v>7064.8251352966272</v>
          </cell>
          <cell r="AF101">
            <v>7064.8251352966272</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v>0</v>
          </cell>
          <cell r="BA101">
            <v>46</v>
          </cell>
        </row>
        <row r="102">
          <cell r="D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row>
        <row r="103">
          <cell r="D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row>
        <row r="104">
          <cell r="D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D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D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07">
          <cell r="D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D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row>
        <row r="109">
          <cell r="D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D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C111">
            <v>0</v>
          </cell>
          <cell r="D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row>
        <row r="112">
          <cell r="D112">
            <v>0</v>
          </cell>
          <cell r="S112">
            <v>0</v>
          </cell>
          <cell r="AF112">
            <v>0</v>
          </cell>
          <cell r="AQ112">
            <v>0</v>
          </cell>
          <cell r="AR112">
            <v>0</v>
          </cell>
          <cell r="AU112">
            <v>0</v>
          </cell>
          <cell r="AY112">
            <v>0</v>
          </cell>
        </row>
        <row r="113">
          <cell r="D113">
            <v>0</v>
          </cell>
          <cell r="S113">
            <v>0</v>
          </cell>
          <cell r="AF113">
            <v>0</v>
          </cell>
          <cell r="AQ113">
            <v>0</v>
          </cell>
          <cell r="AR113">
            <v>0</v>
          </cell>
          <cell r="AU113">
            <v>0</v>
          </cell>
          <cell r="AY113">
            <v>0</v>
          </cell>
        </row>
        <row r="114">
          <cell r="D114">
            <v>0</v>
          </cell>
          <cell r="S114">
            <v>0</v>
          </cell>
          <cell r="AF114">
            <v>0</v>
          </cell>
          <cell r="AQ114">
            <v>0</v>
          </cell>
          <cell r="AR114">
            <v>0</v>
          </cell>
          <cell r="AU114">
            <v>0</v>
          </cell>
          <cell r="AY114">
            <v>0</v>
          </cell>
        </row>
        <row r="115">
          <cell r="D115">
            <v>0</v>
          </cell>
          <cell r="S115">
            <v>0</v>
          </cell>
          <cell r="AF115">
            <v>0</v>
          </cell>
          <cell r="AQ115">
            <v>0</v>
          </cell>
          <cell r="AR115">
            <v>0</v>
          </cell>
          <cell r="AU115">
            <v>0</v>
          </cell>
          <cell r="AY115">
            <v>0</v>
          </cell>
        </row>
        <row r="116">
          <cell r="D116">
            <v>0</v>
          </cell>
          <cell r="S116">
            <v>0</v>
          </cell>
          <cell r="AF116">
            <v>0</v>
          </cell>
          <cell r="AQ116">
            <v>0</v>
          </cell>
          <cell r="AR116">
            <v>0</v>
          </cell>
          <cell r="AU116">
            <v>0</v>
          </cell>
          <cell r="AY116">
            <v>0</v>
          </cell>
        </row>
        <row r="117">
          <cell r="D117">
            <v>0</v>
          </cell>
          <cell r="S117">
            <v>0</v>
          </cell>
          <cell r="AF117">
            <v>0</v>
          </cell>
          <cell r="AQ117">
            <v>0</v>
          </cell>
          <cell r="AR117">
            <v>0</v>
          </cell>
          <cell r="AU117">
            <v>0</v>
          </cell>
          <cell r="AY117">
            <v>0</v>
          </cell>
        </row>
        <row r="118">
          <cell r="D118">
            <v>0</v>
          </cell>
          <cell r="S118">
            <v>0</v>
          </cell>
          <cell r="AF118">
            <v>0</v>
          </cell>
          <cell r="AQ118">
            <v>0</v>
          </cell>
          <cell r="AR118">
            <v>0</v>
          </cell>
          <cell r="AU118">
            <v>0</v>
          </cell>
          <cell r="AY118">
            <v>0</v>
          </cell>
        </row>
        <row r="119">
          <cell r="D119">
            <v>0</v>
          </cell>
          <cell r="S119">
            <v>0</v>
          </cell>
          <cell r="AF119">
            <v>0</v>
          </cell>
          <cell r="AQ119">
            <v>0</v>
          </cell>
          <cell r="AR119">
            <v>0</v>
          </cell>
          <cell r="AU119">
            <v>0</v>
          </cell>
          <cell r="AY119">
            <v>0</v>
          </cell>
        </row>
        <row r="120">
          <cell r="D120">
            <v>0</v>
          </cell>
          <cell r="S120">
            <v>0</v>
          </cell>
          <cell r="AF120">
            <v>0</v>
          </cell>
          <cell r="AQ120">
            <v>0</v>
          </cell>
          <cell r="AR120">
            <v>0</v>
          </cell>
          <cell r="AU120">
            <v>0</v>
          </cell>
          <cell r="AY120">
            <v>0</v>
          </cell>
        </row>
        <row r="121">
          <cell r="D121">
            <v>0</v>
          </cell>
          <cell r="S121">
            <v>0</v>
          </cell>
          <cell r="AF121">
            <v>0</v>
          </cell>
          <cell r="AQ121">
            <v>0</v>
          </cell>
          <cell r="AR121">
            <v>0</v>
          </cell>
          <cell r="AU121">
            <v>0</v>
          </cell>
          <cell r="AY121">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8">
          <cell r="B8" t="str">
            <v>Biomass Other</v>
          </cell>
        </row>
      </sheetData>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Y170"/>
  <sheetViews>
    <sheetView tabSelected="1" topLeftCell="A127" zoomScale="85" zoomScaleNormal="85" workbookViewId="0">
      <selection activeCell="H72" sqref="H72"/>
    </sheetView>
  </sheetViews>
  <sheetFormatPr defaultRowHeight="14.5"/>
  <cols>
    <col min="11" max="11" width="13.6328125" customWidth="1"/>
  </cols>
  <sheetData>
    <row r="1" spans="4:77">
      <c r="AJ1" t="s">
        <v>0</v>
      </c>
      <c r="AR1" t="s">
        <v>1</v>
      </c>
      <c r="AZ1" t="s">
        <v>2</v>
      </c>
      <c r="BM1" t="s">
        <v>3</v>
      </c>
      <c r="BT1" t="s">
        <v>4</v>
      </c>
    </row>
    <row r="2" spans="4:77">
      <c r="Y2" t="s">
        <v>5</v>
      </c>
      <c r="AC2" t="s">
        <v>6</v>
      </c>
    </row>
    <row r="3" spans="4:77">
      <c r="D3" t="s">
        <v>7</v>
      </c>
      <c r="K3" t="s">
        <v>8</v>
      </c>
      <c r="BM3" t="s">
        <v>9</v>
      </c>
      <c r="BO3" t="s">
        <v>10</v>
      </c>
      <c r="BP3">
        <v>400</v>
      </c>
    </row>
    <row r="4" spans="4:77">
      <c r="BO4" t="s">
        <v>11</v>
      </c>
      <c r="BP4">
        <f>BP3/100/1000</f>
        <v>4.0000000000000001E-3</v>
      </c>
    </row>
    <row r="5" spans="4:77">
      <c r="BM5" t="s">
        <v>12</v>
      </c>
      <c r="BO5" t="s">
        <v>13</v>
      </c>
      <c r="BP5">
        <v>50</v>
      </c>
    </row>
    <row r="7" spans="4:77">
      <c r="BM7" t="s">
        <v>14</v>
      </c>
      <c r="BO7" t="s">
        <v>15</v>
      </c>
      <c r="BP7">
        <f>BP5*BP4</f>
        <v>0.2</v>
      </c>
    </row>
    <row r="11" spans="4:77">
      <c r="J11" t="s">
        <v>16</v>
      </c>
    </row>
    <row r="13" spans="4:77">
      <c r="BT13" t="s">
        <v>17</v>
      </c>
    </row>
    <row r="14" spans="4:77">
      <c r="BV14" t="s">
        <v>18</v>
      </c>
      <c r="BW14" t="s">
        <v>15</v>
      </c>
      <c r="BX14" t="s">
        <v>19</v>
      </c>
      <c r="BY14" t="s">
        <v>20</v>
      </c>
    </row>
    <row r="15" spans="4:77">
      <c r="BT15" t="s">
        <v>21</v>
      </c>
      <c r="BV15">
        <v>8.6999999999999993</v>
      </c>
      <c r="BW15">
        <v>451</v>
      </c>
    </row>
    <row r="16" spans="4:77">
      <c r="BT16" t="s">
        <v>22</v>
      </c>
      <c r="BV16">
        <v>5.5</v>
      </c>
      <c r="BW16">
        <v>814</v>
      </c>
      <c r="BX16">
        <v>27</v>
      </c>
      <c r="BY16" s="1">
        <f>BW16/BX16</f>
        <v>30.148148148148149</v>
      </c>
    </row>
    <row r="17" spans="3:76">
      <c r="BT17" t="s">
        <v>23</v>
      </c>
      <c r="BV17">
        <v>5.5</v>
      </c>
      <c r="BW17">
        <v>470</v>
      </c>
    </row>
    <row r="18" spans="3:76">
      <c r="BT18" t="s">
        <v>24</v>
      </c>
      <c r="BV18">
        <v>2.2000000000000002</v>
      </c>
      <c r="BW18">
        <v>245</v>
      </c>
    </row>
    <row r="19" spans="3:76">
      <c r="BT19" t="s">
        <v>25</v>
      </c>
      <c r="BV19">
        <v>1.4</v>
      </c>
      <c r="BW19">
        <v>435</v>
      </c>
    </row>
    <row r="20" spans="3:76">
      <c r="BT20" t="s">
        <v>26</v>
      </c>
      <c r="BV20">
        <v>0.4</v>
      </c>
      <c r="BW20">
        <v>144</v>
      </c>
    </row>
    <row r="21" spans="3:76">
      <c r="C21" t="s">
        <v>27</v>
      </c>
      <c r="E21">
        <v>0</v>
      </c>
      <c r="BT21" t="s">
        <v>28</v>
      </c>
      <c r="BV21">
        <v>0.02</v>
      </c>
      <c r="BW21">
        <v>862</v>
      </c>
    </row>
    <row r="22" spans="3:76">
      <c r="C22" t="s">
        <v>29</v>
      </c>
      <c r="D22" t="s">
        <v>30</v>
      </c>
      <c r="E22">
        <f>E27*E25</f>
        <v>1500</v>
      </c>
      <c r="BT22" t="s">
        <v>31</v>
      </c>
      <c r="BV22">
        <v>0.02</v>
      </c>
      <c r="BW22">
        <v>572</v>
      </c>
    </row>
    <row r="23" spans="3:76">
      <c r="C23" t="s">
        <v>32</v>
      </c>
      <c r="BT23" t="s">
        <v>33</v>
      </c>
      <c r="BV23">
        <v>1.4999999999999999E-2</v>
      </c>
      <c r="BW23">
        <v>651</v>
      </c>
    </row>
    <row r="24" spans="3:76">
      <c r="C24" t="s">
        <v>34</v>
      </c>
      <c r="E24" s="2">
        <v>0</v>
      </c>
      <c r="F24" s="2">
        <v>0.2</v>
      </c>
      <c r="G24" s="2">
        <v>0.25</v>
      </c>
      <c r="BT24" t="s">
        <v>35</v>
      </c>
      <c r="BV24">
        <f>SUM(BV15:BV23)</f>
        <v>23.754999999999995</v>
      </c>
      <c r="BX24" s="3">
        <f>SUMPRODUCT(BV15:BV23,BW15:BW23)/BV24</f>
        <v>514.82824668490855</v>
      </c>
    </row>
    <row r="25" spans="3:76">
      <c r="C25" t="s">
        <v>36</v>
      </c>
      <c r="D25" t="s">
        <v>37</v>
      </c>
      <c r="E25">
        <v>30</v>
      </c>
      <c r="F25" t="e">
        <f>#REF!</f>
        <v>#REF!</v>
      </c>
      <c r="G25" t="e">
        <f t="shared" ref="G25:G27" si="0">F25</f>
        <v>#REF!</v>
      </c>
    </row>
    <row r="26" spans="3:76">
      <c r="C26" t="s">
        <v>38</v>
      </c>
      <c r="D26" t="s">
        <v>15</v>
      </c>
      <c r="E26">
        <v>185</v>
      </c>
      <c r="F26" t="e">
        <f>#REF!</f>
        <v>#REF!</v>
      </c>
      <c r="G26" t="e">
        <f t="shared" si="0"/>
        <v>#REF!</v>
      </c>
    </row>
    <row r="27" spans="3:76">
      <c r="C27" t="s">
        <v>39</v>
      </c>
      <c r="D27" t="s">
        <v>15</v>
      </c>
      <c r="E27">
        <v>50</v>
      </c>
      <c r="F27" t="e">
        <f>#REF!</f>
        <v>#REF!</v>
      </c>
      <c r="G27" t="e">
        <f t="shared" si="0"/>
        <v>#REF!</v>
      </c>
      <c r="BT27" t="s">
        <v>40</v>
      </c>
      <c r="BU27">
        <v>10</v>
      </c>
    </row>
    <row r="28" spans="3:76">
      <c r="C28" t="s">
        <v>41</v>
      </c>
      <c r="D28" t="s">
        <v>15</v>
      </c>
      <c r="E28" s="1">
        <f>-PMT(E24,E25,$E$22,0,$E$21)-E27</f>
        <v>0</v>
      </c>
      <c r="F28" s="1" t="e">
        <f t="shared" ref="F28:G28" si="1">-PMT(F24,F25,$E$22,0,$E$21)-F27</f>
        <v>#REF!</v>
      </c>
      <c r="G28" s="1" t="e">
        <f t="shared" si="1"/>
        <v>#REF!</v>
      </c>
      <c r="BT28" t="s">
        <v>42</v>
      </c>
      <c r="BV28">
        <v>72</v>
      </c>
    </row>
    <row r="29" spans="3:76">
      <c r="C29" t="s">
        <v>43</v>
      </c>
      <c r="D29" t="s">
        <v>15</v>
      </c>
      <c r="E29" s="1">
        <f>SUM(E26:E28)</f>
        <v>235</v>
      </c>
      <c r="F29" s="1" t="e">
        <f t="shared" ref="F29:G29" si="2">SUM(F26:F28)</f>
        <v>#REF!</v>
      </c>
      <c r="G29" s="1" t="e">
        <f t="shared" si="2"/>
        <v>#REF!</v>
      </c>
      <c r="BT29" t="s">
        <v>15</v>
      </c>
      <c r="BV29">
        <f>BV28*BU27</f>
        <v>720</v>
      </c>
    </row>
    <row r="30" spans="3:76">
      <c r="C30" t="s">
        <v>44</v>
      </c>
      <c r="BT30" t="s">
        <v>19</v>
      </c>
      <c r="BU30">
        <v>23</v>
      </c>
    </row>
    <row r="31" spans="3:76">
      <c r="C31" t="s">
        <v>45</v>
      </c>
      <c r="D31" t="str">
        <f>D22</f>
        <v>R/ton-yr</v>
      </c>
      <c r="E31">
        <v>230</v>
      </c>
      <c r="AA31">
        <f>410-379</f>
        <v>31</v>
      </c>
      <c r="BT31" t="s">
        <v>20</v>
      </c>
      <c r="BV31" s="1">
        <f>BV29/BU30</f>
        <v>31.304347826086957</v>
      </c>
    </row>
    <row r="32" spans="3:76">
      <c r="C32" t="s">
        <v>46</v>
      </c>
      <c r="D32" t="s">
        <v>15</v>
      </c>
      <c r="E32" s="1">
        <f>-PMT(E24,E25,$E$31,0,$E$21)</f>
        <v>7.666666666666667</v>
      </c>
      <c r="F32" s="1" t="e">
        <f t="shared" ref="F32:G32" si="3">-PMT(F24,F25,$E$31,0,$E$21)</f>
        <v>#REF!</v>
      </c>
      <c r="G32" s="1" t="e">
        <f t="shared" si="3"/>
        <v>#REF!</v>
      </c>
      <c r="Z32">
        <f>350-172</f>
        <v>178</v>
      </c>
    </row>
    <row r="33" spans="3:26">
      <c r="C33">
        <v>21</v>
      </c>
      <c r="D33" t="s">
        <v>20</v>
      </c>
      <c r="E33" s="4">
        <f>E32/$C33</f>
        <v>0.36507936507936511</v>
      </c>
      <c r="F33" s="4" t="e">
        <f t="shared" ref="F33:G33" si="4">F32/$C33</f>
        <v>#REF!</v>
      </c>
      <c r="G33" s="4" t="e">
        <f t="shared" si="4"/>
        <v>#REF!</v>
      </c>
      <c r="Z33">
        <f>550/14</f>
        <v>39.285714285714285</v>
      </c>
    </row>
    <row r="43" spans="3:26">
      <c r="C43" t="s">
        <v>47</v>
      </c>
    </row>
    <row r="45" spans="3:26">
      <c r="C45" t="s">
        <v>48</v>
      </c>
      <c r="E45" t="s">
        <v>49</v>
      </c>
    </row>
    <row r="46" spans="3:26">
      <c r="C46" t="s">
        <v>50</v>
      </c>
      <c r="E46" t="s">
        <v>51</v>
      </c>
    </row>
    <row r="47" spans="3:26">
      <c r="C47" t="s">
        <v>14</v>
      </c>
      <c r="E47" t="s">
        <v>15</v>
      </c>
    </row>
    <row r="50" spans="11:19">
      <c r="K50" t="s">
        <v>52</v>
      </c>
    </row>
    <row r="51" spans="11:19">
      <c r="L51" t="s">
        <v>53</v>
      </c>
      <c r="M51" t="s">
        <v>54</v>
      </c>
      <c r="N51" t="s">
        <v>14</v>
      </c>
      <c r="O51" t="s">
        <v>55</v>
      </c>
      <c r="P51" t="s">
        <v>56</v>
      </c>
      <c r="Q51" t="s">
        <v>57</v>
      </c>
      <c r="R51" t="s">
        <v>58</v>
      </c>
      <c r="S51" t="s">
        <v>14</v>
      </c>
    </row>
    <row r="52" spans="11:19">
      <c r="L52" t="s">
        <v>15</v>
      </c>
      <c r="M52" t="s">
        <v>56</v>
      </c>
      <c r="N52" t="s">
        <v>59</v>
      </c>
      <c r="R52" t="s">
        <v>60</v>
      </c>
      <c r="S52" t="s">
        <v>15</v>
      </c>
    </row>
    <row r="53" spans="11:19">
      <c r="K53" t="s">
        <v>61</v>
      </c>
      <c r="L53">
        <v>1</v>
      </c>
      <c r="M53">
        <v>5</v>
      </c>
      <c r="N53">
        <f>L53/M53</f>
        <v>0.2</v>
      </c>
      <c r="O53">
        <v>77</v>
      </c>
      <c r="P53">
        <v>5</v>
      </c>
      <c r="Q53">
        <f>O53*P53/1000</f>
        <v>0.38500000000000001</v>
      </c>
      <c r="R53">
        <f>Q53*N53</f>
        <v>7.7000000000000013E-2</v>
      </c>
      <c r="S53">
        <f>R53/O53*1000</f>
        <v>1.0000000000000002</v>
      </c>
    </row>
    <row r="54" spans="11:19">
      <c r="K54" t="s">
        <v>62</v>
      </c>
      <c r="L54">
        <v>34</v>
      </c>
      <c r="M54">
        <v>100</v>
      </c>
      <c r="N54">
        <f t="shared" ref="N54:N55" si="5">L54/M54</f>
        <v>0.34</v>
      </c>
      <c r="O54">
        <v>10</v>
      </c>
      <c r="P54">
        <v>100</v>
      </c>
      <c r="Q54">
        <f t="shared" ref="Q54:Q55" si="6">O54*P54/1000</f>
        <v>1</v>
      </c>
      <c r="R54">
        <f t="shared" ref="R54:R55" si="7">Q54*N54</f>
        <v>0.34</v>
      </c>
      <c r="S54">
        <f t="shared" ref="S54:S55" si="8">R54/O54*1000</f>
        <v>34</v>
      </c>
    </row>
    <row r="55" spans="11:19">
      <c r="K55" t="s">
        <v>63</v>
      </c>
      <c r="L55">
        <v>117</v>
      </c>
      <c r="M55">
        <v>100</v>
      </c>
      <c r="N55">
        <f t="shared" si="5"/>
        <v>1.17</v>
      </c>
      <c r="O55">
        <v>40</v>
      </c>
      <c r="P55">
        <v>130</v>
      </c>
      <c r="Q55">
        <f t="shared" si="6"/>
        <v>5.2</v>
      </c>
      <c r="R55">
        <f t="shared" si="7"/>
        <v>6.0839999999999996</v>
      </c>
      <c r="S55">
        <f t="shared" si="8"/>
        <v>152.1</v>
      </c>
    </row>
    <row r="57" spans="11:19">
      <c r="Q57" t="s">
        <v>64</v>
      </c>
      <c r="S57" s="1">
        <f>SUMPRODUCT(S53:S55,O53:O55)/SUM(O53:O55)</f>
        <v>51.188976377952756</v>
      </c>
    </row>
    <row r="64" spans="11:19">
      <c r="K64" t="s">
        <v>65</v>
      </c>
    </row>
    <row r="70" spans="13:18">
      <c r="Q70" t="s">
        <v>15</v>
      </c>
      <c r="R70">
        <v>159</v>
      </c>
    </row>
    <row r="71" spans="13:18">
      <c r="Q71" t="s">
        <v>66</v>
      </c>
      <c r="R71">
        <v>21.5</v>
      </c>
    </row>
    <row r="72" spans="13:18">
      <c r="Q72" t="s">
        <v>67</v>
      </c>
      <c r="R72">
        <v>7.4</v>
      </c>
    </row>
    <row r="73" spans="13:18">
      <c r="Q73" t="s">
        <v>15</v>
      </c>
      <c r="R73">
        <v>252</v>
      </c>
    </row>
    <row r="74" spans="13:18">
      <c r="Q74" t="s">
        <v>43</v>
      </c>
    </row>
    <row r="79" spans="13:18">
      <c r="N79" s="5">
        <f>CoalParams!D69</f>
        <v>0.108</v>
      </c>
    </row>
    <row r="80" spans="13:18">
      <c r="M80" t="s">
        <v>68</v>
      </c>
      <c r="N80" t="s">
        <v>69</v>
      </c>
    </row>
    <row r="81" spans="11:14">
      <c r="K81" t="s">
        <v>70</v>
      </c>
      <c r="M81" s="2">
        <v>0.08</v>
      </c>
    </row>
    <row r="82" spans="11:14">
      <c r="K82" t="s">
        <v>71</v>
      </c>
      <c r="L82" t="s">
        <v>49</v>
      </c>
      <c r="M82">
        <v>5000</v>
      </c>
    </row>
    <row r="83" spans="11:14">
      <c r="L83" t="s">
        <v>72</v>
      </c>
      <c r="M83">
        <f>M82/M87</f>
        <v>250</v>
      </c>
    </row>
    <row r="84" spans="11:14">
      <c r="K84">
        <v>21</v>
      </c>
      <c r="L84" t="s">
        <v>73</v>
      </c>
      <c r="M84" s="3">
        <f>M83/K84</f>
        <v>11.904761904761905</v>
      </c>
      <c r="N84" s="6">
        <f>M84/(1+$N$79)</f>
        <v>10.744369950146123</v>
      </c>
    </row>
    <row r="85" spans="11:14">
      <c r="K85" t="s">
        <v>74</v>
      </c>
      <c r="M85">
        <v>4</v>
      </c>
    </row>
    <row r="86" spans="11:14">
      <c r="K86" t="s">
        <v>75</v>
      </c>
      <c r="M86" s="7">
        <f>-FV(M81,M85,1/M85)*(1+M81)-1</f>
        <v>0.21665024000000099</v>
      </c>
    </row>
    <row r="87" spans="11:14">
      <c r="K87" t="s">
        <v>76</v>
      </c>
      <c r="L87" t="s">
        <v>51</v>
      </c>
      <c r="M87">
        <v>20</v>
      </c>
    </row>
    <row r="88" spans="11:14">
      <c r="K88" t="s">
        <v>36</v>
      </c>
      <c r="L88" t="s">
        <v>77</v>
      </c>
      <c r="M88">
        <v>50</v>
      </c>
    </row>
    <row r="89" spans="11:14">
      <c r="K89" t="s">
        <v>78</v>
      </c>
      <c r="L89" t="s">
        <v>49</v>
      </c>
      <c r="M89" s="1">
        <f>-PMT(M81,M88,M82*(1+M86),0,1)</f>
        <v>460.42809259544265</v>
      </c>
    </row>
    <row r="90" spans="11:14">
      <c r="K90" t="s">
        <v>45</v>
      </c>
      <c r="L90" t="s">
        <v>79</v>
      </c>
      <c r="M90" s="3">
        <f>M$89/M87</f>
        <v>23.021404629772132</v>
      </c>
    </row>
    <row r="91" spans="11:14">
      <c r="K91">
        <f>K84</f>
        <v>21</v>
      </c>
      <c r="L91" t="s">
        <v>80</v>
      </c>
      <c r="M91" s="4">
        <f>M90/K91</f>
        <v>1.0962573633224824</v>
      </c>
    </row>
    <row r="92" spans="11:14">
      <c r="K92" t="s">
        <v>81</v>
      </c>
      <c r="L92" t="s">
        <v>56</v>
      </c>
      <c r="M92">
        <v>629</v>
      </c>
    </row>
    <row r="93" spans="11:14">
      <c r="K93" t="s">
        <v>45</v>
      </c>
      <c r="L93" t="s">
        <v>59</v>
      </c>
      <c r="M93" s="7">
        <f>M89/(M87*M92)</f>
        <v>3.6600007360528035E-2</v>
      </c>
    </row>
    <row r="94" spans="11:14">
      <c r="K94" t="s">
        <v>82</v>
      </c>
      <c r="L94" t="s">
        <v>59</v>
      </c>
      <c r="M94">
        <v>0.34</v>
      </c>
    </row>
    <row r="95" spans="11:14">
      <c r="L95" t="s">
        <v>15</v>
      </c>
      <c r="M95" s="1">
        <f>M94*M92</f>
        <v>213.86</v>
      </c>
    </row>
    <row r="96" spans="11:14">
      <c r="K96">
        <f>K91</f>
        <v>21</v>
      </c>
      <c r="L96" t="s">
        <v>20</v>
      </c>
      <c r="M96" s="3">
        <f>M95/K96</f>
        <v>10.183809523809524</v>
      </c>
      <c r="N96" s="6">
        <f>M96/(1+$N$79)</f>
        <v>9.1911638301529983</v>
      </c>
    </row>
    <row r="97" spans="11:18">
      <c r="K97" t="s">
        <v>43</v>
      </c>
      <c r="L97" t="s">
        <v>59</v>
      </c>
      <c r="M97" s="7">
        <f>M93+M94</f>
        <v>0.37660000736052807</v>
      </c>
    </row>
    <row r="98" spans="11:18">
      <c r="L98" t="s">
        <v>15</v>
      </c>
      <c r="M98" s="1">
        <f>M97*M92</f>
        <v>236.88140462977216</v>
      </c>
    </row>
    <row r="99" spans="11:18">
      <c r="K99">
        <f>K96</f>
        <v>21</v>
      </c>
      <c r="L99" t="s">
        <v>20</v>
      </c>
      <c r="M99" s="3">
        <f>M98/21</f>
        <v>11.280066887132008</v>
      </c>
      <c r="N99" s="8">
        <f>-PV(M81,M88,M99,0,1)*0.9</f>
        <v>134.13067833540529</v>
      </c>
      <c r="O99" s="7">
        <f>M99*0.1</f>
        <v>1.128006688713201</v>
      </c>
    </row>
    <row r="101" spans="11:18">
      <c r="K101" t="s">
        <v>83</v>
      </c>
      <c r="L101" t="s">
        <v>84</v>
      </c>
      <c r="M101">
        <v>5</v>
      </c>
    </row>
    <row r="102" spans="11:18">
      <c r="K102">
        <f>K84</f>
        <v>21</v>
      </c>
      <c r="L102" t="s">
        <v>85</v>
      </c>
      <c r="M102">
        <f>M101*K102</f>
        <v>105</v>
      </c>
    </row>
    <row r="103" spans="11:18">
      <c r="K103" t="s">
        <v>86</v>
      </c>
      <c r="L103" t="s">
        <v>84</v>
      </c>
      <c r="M103">
        <v>23</v>
      </c>
    </row>
    <row r="104" spans="11:18">
      <c r="K104">
        <f>K102</f>
        <v>21</v>
      </c>
      <c r="L104" t="s">
        <v>87</v>
      </c>
      <c r="M104" s="4">
        <f>M103*K104</f>
        <v>483</v>
      </c>
    </row>
    <row r="105" spans="11:18">
      <c r="K105" t="s">
        <v>88</v>
      </c>
      <c r="L105" t="s">
        <v>84</v>
      </c>
      <c r="M105">
        <v>35</v>
      </c>
    </row>
    <row r="106" spans="11:18">
      <c r="K106">
        <f>K104</f>
        <v>21</v>
      </c>
      <c r="L106" t="s">
        <v>87</v>
      </c>
      <c r="M106" s="4">
        <f>M105*K106</f>
        <v>735</v>
      </c>
    </row>
    <row r="110" spans="11:18">
      <c r="L110" t="s">
        <v>89</v>
      </c>
      <c r="P110">
        <v>2006</v>
      </c>
      <c r="Q110">
        <v>2015</v>
      </c>
      <c r="R110">
        <v>2020</v>
      </c>
    </row>
    <row r="111" spans="11:18">
      <c r="L111" t="s">
        <v>90</v>
      </c>
      <c r="O111" t="s">
        <v>55</v>
      </c>
      <c r="P111">
        <v>72</v>
      </c>
      <c r="Q111">
        <v>80</v>
      </c>
      <c r="R111">
        <v>100</v>
      </c>
    </row>
    <row r="112" spans="11:18">
      <c r="M112" t="s">
        <v>91</v>
      </c>
      <c r="N112">
        <v>24</v>
      </c>
      <c r="O112" t="s">
        <v>92</v>
      </c>
      <c r="P112">
        <f>P$111*$N112</f>
        <v>1728</v>
      </c>
      <c r="Q112">
        <f t="shared" ref="Q112:R112" si="9">Q$111*$N112</f>
        <v>1920</v>
      </c>
      <c r="R112">
        <f t="shared" si="9"/>
        <v>2400</v>
      </c>
    </row>
    <row r="114" spans="2:18">
      <c r="L114" t="s">
        <v>93</v>
      </c>
      <c r="O114" t="s">
        <v>73</v>
      </c>
    </row>
    <row r="115" spans="2:18">
      <c r="M115" t="s">
        <v>81</v>
      </c>
      <c r="O115" t="s">
        <v>56</v>
      </c>
    </row>
    <row r="126" spans="2:18">
      <c r="B126" s="9" t="s">
        <v>94</v>
      </c>
      <c r="M126" t="s">
        <v>95</v>
      </c>
      <c r="N126" s="10">
        <v>0.18</v>
      </c>
      <c r="O126" t="s">
        <v>96</v>
      </c>
    </row>
    <row r="127" spans="2:18">
      <c r="D127" s="11" t="s">
        <v>97</v>
      </c>
      <c r="E127" s="11"/>
      <c r="F127" s="11" t="s">
        <v>98</v>
      </c>
      <c r="G127" s="11"/>
      <c r="H127" s="11" t="s">
        <v>99</v>
      </c>
      <c r="I127" s="11"/>
      <c r="K127" t="s">
        <v>100</v>
      </c>
      <c r="M127" s="11" t="s">
        <v>101</v>
      </c>
      <c r="N127" s="12">
        <v>21</v>
      </c>
    </row>
    <row r="128" spans="2:18">
      <c r="B128" s="9" t="s">
        <v>102</v>
      </c>
      <c r="D128" t="s">
        <v>103</v>
      </c>
      <c r="E128" t="s">
        <v>19</v>
      </c>
      <c r="F128" t="str">
        <f>D128</f>
        <v>Tonnes (Mt)</v>
      </c>
      <c r="G128" t="str">
        <f>E128</f>
        <v>CV</v>
      </c>
      <c r="H128" t="str">
        <f>F128</f>
        <v>Tonnes (Mt)</v>
      </c>
      <c r="I128" t="str">
        <f>G128</f>
        <v>CV</v>
      </c>
      <c r="L128" t="s">
        <v>104</v>
      </c>
      <c r="M128" t="s">
        <v>105</v>
      </c>
      <c r="N128" t="s">
        <v>106</v>
      </c>
      <c r="O128" t="s">
        <v>107</v>
      </c>
      <c r="R128" s="9" t="s">
        <v>108</v>
      </c>
    </row>
    <row r="129" spans="2:19">
      <c r="B129" t="s">
        <v>109</v>
      </c>
      <c r="K129" t="s">
        <v>110</v>
      </c>
      <c r="L129">
        <v>1</v>
      </c>
      <c r="M129" s="13">
        <v>0.75</v>
      </c>
      <c r="N129" s="13">
        <v>0.25</v>
      </c>
    </row>
    <row r="130" spans="2:19">
      <c r="B130" t="s">
        <v>111</v>
      </c>
      <c r="D130">
        <v>2516</v>
      </c>
      <c r="E130">
        <v>12.7</v>
      </c>
      <c r="F130">
        <v>802</v>
      </c>
      <c r="G130">
        <v>13.5</v>
      </c>
      <c r="H130">
        <v>167</v>
      </c>
      <c r="I130">
        <v>13.6</v>
      </c>
      <c r="K130">
        <v>1</v>
      </c>
      <c r="L130" s="14">
        <f>E130/$N$127*(1-$N$126)</f>
        <v>0.4959047619047619</v>
      </c>
      <c r="M130" s="14">
        <f>G130/$N$127*(1-$N$126)</f>
        <v>0.52714285714285725</v>
      </c>
      <c r="N130" s="14">
        <f>I130/$N$127*(1-$N$126)</f>
        <v>0.5310476190476191</v>
      </c>
      <c r="O130" s="3">
        <f>D130*L130*K130</f>
        <v>1247.6963809523809</v>
      </c>
      <c r="P130" s="3">
        <f>F130*M130*K130</f>
        <v>422.76857142857153</v>
      </c>
      <c r="Q130" s="3">
        <f>H130*N130*K130</f>
        <v>88.684952380952396</v>
      </c>
      <c r="R130" s="3">
        <f>SUMPRODUCT(O130:Q130,$L$129:$N$129)</f>
        <v>1586.9440476190475</v>
      </c>
      <c r="S130" s="14">
        <f>SUMPRODUCT(O130:Q130,L130:N130,$L$129:$N$129)/R130</f>
        <v>0.5026372137152465</v>
      </c>
    </row>
    <row r="131" spans="2:19">
      <c r="B131" t="s">
        <v>112</v>
      </c>
      <c r="D131">
        <v>927</v>
      </c>
      <c r="E131">
        <v>23</v>
      </c>
      <c r="F131">
        <v>216</v>
      </c>
      <c r="G131">
        <v>31.5</v>
      </c>
      <c r="H131">
        <v>92</v>
      </c>
      <c r="I131">
        <v>22.6</v>
      </c>
      <c r="K131">
        <v>0</v>
      </c>
      <c r="R131" s="3"/>
    </row>
    <row r="132" spans="2:19">
      <c r="B132" t="s">
        <v>113</v>
      </c>
      <c r="R132" s="3"/>
    </row>
    <row r="133" spans="2:19">
      <c r="B133" t="s">
        <v>111</v>
      </c>
      <c r="F133">
        <v>2150</v>
      </c>
      <c r="G133">
        <v>11.1</v>
      </c>
      <c r="H133">
        <v>1800</v>
      </c>
      <c r="I133">
        <v>10.1</v>
      </c>
      <c r="K133">
        <v>1</v>
      </c>
      <c r="M133" s="14">
        <f t="shared" ref="M133:M134" si="10">G133/$N$127*(1-$N$126)</f>
        <v>0.4334285714285715</v>
      </c>
      <c r="N133" s="14">
        <f t="shared" ref="N133:N134" si="11">I133/$N$127*(1-$N$126)</f>
        <v>0.39438095238095239</v>
      </c>
      <c r="P133" s="3">
        <f>F133*M133*K133</f>
        <v>931.87142857142874</v>
      </c>
      <c r="Q133" s="3">
        <f>H133*N133*K133</f>
        <v>709.88571428571424</v>
      </c>
      <c r="R133" s="3">
        <f>SUMPRODUCT(O133:Q133,$L$129:$N$129)</f>
        <v>876.37500000000011</v>
      </c>
      <c r="S133" s="14">
        <f>SUMPRODUCT(O133:Q133,L133:N133,$L$129:$N$129)/R133</f>
        <v>0.42552118391216143</v>
      </c>
    </row>
    <row r="134" spans="2:19">
      <c r="B134" t="s">
        <v>112</v>
      </c>
      <c r="F134">
        <v>430</v>
      </c>
      <c r="G134">
        <v>20.399999999999999</v>
      </c>
      <c r="H134">
        <v>448</v>
      </c>
      <c r="I134">
        <v>19.5</v>
      </c>
      <c r="K134">
        <v>0</v>
      </c>
      <c r="M134" s="14">
        <f t="shared" si="10"/>
        <v>0.79657142857142849</v>
      </c>
      <c r="N134" s="14">
        <f t="shared" si="11"/>
        <v>0.76142857142857157</v>
      </c>
      <c r="R134" s="3"/>
    </row>
    <row r="135" spans="2:19">
      <c r="B135" t="s">
        <v>114</v>
      </c>
      <c r="R135" s="3"/>
    </row>
    <row r="136" spans="2:19">
      <c r="B136" t="s">
        <v>111</v>
      </c>
      <c r="H136">
        <v>1468</v>
      </c>
      <c r="I136">
        <v>10.8</v>
      </c>
      <c r="K136">
        <v>1</v>
      </c>
      <c r="M136" s="14"/>
      <c r="N136" s="14">
        <f t="shared" ref="N136:N141" si="12">I136/$N$127*(1-$N$126)</f>
        <v>0.42171428571428582</v>
      </c>
      <c r="P136" s="3"/>
      <c r="Q136" s="3">
        <f>H136*N136*K136</f>
        <v>619.07657142857158</v>
      </c>
      <c r="R136" s="3">
        <f>SUMPRODUCT(O136:Q136,$L$129:$N$129)</f>
        <v>154.7691428571429</v>
      </c>
      <c r="S136" s="14">
        <f>SUMPRODUCT(O136:Q136,L136:N136,$L$129:$N$129)/R136</f>
        <v>0.42171428571428582</v>
      </c>
    </row>
    <row r="137" spans="2:19">
      <c r="B137" t="s">
        <v>112</v>
      </c>
      <c r="H137">
        <v>785</v>
      </c>
      <c r="I137">
        <v>18.100000000000001</v>
      </c>
      <c r="K137">
        <v>0</v>
      </c>
      <c r="M137" s="14"/>
      <c r="N137" s="14">
        <f t="shared" si="12"/>
        <v>0.70676190476190481</v>
      </c>
      <c r="R137" s="3"/>
    </row>
    <row r="138" spans="2:19">
      <c r="B138" t="s">
        <v>115</v>
      </c>
      <c r="N138" s="14"/>
      <c r="R138" s="3"/>
    </row>
    <row r="139" spans="2:19">
      <c r="B139" t="s">
        <v>111</v>
      </c>
      <c r="H139">
        <v>354</v>
      </c>
      <c r="I139">
        <v>14.1</v>
      </c>
      <c r="K139">
        <v>1</v>
      </c>
      <c r="N139" s="14">
        <f t="shared" si="12"/>
        <v>0.5505714285714286</v>
      </c>
      <c r="Q139" s="3">
        <f>H139*N139*K139</f>
        <v>194.90228571428571</v>
      </c>
      <c r="R139" s="3">
        <f>SUMPRODUCT(O139:Q139,$L$129:$N$129)</f>
        <v>48.725571428571428</v>
      </c>
      <c r="S139" s="14">
        <f>SUMPRODUCT(O139:Q139,L139:N139,$L$129:$N$129)/R139</f>
        <v>0.5505714285714286</v>
      </c>
    </row>
    <row r="140" spans="2:19">
      <c r="B140" t="s">
        <v>112</v>
      </c>
      <c r="H140">
        <v>541</v>
      </c>
      <c r="I140">
        <v>17.100000000000001</v>
      </c>
      <c r="K140">
        <v>0</v>
      </c>
      <c r="N140" s="14">
        <f t="shared" si="12"/>
        <v>0.66771428571428582</v>
      </c>
    </row>
    <row r="141" spans="2:19">
      <c r="N141" s="14"/>
    </row>
    <row r="143" spans="2:19">
      <c r="B143" s="9" t="s">
        <v>116</v>
      </c>
      <c r="Q143" s="9" t="s">
        <v>43</v>
      </c>
      <c r="R143" s="3">
        <f>SUM(R130:R142)</f>
        <v>2666.813761904762</v>
      </c>
    </row>
    <row r="144" spans="2:19">
      <c r="B144" t="s">
        <v>117</v>
      </c>
      <c r="Q144" t="s">
        <v>118</v>
      </c>
      <c r="R144">
        <f>R143*N127</f>
        <v>56003.089</v>
      </c>
    </row>
    <row r="145" spans="2:19">
      <c r="B145">
        <v>100</v>
      </c>
      <c r="C145" t="s">
        <v>119</v>
      </c>
      <c r="D145" t="s">
        <v>120</v>
      </c>
      <c r="E145" t="s">
        <v>121</v>
      </c>
      <c r="F145" t="s">
        <v>122</v>
      </c>
      <c r="Q145" s="9" t="s">
        <v>123</v>
      </c>
      <c r="S145" s="14">
        <f>SUMPRODUCT(R130:R139,S130:S139)/R143</f>
        <v>0.47347458079202259</v>
      </c>
    </row>
    <row r="146" spans="2:19">
      <c r="B146" t="s">
        <v>124</v>
      </c>
      <c r="C146">
        <v>2724</v>
      </c>
      <c r="D146">
        <v>95</v>
      </c>
      <c r="E146">
        <v>1243</v>
      </c>
      <c r="F146">
        <v>90</v>
      </c>
    </row>
    <row r="147" spans="2:19">
      <c r="B147" t="s">
        <v>125</v>
      </c>
      <c r="C147">
        <v>537</v>
      </c>
      <c r="D147">
        <v>23</v>
      </c>
      <c r="E147">
        <v>248</v>
      </c>
      <c r="F147">
        <v>11</v>
      </c>
      <c r="Q147" s="9" t="s">
        <v>126</v>
      </c>
      <c r="R147">
        <v>29390.350500000004</v>
      </c>
    </row>
    <row r="149" spans="2:19">
      <c r="Q149" s="9" t="s">
        <v>127</v>
      </c>
      <c r="R149">
        <f>R144-R147</f>
        <v>26612.738499999996</v>
      </c>
    </row>
    <row r="154" spans="2:19">
      <c r="B154" s="9" t="s">
        <v>128</v>
      </c>
    </row>
    <row r="155" spans="2:19">
      <c r="B155" t="s">
        <v>129</v>
      </c>
    </row>
    <row r="159" spans="2:19">
      <c r="B159" t="s">
        <v>130</v>
      </c>
    </row>
    <row r="160" spans="2:19">
      <c r="B160" t="s">
        <v>131</v>
      </c>
      <c r="E160">
        <f>744/2+744/2/(1-0.35)*N129</f>
        <v>515.07692307692309</v>
      </c>
    </row>
    <row r="162" spans="2:32">
      <c r="B162" s="9" t="s">
        <v>132</v>
      </c>
    </row>
    <row r="163" spans="2:32">
      <c r="B163">
        <f>120*5173480/1881758</f>
        <v>329.91362332457203</v>
      </c>
    </row>
    <row r="164" spans="2:32">
      <c r="V164" t="s">
        <v>133</v>
      </c>
      <c r="AF164" t="s">
        <v>134</v>
      </c>
    </row>
    <row r="165" spans="2:32">
      <c r="AF165" t="s">
        <v>135</v>
      </c>
    </row>
    <row r="166" spans="2:32">
      <c r="AF166" t="s">
        <v>136</v>
      </c>
    </row>
    <row r="167" spans="2:32">
      <c r="AF167" t="s">
        <v>137</v>
      </c>
    </row>
    <row r="168" spans="2:32">
      <c r="AF168" t="s">
        <v>138</v>
      </c>
    </row>
    <row r="169" spans="2:32">
      <c r="AF169" t="s">
        <v>139</v>
      </c>
    </row>
    <row r="170" spans="2:32">
      <c r="AF170" t="s">
        <v>140</v>
      </c>
    </row>
  </sheetData>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AH119"/>
  <sheetViews>
    <sheetView topLeftCell="A37" workbookViewId="0">
      <pane xSplit="3" topLeftCell="D1" activePane="topRight" state="frozen"/>
      <selection activeCell="H72" sqref="H72"/>
      <selection pane="topRight" activeCell="H72" sqref="H72"/>
    </sheetView>
  </sheetViews>
  <sheetFormatPr defaultRowHeight="14.5"/>
  <cols>
    <col min="3" max="3" width="18.36328125" customWidth="1"/>
    <col min="4" max="4" width="9" customWidth="1"/>
    <col min="22" max="22" width="7.453125" customWidth="1"/>
  </cols>
  <sheetData>
    <row r="5" spans="3:5">
      <c r="C5" t="s">
        <v>141</v>
      </c>
      <c r="E5" t="s">
        <v>142</v>
      </c>
    </row>
    <row r="6" spans="3:5">
      <c r="D6" t="s">
        <v>143</v>
      </c>
      <c r="E6" t="s">
        <v>144</v>
      </c>
    </row>
    <row r="7" spans="3:5">
      <c r="C7" t="s">
        <v>145</v>
      </c>
      <c r="D7">
        <v>0</v>
      </c>
      <c r="E7" s="15">
        <v>200</v>
      </c>
    </row>
    <row r="8" spans="3:5">
      <c r="D8" s="15">
        <v>1400</v>
      </c>
      <c r="E8">
        <f>E7</f>
        <v>200</v>
      </c>
    </row>
    <row r="9" spans="3:5">
      <c r="C9" t="s">
        <v>146</v>
      </c>
      <c r="D9">
        <f>D8</f>
        <v>1400</v>
      </c>
      <c r="E9" s="15">
        <v>275</v>
      </c>
    </row>
    <row r="10" spans="3:5">
      <c r="D10" s="15">
        <v>2600</v>
      </c>
      <c r="E10">
        <f>E9</f>
        <v>275</v>
      </c>
    </row>
    <row r="11" spans="3:5">
      <c r="C11" t="s">
        <v>147</v>
      </c>
      <c r="D11">
        <f>D10</f>
        <v>2600</v>
      </c>
      <c r="E11" s="15">
        <v>350</v>
      </c>
    </row>
    <row r="12" spans="3:5">
      <c r="D12" s="15">
        <v>4450</v>
      </c>
      <c r="E12">
        <f>E11</f>
        <v>350</v>
      </c>
    </row>
    <row r="13" spans="3:5">
      <c r="C13" t="s">
        <v>148</v>
      </c>
      <c r="D13">
        <f>D12</f>
        <v>4450</v>
      </c>
      <c r="E13" s="15">
        <v>480</v>
      </c>
    </row>
    <row r="14" spans="3:5">
      <c r="D14" s="15">
        <v>4629</v>
      </c>
      <c r="E14">
        <f>E13</f>
        <v>480</v>
      </c>
    </row>
    <row r="16" spans="3:5">
      <c r="C16" t="s">
        <v>64</v>
      </c>
      <c r="E16" s="3">
        <f>(E7*D8+E9*(D10-D9)+E11*(D12-D11)+E13*(D14-D13))/D14</f>
        <v>290.21818967379562</v>
      </c>
    </row>
    <row r="23" spans="3:34">
      <c r="AD23" t="s">
        <v>149</v>
      </c>
      <c r="AH23">
        <f>(100-10)*(2031-2013)/2+10*(2040-2013)</f>
        <v>1080</v>
      </c>
    </row>
    <row r="24" spans="3:34">
      <c r="AG24" t="s">
        <v>52</v>
      </c>
      <c r="AH24">
        <f>750+500</f>
        <v>1250</v>
      </c>
    </row>
    <row r="32" spans="3:34">
      <c r="C32" t="s">
        <v>150</v>
      </c>
      <c r="D32" s="16">
        <f>0.00000001</f>
        <v>1E-8</v>
      </c>
    </row>
    <row r="33" spans="1:32">
      <c r="V33" t="s">
        <v>151</v>
      </c>
    </row>
    <row r="38" spans="1:32">
      <c r="C38" t="s">
        <v>152</v>
      </c>
      <c r="G38">
        <v>0</v>
      </c>
    </row>
    <row r="39" spans="1:32">
      <c r="C39" t="s">
        <v>153</v>
      </c>
      <c r="F39" t="s">
        <v>77</v>
      </c>
      <c r="G39">
        <v>30</v>
      </c>
      <c r="J39" t="s">
        <v>154</v>
      </c>
    </row>
    <row r="40" spans="1:32">
      <c r="H40" s="9" t="s">
        <v>155</v>
      </c>
      <c r="U40" s="9" t="s">
        <v>156</v>
      </c>
    </row>
    <row r="41" spans="1:32">
      <c r="C41" t="s">
        <v>157</v>
      </c>
      <c r="D41" s="17">
        <v>1</v>
      </c>
      <c r="G41" s="18"/>
      <c r="H41" s="19" t="s">
        <v>158</v>
      </c>
      <c r="I41" s="20" t="s">
        <v>159</v>
      </c>
      <c r="J41" s="18"/>
      <c r="K41" s="19" t="s">
        <v>160</v>
      </c>
      <c r="L41" s="20" t="s">
        <v>161</v>
      </c>
      <c r="M41" t="s">
        <v>162</v>
      </c>
      <c r="N41" t="s">
        <v>163</v>
      </c>
      <c r="P41" s="18"/>
      <c r="Q41" s="19" t="s">
        <v>164</v>
      </c>
      <c r="R41" s="20" t="s">
        <v>165</v>
      </c>
      <c r="U41" s="18" t="s">
        <v>166</v>
      </c>
      <c r="V41" s="19"/>
      <c r="W41" s="20"/>
      <c r="X41" s="18"/>
      <c r="Y41" s="19" t="s">
        <v>167</v>
      </c>
      <c r="Z41" s="20"/>
      <c r="AA41" s="18"/>
      <c r="AB41" s="19" t="s">
        <v>168</v>
      </c>
      <c r="AC41" s="20"/>
      <c r="AD41" s="9"/>
    </row>
    <row r="42" spans="1:32">
      <c r="G42" s="21" t="s">
        <v>169</v>
      </c>
      <c r="H42" s="22" t="s">
        <v>170</v>
      </c>
      <c r="I42" s="23" t="s">
        <v>171</v>
      </c>
      <c r="J42" s="21" t="str">
        <f>G42</f>
        <v>min</v>
      </c>
      <c r="K42" s="22" t="str">
        <f t="shared" ref="K42:L42" si="0">H42</f>
        <v>Current</v>
      </c>
      <c r="L42" s="23" t="str">
        <f t="shared" si="0"/>
        <v>max</v>
      </c>
      <c r="P42" s="21" t="str">
        <f t="shared" ref="P42:R45" si="1">J42</f>
        <v>min</v>
      </c>
      <c r="Q42" s="22" t="str">
        <f t="shared" si="1"/>
        <v>Current</v>
      </c>
      <c r="R42" s="23" t="str">
        <f t="shared" si="1"/>
        <v>max</v>
      </c>
      <c r="U42" s="21" t="s">
        <v>169</v>
      </c>
      <c r="V42" s="22" t="s">
        <v>172</v>
      </c>
      <c r="W42" s="23" t="s">
        <v>171</v>
      </c>
      <c r="X42" s="21" t="str">
        <f>U42</f>
        <v>min</v>
      </c>
      <c r="Y42" s="22" t="str">
        <f t="shared" ref="Y42:Z42" si="2">V42</f>
        <v>current</v>
      </c>
      <c r="Z42" s="23" t="str">
        <f t="shared" si="2"/>
        <v>max</v>
      </c>
      <c r="AA42" s="21" t="str">
        <f>X42</f>
        <v>min</v>
      </c>
      <c r="AB42" s="22" t="str">
        <f t="shared" ref="AB42:AC44" si="3">Y42</f>
        <v>current</v>
      </c>
      <c r="AC42" s="23" t="str">
        <f t="shared" si="3"/>
        <v>max</v>
      </c>
    </row>
    <row r="43" spans="1:32">
      <c r="C43" s="24" t="s">
        <v>173</v>
      </c>
      <c r="F43" t="s">
        <v>15</v>
      </c>
      <c r="G43" s="21">
        <f>H43</f>
        <v>20</v>
      </c>
      <c r="H43" s="25">
        <v>20</v>
      </c>
      <c r="I43" s="26">
        <f>H43*(1+5%)^2.55</f>
        <v>22.649713258636083</v>
      </c>
      <c r="J43" s="21">
        <f>G43</f>
        <v>20</v>
      </c>
      <c r="K43" s="27">
        <f>H43</f>
        <v>20</v>
      </c>
      <c r="L43" s="26">
        <f>K43*(1+5%)^5</f>
        <v>25.525631250000004</v>
      </c>
      <c r="P43" s="21">
        <f t="shared" si="1"/>
        <v>20</v>
      </c>
      <c r="Q43" s="27">
        <f t="shared" si="1"/>
        <v>20</v>
      </c>
      <c r="R43" s="28">
        <f t="shared" si="1"/>
        <v>25.525631250000004</v>
      </c>
      <c r="U43" s="21">
        <f>G43</f>
        <v>20</v>
      </c>
      <c r="V43" s="22">
        <f>H43</f>
        <v>20</v>
      </c>
      <c r="W43" s="29">
        <f>I43</f>
        <v>22.649713258636083</v>
      </c>
      <c r="X43" s="21">
        <f>P43</f>
        <v>20</v>
      </c>
      <c r="Y43" s="30">
        <f>(X43+Z43)/2</f>
        <v>22.762815625000002</v>
      </c>
      <c r="Z43" s="28">
        <f>R43</f>
        <v>25.525631250000004</v>
      </c>
      <c r="AA43" s="31">
        <f>X43</f>
        <v>20</v>
      </c>
      <c r="AB43" s="31">
        <f t="shared" si="3"/>
        <v>22.762815625000002</v>
      </c>
      <c r="AC43" s="31">
        <f t="shared" si="3"/>
        <v>25.525631250000004</v>
      </c>
    </row>
    <row r="44" spans="1:32">
      <c r="C44" s="32" t="s">
        <v>174</v>
      </c>
      <c r="F44" t="s">
        <v>15</v>
      </c>
      <c r="G44" s="21">
        <f>H44</f>
        <v>5</v>
      </c>
      <c r="H44" s="25">
        <f>IF(D41,5,eps)</f>
        <v>5</v>
      </c>
      <c r="I44" s="33">
        <f>H44*1.5</f>
        <v>7.5</v>
      </c>
      <c r="J44" s="21">
        <f t="shared" ref="J44:L45" si="4">G44</f>
        <v>5</v>
      </c>
      <c r="K44" s="27">
        <f>H44</f>
        <v>5</v>
      </c>
      <c r="L44" s="23">
        <f t="shared" si="4"/>
        <v>7.5</v>
      </c>
      <c r="P44" s="21">
        <f t="shared" si="1"/>
        <v>5</v>
      </c>
      <c r="Q44" s="27">
        <f t="shared" si="1"/>
        <v>5</v>
      </c>
      <c r="R44" s="23">
        <f t="shared" si="1"/>
        <v>7.5</v>
      </c>
      <c r="U44" s="21">
        <f>V44</f>
        <v>5.4</v>
      </c>
      <c r="V44" s="34">
        <f>IF(D41,5.4,eps)</f>
        <v>5.4</v>
      </c>
      <c r="W44" s="23">
        <f>V44*1.5</f>
        <v>8.1000000000000014</v>
      </c>
      <c r="X44" s="21">
        <f>U44</f>
        <v>5.4</v>
      </c>
      <c r="Y44" s="22">
        <f t="shared" ref="Y44:Z45" si="5">V44</f>
        <v>5.4</v>
      </c>
      <c r="Z44" s="23">
        <f t="shared" si="5"/>
        <v>8.1000000000000014</v>
      </c>
      <c r="AA44" s="21">
        <f>X44</f>
        <v>5.4</v>
      </c>
      <c r="AB44" s="22">
        <f>V44*0.5</f>
        <v>2.7</v>
      </c>
      <c r="AC44" s="23">
        <f t="shared" si="3"/>
        <v>8.1000000000000014</v>
      </c>
    </row>
    <row r="45" spans="1:32">
      <c r="C45" s="32" t="s">
        <v>175</v>
      </c>
      <c r="F45" t="s">
        <v>15</v>
      </c>
      <c r="G45" s="21">
        <f>H45</f>
        <v>5</v>
      </c>
      <c r="H45" s="25">
        <f>IF(D41,5,eps)</f>
        <v>5</v>
      </c>
      <c r="I45" s="35">
        <f>H45*1/0.7</f>
        <v>7.1428571428571432</v>
      </c>
      <c r="J45" s="21">
        <f t="shared" si="4"/>
        <v>5</v>
      </c>
      <c r="K45" s="27">
        <f>H45</f>
        <v>5</v>
      </c>
      <c r="L45" s="29">
        <f t="shared" si="4"/>
        <v>7.1428571428571432</v>
      </c>
      <c r="P45" s="21">
        <f t="shared" si="1"/>
        <v>5</v>
      </c>
      <c r="Q45" s="27">
        <f t="shared" si="1"/>
        <v>5</v>
      </c>
      <c r="R45" s="29">
        <f t="shared" si="1"/>
        <v>7.1428571428571432</v>
      </c>
      <c r="U45" s="21">
        <f>V45</f>
        <v>2.7</v>
      </c>
      <c r="V45" s="34">
        <f>IF(D41,2.7,eps)</f>
        <v>2.7</v>
      </c>
      <c r="W45" s="28">
        <f>V45*R45/Q45</f>
        <v>3.8571428571428577</v>
      </c>
      <c r="X45" s="21">
        <f>U45</f>
        <v>2.7</v>
      </c>
      <c r="Y45" s="22">
        <f t="shared" si="5"/>
        <v>2.7</v>
      </c>
      <c r="Z45" s="28">
        <f t="shared" si="5"/>
        <v>3.8571428571428577</v>
      </c>
      <c r="AA45" s="21">
        <v>7.5</v>
      </c>
      <c r="AB45" s="34">
        <f>IF(D41,7.5,eps)</f>
        <v>7.5</v>
      </c>
      <c r="AC45" s="28">
        <f>I45/H45*AB45</f>
        <v>10.714285714285715</v>
      </c>
    </row>
    <row r="46" spans="1:32">
      <c r="C46" t="s">
        <v>176</v>
      </c>
      <c r="F46" t="s">
        <v>15</v>
      </c>
      <c r="G46" s="21">
        <f>H46</f>
        <v>20</v>
      </c>
      <c r="H46" s="36">
        <v>20</v>
      </c>
      <c r="I46" s="23">
        <f>H46</f>
        <v>20</v>
      </c>
      <c r="J46" s="21">
        <f>I46</f>
        <v>20</v>
      </c>
      <c r="K46" s="22">
        <f t="shared" ref="K46:L46" si="6">J46</f>
        <v>20</v>
      </c>
      <c r="L46" s="23">
        <f t="shared" si="6"/>
        <v>20</v>
      </c>
      <c r="P46" s="21">
        <f>L46</f>
        <v>20</v>
      </c>
      <c r="Q46" s="22">
        <f>P46</f>
        <v>20</v>
      </c>
      <c r="R46" s="23">
        <f>Q46</f>
        <v>20</v>
      </c>
      <c r="U46" s="21">
        <v>5</v>
      </c>
      <c r="V46" s="22">
        <v>5</v>
      </c>
      <c r="W46" s="23">
        <f t="shared" ref="W46:AC46" si="7">V46</f>
        <v>5</v>
      </c>
      <c r="X46" s="21">
        <f t="shared" si="7"/>
        <v>5</v>
      </c>
      <c r="Y46" s="22">
        <f t="shared" si="7"/>
        <v>5</v>
      </c>
      <c r="Z46" s="23">
        <f t="shared" si="7"/>
        <v>5</v>
      </c>
      <c r="AA46" s="21">
        <f t="shared" si="7"/>
        <v>5</v>
      </c>
      <c r="AB46" s="22">
        <f t="shared" si="7"/>
        <v>5</v>
      </c>
      <c r="AC46" s="23">
        <f t="shared" si="7"/>
        <v>5</v>
      </c>
    </row>
    <row r="47" spans="1:32">
      <c r="C47" t="s">
        <v>177</v>
      </c>
      <c r="F47" t="s">
        <v>15</v>
      </c>
      <c r="G47" s="21">
        <f>SUM(G43:G46)</f>
        <v>50</v>
      </c>
      <c r="H47" s="21">
        <f t="shared" ref="H47:I47" si="8">SUM(H43:H46)</f>
        <v>50</v>
      </c>
      <c r="I47" s="21">
        <f t="shared" si="8"/>
        <v>57.292570401493229</v>
      </c>
      <c r="J47" s="37">
        <f t="shared" ref="J47:K47" si="9">SUM(J43:J46)</f>
        <v>50</v>
      </c>
      <c r="K47" s="38">
        <f t="shared" si="9"/>
        <v>50</v>
      </c>
      <c r="L47" s="28">
        <f>SUM(L43:L46)</f>
        <v>60.168488392857149</v>
      </c>
      <c r="P47" s="37">
        <f>SUM(P43:P46)</f>
        <v>50</v>
      </c>
      <c r="Q47" s="38">
        <f>SUM(Q43:Q46)</f>
        <v>50</v>
      </c>
      <c r="R47" s="28">
        <f>SUM(R43:R46)</f>
        <v>60.168488392857149</v>
      </c>
      <c r="U47" s="37">
        <f>SUM(U43:U46)</f>
        <v>33.099999999999994</v>
      </c>
      <c r="V47" s="38">
        <f t="shared" ref="V47:AC47" si="10">SUM(V43:V46)</f>
        <v>33.099999999999994</v>
      </c>
      <c r="W47" s="28">
        <f t="shared" si="10"/>
        <v>39.606856115778939</v>
      </c>
      <c r="X47" s="37">
        <f t="shared" si="10"/>
        <v>33.099999999999994</v>
      </c>
      <c r="Y47" s="38">
        <f t="shared" si="10"/>
        <v>35.862815624999996</v>
      </c>
      <c r="Z47" s="28">
        <f t="shared" si="10"/>
        <v>42.482774107142859</v>
      </c>
      <c r="AA47" s="37">
        <f t="shared" si="10"/>
        <v>37.9</v>
      </c>
      <c r="AB47" s="38">
        <f t="shared" si="10"/>
        <v>37.962815625000005</v>
      </c>
      <c r="AC47" s="28">
        <f t="shared" si="10"/>
        <v>49.33991696428572</v>
      </c>
    </row>
    <row r="48" spans="1:32">
      <c r="A48" s="3">
        <f>(H$61*H48+K48*K$61)/(H$61+K$61)</f>
        <v>3.3031674208144794</v>
      </c>
      <c r="C48" t="s">
        <v>178</v>
      </c>
      <c r="F48" t="s">
        <v>179</v>
      </c>
      <c r="G48" s="21">
        <f>H48</f>
        <v>2</v>
      </c>
      <c r="H48" s="39">
        <v>2</v>
      </c>
      <c r="I48" s="23">
        <f>H48</f>
        <v>2</v>
      </c>
      <c r="J48" s="21">
        <f>K48</f>
        <v>5</v>
      </c>
      <c r="K48" s="39">
        <v>5</v>
      </c>
      <c r="L48" s="23">
        <f>K48</f>
        <v>5</v>
      </c>
      <c r="P48" s="40">
        <v>2.5</v>
      </c>
      <c r="Q48" s="40">
        <v>3.5</v>
      </c>
      <c r="R48" s="40">
        <v>6</v>
      </c>
      <c r="U48" s="21">
        <f>V48</f>
        <v>0.6</v>
      </c>
      <c r="V48" s="39">
        <v>0.6</v>
      </c>
      <c r="W48" s="23">
        <f>V48</f>
        <v>0.6</v>
      </c>
      <c r="X48" s="21">
        <f t="shared" ref="X48" si="11">W48</f>
        <v>0.6</v>
      </c>
      <c r="Y48" s="38">
        <f>(X48+Z48)/2</f>
        <v>1.55</v>
      </c>
      <c r="Z48" s="23">
        <v>2.5</v>
      </c>
      <c r="AA48" s="21">
        <v>5</v>
      </c>
      <c r="AB48" s="38">
        <f>(AA48+AC48)/2</f>
        <v>5</v>
      </c>
      <c r="AC48" s="23">
        <v>5</v>
      </c>
      <c r="AE48">
        <f>(1+Y48)/Y49</f>
        <v>7.8461538461538449</v>
      </c>
      <c r="AF48">
        <f>14/6</f>
        <v>2.3333333333333335</v>
      </c>
    </row>
    <row r="49" spans="1:32">
      <c r="A49" s="14">
        <f>(H$61*H49+K49*K$61)/(H$61+K$61)</f>
        <v>0.76968325791855197</v>
      </c>
      <c r="B49" s="14">
        <f>(I$61*I49+L49*L$61)/(I$61+L$61)</f>
        <v>0.71312217194570138</v>
      </c>
      <c r="C49" t="s">
        <v>180</v>
      </c>
      <c r="G49" s="10">
        <v>0.99</v>
      </c>
      <c r="H49" s="10">
        <v>0.9</v>
      </c>
      <c r="I49" s="10">
        <v>0.8</v>
      </c>
      <c r="J49" s="41">
        <f>K49</f>
        <v>0.6</v>
      </c>
      <c r="K49" s="42">
        <v>0.6</v>
      </c>
      <c r="L49" s="43">
        <f>K49</f>
        <v>0.6</v>
      </c>
      <c r="P49" s="10">
        <v>0.7</v>
      </c>
      <c r="Q49" s="10">
        <v>0.6</v>
      </c>
      <c r="R49" s="10">
        <v>0.5</v>
      </c>
      <c r="U49" s="41">
        <f>V49</f>
        <v>0.5</v>
      </c>
      <c r="V49" s="42">
        <v>0.5</v>
      </c>
      <c r="W49" s="43">
        <f>V49</f>
        <v>0.5</v>
      </c>
      <c r="X49" s="41">
        <v>0.4</v>
      </c>
      <c r="Y49" s="44">
        <f>(X49+Z49)/2</f>
        <v>0.32500000000000001</v>
      </c>
      <c r="Z49" s="43">
        <v>0.25</v>
      </c>
      <c r="AA49" s="41">
        <f>P49</f>
        <v>0.7</v>
      </c>
      <c r="AB49" s="41">
        <f t="shared" ref="AB49:AC49" si="12">Q49</f>
        <v>0.6</v>
      </c>
      <c r="AC49" s="41">
        <f t="shared" si="12"/>
        <v>0.5</v>
      </c>
      <c r="AF49">
        <f>1/AF48</f>
        <v>0.42857142857142855</v>
      </c>
    </row>
    <row r="50" spans="1:32">
      <c r="C50" s="9" t="s">
        <v>181</v>
      </c>
      <c r="D50" s="9"/>
      <c r="E50" s="9"/>
      <c r="F50" s="9" t="s">
        <v>15</v>
      </c>
      <c r="G50" s="45">
        <f t="shared" ref="G50" si="13">G47*(G48+1)/G49</f>
        <v>151.51515151515153</v>
      </c>
      <c r="H50" s="46">
        <f>H47*(H48+1)/H49</f>
        <v>166.66666666666666</v>
      </c>
      <c r="I50" s="47">
        <f t="shared" ref="I50:L50" si="14">I47*(I48+1)/I49</f>
        <v>214.84713900559959</v>
      </c>
      <c r="J50" s="45">
        <f t="shared" si="14"/>
        <v>500</v>
      </c>
      <c r="K50" s="46">
        <f t="shared" si="14"/>
        <v>500</v>
      </c>
      <c r="L50" s="47">
        <f t="shared" si="14"/>
        <v>601.68488392857159</v>
      </c>
      <c r="P50" s="45">
        <f>P47*(P48+1)/P49</f>
        <v>250.00000000000003</v>
      </c>
      <c r="Q50" s="46">
        <f>Q47*(Q48+1)/Q49</f>
        <v>375</v>
      </c>
      <c r="R50" s="47">
        <f>R47*(R48+1)/R49</f>
        <v>842.35883750000005</v>
      </c>
      <c r="U50" s="45">
        <f t="shared" ref="U50:AC50" si="15">U47*(U48+1)/U49</f>
        <v>105.91999999999999</v>
      </c>
      <c r="V50" s="46">
        <f t="shared" si="15"/>
        <v>105.91999999999999</v>
      </c>
      <c r="W50" s="47">
        <f t="shared" si="15"/>
        <v>126.7419395704926</v>
      </c>
      <c r="X50" s="45">
        <f t="shared" si="15"/>
        <v>132.39999999999998</v>
      </c>
      <c r="Y50" s="46">
        <f t="shared" si="15"/>
        <v>281.38516874999993</v>
      </c>
      <c r="Z50" s="47">
        <f t="shared" si="15"/>
        <v>594.75883750000003</v>
      </c>
      <c r="AA50" s="45">
        <f t="shared" si="15"/>
        <v>324.85714285714283</v>
      </c>
      <c r="AB50" s="46">
        <f t="shared" si="15"/>
        <v>379.62815625000007</v>
      </c>
      <c r="AC50" s="47">
        <f t="shared" si="15"/>
        <v>592.07900357142864</v>
      </c>
      <c r="AD50" t="s">
        <v>182</v>
      </c>
    </row>
    <row r="51" spans="1:32">
      <c r="B51" s="40">
        <v>1</v>
      </c>
      <c r="C51" s="24" t="s">
        <v>183</v>
      </c>
      <c r="G51" s="41">
        <v>1</v>
      </c>
      <c r="H51" s="42">
        <v>1</v>
      </c>
      <c r="I51" s="43">
        <v>1</v>
      </c>
      <c r="J51" s="48">
        <v>0.8</v>
      </c>
      <c r="K51" s="42">
        <f>J51</f>
        <v>0.8</v>
      </c>
      <c r="L51" s="49">
        <f>Q51</f>
        <v>0.2</v>
      </c>
      <c r="P51" s="10">
        <v>0.2</v>
      </c>
      <c r="Q51" s="10">
        <v>0.2</v>
      </c>
      <c r="R51" s="10">
        <v>0.15</v>
      </c>
      <c r="U51" s="41">
        <f>V51</f>
        <v>1</v>
      </c>
      <c r="V51" s="44">
        <v>1</v>
      </c>
      <c r="W51" s="43">
        <f>V51</f>
        <v>1</v>
      </c>
      <c r="X51" s="10">
        <v>0.75</v>
      </c>
      <c r="Y51" s="44">
        <f>(X51+Z51)/2</f>
        <v>0.57499999999999996</v>
      </c>
      <c r="Z51" s="10">
        <v>0.4</v>
      </c>
      <c r="AA51" s="10">
        <v>0.75</v>
      </c>
      <c r="AB51" s="44">
        <f>(AA51+AC51)/2</f>
        <v>0.57499999999999996</v>
      </c>
      <c r="AC51" s="10">
        <v>0.4</v>
      </c>
      <c r="AD51" s="50">
        <v>1</v>
      </c>
    </row>
    <row r="52" spans="1:32">
      <c r="B52" s="40">
        <v>34</v>
      </c>
      <c r="C52" s="24" t="s">
        <v>184</v>
      </c>
      <c r="G52" s="41">
        <v>0</v>
      </c>
      <c r="H52" s="42">
        <v>0</v>
      </c>
      <c r="I52" s="43">
        <v>0</v>
      </c>
      <c r="J52" s="48">
        <v>0.05</v>
      </c>
      <c r="K52" s="42">
        <f>J52</f>
        <v>0.05</v>
      </c>
      <c r="L52" s="49">
        <f>Q52</f>
        <v>0.3</v>
      </c>
      <c r="P52" s="10">
        <v>0.5</v>
      </c>
      <c r="Q52" s="10">
        <v>0.3</v>
      </c>
      <c r="R52" s="10">
        <v>0.15</v>
      </c>
      <c r="U52" s="51">
        <f>V52</f>
        <v>0</v>
      </c>
      <c r="V52" s="44">
        <v>0</v>
      </c>
      <c r="W52" s="49">
        <f>(1-W51)/2</f>
        <v>0</v>
      </c>
      <c r="X52" s="51">
        <f>(1-X51)/2</f>
        <v>0.125</v>
      </c>
      <c r="Y52" s="52">
        <f t="shared" ref="Y52:Z52" si="16">(1-Y51)/2</f>
        <v>0.21250000000000002</v>
      </c>
      <c r="Z52" s="49">
        <f t="shared" si="16"/>
        <v>0.3</v>
      </c>
      <c r="AA52" s="51">
        <f>(1-AA51)/2</f>
        <v>0.125</v>
      </c>
      <c r="AB52" s="52">
        <f t="shared" ref="AB52:AC52" si="17">(1-AB51)/2</f>
        <v>0.21250000000000002</v>
      </c>
      <c r="AC52" s="49">
        <f t="shared" si="17"/>
        <v>0.3</v>
      </c>
      <c r="AD52">
        <v>0.5</v>
      </c>
    </row>
    <row r="53" spans="1:32">
      <c r="B53" s="40">
        <f>1.17*100</f>
        <v>117</v>
      </c>
      <c r="C53" t="s">
        <v>185</v>
      </c>
      <c r="G53" s="41">
        <v>0</v>
      </c>
      <c r="H53" s="42">
        <v>0</v>
      </c>
      <c r="I53" s="43">
        <v>0</v>
      </c>
      <c r="J53" s="51">
        <f>1-J52-J51</f>
        <v>0.14999999999999991</v>
      </c>
      <c r="K53" s="42">
        <f t="shared" ref="K53:L53" si="18">1-K52-K51</f>
        <v>0.14999999999999991</v>
      </c>
      <c r="L53" s="49">
        <f t="shared" si="18"/>
        <v>0.49999999999999994</v>
      </c>
      <c r="P53" s="10">
        <f>1-P52-P51</f>
        <v>0.3</v>
      </c>
      <c r="Q53" s="10">
        <f>1-Q52-Q51</f>
        <v>0.49999999999999994</v>
      </c>
      <c r="R53" s="10">
        <f>1-R52-R51</f>
        <v>0.7</v>
      </c>
      <c r="U53" s="41">
        <f>V53</f>
        <v>0</v>
      </c>
      <c r="V53" s="44">
        <f>1-V51-V52</f>
        <v>0</v>
      </c>
      <c r="W53" s="43">
        <f>1-W52-W51</f>
        <v>0</v>
      </c>
      <c r="X53" s="41">
        <f>1-X52-X51</f>
        <v>0.125</v>
      </c>
      <c r="Y53" s="44">
        <f t="shared" ref="Y53:Z53" si="19">1-Y52-Y51</f>
        <v>0.21250000000000002</v>
      </c>
      <c r="Z53" s="43">
        <f t="shared" si="19"/>
        <v>0.29999999999999993</v>
      </c>
      <c r="AA53" s="41">
        <f>1-AA52-AA51</f>
        <v>0.125</v>
      </c>
      <c r="AB53" s="44">
        <f t="shared" ref="AB53:AC53" si="20">1-AB52-AB51</f>
        <v>0.21250000000000002</v>
      </c>
      <c r="AC53" s="43">
        <f t="shared" si="20"/>
        <v>0.29999999999999993</v>
      </c>
      <c r="AD53">
        <v>0.5</v>
      </c>
    </row>
    <row r="54" spans="1:32">
      <c r="C54" s="9" t="s">
        <v>186</v>
      </c>
      <c r="D54" s="9"/>
      <c r="E54" s="9"/>
      <c r="F54" s="9" t="s">
        <v>15</v>
      </c>
      <c r="G54" s="53">
        <f t="shared" ref="G54:L54" si="21">SUMPRODUCT($B$51:$B$53,G51:G53)</f>
        <v>1</v>
      </c>
      <c r="H54" s="54">
        <f t="shared" si="21"/>
        <v>1</v>
      </c>
      <c r="I54" s="55">
        <f t="shared" si="21"/>
        <v>1</v>
      </c>
      <c r="J54" s="45">
        <f t="shared" si="21"/>
        <v>20.04999999999999</v>
      </c>
      <c r="K54" s="46">
        <f t="shared" si="21"/>
        <v>20.04999999999999</v>
      </c>
      <c r="L54" s="47">
        <f t="shared" si="21"/>
        <v>68.899999999999991</v>
      </c>
      <c r="P54" s="53">
        <f>SUMPRODUCT($B$51:$B$53,P51:P53)</f>
        <v>52.3</v>
      </c>
      <c r="Q54" s="56">
        <f>SUMPRODUCT($B$51:$B$53,Q51:Q53)</f>
        <v>68.899999999999991</v>
      </c>
      <c r="R54" s="57">
        <f>SUMPRODUCT($B$51:$B$53,R51:R53)</f>
        <v>87.149999999999991</v>
      </c>
      <c r="U54" s="45">
        <f t="shared" ref="U54:W54" si="22">SUMPRODUCT($B$51:$B$53,U51:U53)</f>
        <v>1</v>
      </c>
      <c r="V54" s="46">
        <f t="shared" si="22"/>
        <v>1</v>
      </c>
      <c r="W54" s="47">
        <f t="shared" si="22"/>
        <v>1</v>
      </c>
      <c r="X54" s="58">
        <f>SUMPRODUCT($B$51:$B$53,X51:X53,$AD$51:$AD$53)</f>
        <v>10.1875</v>
      </c>
      <c r="Y54" s="46">
        <f>SUMPRODUCT($B$51:$B$53,Y51:Y53,$AD$51:$AD$53)</f>
        <v>16.618750000000002</v>
      </c>
      <c r="Z54" s="47">
        <f>SUMPRODUCT($B$51:$B$53,Z51:Z53,$AD$51:$AD$53)</f>
        <v>23.049999999999997</v>
      </c>
      <c r="AA54" s="58">
        <f>SUMPRODUCT($B$51:$B$53,AA51:AA53,$AD$51:$AD$53)</f>
        <v>10.1875</v>
      </c>
      <c r="AB54" s="46">
        <f>SUMPRODUCT($B$51:$B$53,AB51:AB53,$AD$51:$AD$53)</f>
        <v>16.618750000000002</v>
      </c>
      <c r="AC54" s="47">
        <f>SUMPRODUCT($B$51:$B$53,AC51:AC53,$AD$51:$AD$53)</f>
        <v>23.049999999999997</v>
      </c>
      <c r="AE54" s="59"/>
    </row>
    <row r="55" spans="1:32" s="60" customFormat="1">
      <c r="C55" s="60" t="s">
        <v>187</v>
      </c>
      <c r="F55" s="60" t="s">
        <v>188</v>
      </c>
      <c r="G55" s="61">
        <f>H55</f>
        <v>1222.2222222222222</v>
      </c>
      <c r="H55" s="62">
        <f>1100/H49</f>
        <v>1222.2222222222222</v>
      </c>
      <c r="I55" s="63">
        <f>H55</f>
        <v>1222.2222222222222</v>
      </c>
      <c r="J55" s="64">
        <f>K55</f>
        <v>2033.3333333333335</v>
      </c>
      <c r="K55" s="62">
        <f>1100/K49+200</f>
        <v>2033.3333333333335</v>
      </c>
      <c r="L55" s="65">
        <f>K55</f>
        <v>2033.3333333333335</v>
      </c>
      <c r="P55" s="64">
        <f>Q55</f>
        <v>2033.3333333333335</v>
      </c>
      <c r="Q55" s="66">
        <f>K55</f>
        <v>2033.3333333333335</v>
      </c>
      <c r="R55" s="65">
        <f>Q55</f>
        <v>2033.3333333333335</v>
      </c>
      <c r="U55" s="64">
        <f>V55</f>
        <v>700</v>
      </c>
      <c r="V55" s="67">
        <f>235/V49+230</f>
        <v>700</v>
      </c>
      <c r="W55" s="65">
        <f>V55</f>
        <v>700</v>
      </c>
      <c r="X55" s="64">
        <f>Y55</f>
        <v>805.55555555555554</v>
      </c>
      <c r="Y55" s="67">
        <f>(800+650)*10/18</f>
        <v>805.55555555555554</v>
      </c>
      <c r="Z55" s="65">
        <f>Y55</f>
        <v>805.55555555555554</v>
      </c>
      <c r="AA55" s="64">
        <f>AB55</f>
        <v>2033.3333333333335</v>
      </c>
      <c r="AB55" s="68">
        <f>Q55</f>
        <v>2033.3333333333335</v>
      </c>
      <c r="AC55" s="65">
        <f>AB55</f>
        <v>2033.3333333333335</v>
      </c>
      <c r="AE55" s="69"/>
    </row>
    <row r="56" spans="1:32" s="60" customFormat="1">
      <c r="C56" s="70" t="s">
        <v>189</v>
      </c>
      <c r="F56" s="60" t="s">
        <v>15</v>
      </c>
      <c r="G56" s="64">
        <f>G55/$G39</f>
        <v>40.74074074074074</v>
      </c>
      <c r="H56" s="66">
        <f t="shared" ref="H56:L56" si="23">H55/$G39</f>
        <v>40.74074074074074</v>
      </c>
      <c r="I56" s="65">
        <f t="shared" si="23"/>
        <v>40.74074074074074</v>
      </c>
      <c r="J56" s="64">
        <f t="shared" si="23"/>
        <v>67.777777777777786</v>
      </c>
      <c r="K56" s="66">
        <f t="shared" si="23"/>
        <v>67.777777777777786</v>
      </c>
      <c r="L56" s="65">
        <f t="shared" si="23"/>
        <v>67.777777777777786</v>
      </c>
      <c r="P56" s="64">
        <f>P55/$G39</f>
        <v>67.777777777777786</v>
      </c>
      <c r="Q56" s="66">
        <f>Q55/$G39</f>
        <v>67.777777777777786</v>
      </c>
      <c r="R56" s="65">
        <f>R55/$G39</f>
        <v>67.777777777777786</v>
      </c>
      <c r="U56" s="64">
        <f t="shared" ref="U56:AC56" si="24">U55/$G39</f>
        <v>23.333333333333332</v>
      </c>
      <c r="V56" s="66">
        <f t="shared" si="24"/>
        <v>23.333333333333332</v>
      </c>
      <c r="W56" s="65">
        <f t="shared" si="24"/>
        <v>23.333333333333332</v>
      </c>
      <c r="X56" s="64">
        <f t="shared" si="24"/>
        <v>26.851851851851851</v>
      </c>
      <c r="Y56" s="66">
        <f t="shared" si="24"/>
        <v>26.851851851851851</v>
      </c>
      <c r="Z56" s="65">
        <f t="shared" si="24"/>
        <v>26.851851851851851</v>
      </c>
      <c r="AA56" s="64">
        <f t="shared" si="24"/>
        <v>67.777777777777786</v>
      </c>
      <c r="AB56" s="66">
        <f t="shared" si="24"/>
        <v>67.777777777777786</v>
      </c>
      <c r="AC56" s="65">
        <f t="shared" si="24"/>
        <v>67.777777777777786</v>
      </c>
      <c r="AE56" s="69"/>
    </row>
    <row r="57" spans="1:32">
      <c r="C57" s="24" t="s">
        <v>190</v>
      </c>
      <c r="F57" t="s">
        <v>191</v>
      </c>
      <c r="G57" s="71">
        <f>H57</f>
        <v>0.03</v>
      </c>
      <c r="H57" s="72">
        <v>0.03</v>
      </c>
      <c r="I57" s="73">
        <f>H57</f>
        <v>0.03</v>
      </c>
      <c r="J57" s="71">
        <f>K57</f>
        <v>0.03</v>
      </c>
      <c r="K57" s="74">
        <f>H57</f>
        <v>0.03</v>
      </c>
      <c r="L57" s="73">
        <f>K57</f>
        <v>0.03</v>
      </c>
      <c r="P57" s="75">
        <v>0.1</v>
      </c>
      <c r="Q57" s="42">
        <v>0.12</v>
      </c>
      <c r="R57" s="76">
        <v>0.15</v>
      </c>
      <c r="U57" s="71">
        <f>V57</f>
        <v>7.0000000000000007E-2</v>
      </c>
      <c r="V57" s="77">
        <v>7.0000000000000007E-2</v>
      </c>
      <c r="W57" s="73">
        <f>V57</f>
        <v>7.0000000000000007E-2</v>
      </c>
      <c r="X57" s="75">
        <v>0.1</v>
      </c>
      <c r="Y57" s="42">
        <v>0.125</v>
      </c>
      <c r="Z57" s="76">
        <v>0.15</v>
      </c>
      <c r="AA57" s="75">
        <v>0.1</v>
      </c>
      <c r="AB57" s="42">
        <v>0.125</v>
      </c>
      <c r="AC57" s="76">
        <v>0.15</v>
      </c>
    </row>
    <row r="58" spans="1:32">
      <c r="C58" s="9" t="s">
        <v>190</v>
      </c>
      <c r="D58" s="9"/>
      <c r="E58" s="9"/>
      <c r="F58" s="9" t="s">
        <v>15</v>
      </c>
      <c r="G58" s="58">
        <f>-PMT(G57,$G$39,G55,0,$G$38)-G56</f>
        <v>21.616131761790172</v>
      </c>
      <c r="H58" s="56">
        <f t="shared" ref="H58:L58" si="25">-PMT(H57,$G$39,H55,0,$G$38)-H56</f>
        <v>21.616131761790172</v>
      </c>
      <c r="I58" s="57">
        <f t="shared" si="25"/>
        <v>21.616131761790172</v>
      </c>
      <c r="J58" s="58">
        <f t="shared" si="25"/>
        <v>35.961382840069106</v>
      </c>
      <c r="K58" s="56">
        <f t="shared" si="25"/>
        <v>35.961382840069106</v>
      </c>
      <c r="L58" s="57">
        <f t="shared" si="25"/>
        <v>35.961382840069106</v>
      </c>
      <c r="P58" s="58">
        <f>-PMT(P57,$G$39,P55,0,$G$38)-P56</f>
        <v>147.91669366924452</v>
      </c>
      <c r="Q58" s="56">
        <f>-PMT(Q57,$G$39,Q55,0,$G$38)-Q56</f>
        <v>184.64765924450677</v>
      </c>
      <c r="R58" s="57">
        <f>-PMT(R57,$G$39,R55,0,$G$38)-R56</f>
        <v>241.89929188078202</v>
      </c>
      <c r="U58" s="58">
        <f t="shared" ref="U58:AC58" si="26">-PMT(U57,$G$39,U55,0,$G$38)-U56</f>
        <v>33.077149124444503</v>
      </c>
      <c r="V58" s="56">
        <f t="shared" si="26"/>
        <v>33.077149124444503</v>
      </c>
      <c r="W58" s="57">
        <f t="shared" si="26"/>
        <v>33.077149124444503</v>
      </c>
      <c r="X58" s="58">
        <f t="shared" si="26"/>
        <v>58.600875907214373</v>
      </c>
      <c r="Y58" s="56">
        <f t="shared" si="26"/>
        <v>76.871606843598116</v>
      </c>
      <c r="Z58" s="57">
        <f t="shared" si="26"/>
        <v>95.834418914517443</v>
      </c>
      <c r="AA58" s="58">
        <f t="shared" si="26"/>
        <v>147.91669366924452</v>
      </c>
      <c r="AB58" s="56">
        <f t="shared" si="26"/>
        <v>194.03453865349599</v>
      </c>
      <c r="AC58" s="57">
        <f t="shared" si="26"/>
        <v>241.89929188078202</v>
      </c>
    </row>
    <row r="59" spans="1:32">
      <c r="C59" s="24" t="s">
        <v>192</v>
      </c>
      <c r="F59" t="s">
        <v>15</v>
      </c>
      <c r="G59" s="78">
        <v>10</v>
      </c>
      <c r="H59" s="39">
        <v>0</v>
      </c>
      <c r="I59" s="33">
        <v>50</v>
      </c>
      <c r="J59" s="21">
        <f>G59</f>
        <v>10</v>
      </c>
      <c r="K59" s="22">
        <f t="shared" ref="K59:L59" si="27">H59</f>
        <v>0</v>
      </c>
      <c r="L59" s="23">
        <f t="shared" si="27"/>
        <v>50</v>
      </c>
      <c r="P59" s="78">
        <v>10</v>
      </c>
      <c r="Q59" s="39">
        <v>30</v>
      </c>
      <c r="R59" s="33">
        <f>L59</f>
        <v>50</v>
      </c>
      <c r="U59" s="21">
        <f>G59</f>
        <v>10</v>
      </c>
      <c r="V59" s="22">
        <f>H59</f>
        <v>0</v>
      </c>
      <c r="W59" s="23">
        <f>I59</f>
        <v>50</v>
      </c>
      <c r="X59" s="78">
        <v>10</v>
      </c>
      <c r="Y59" s="39">
        <f>Z59</f>
        <v>50</v>
      </c>
      <c r="Z59" s="33">
        <v>50</v>
      </c>
      <c r="AA59" s="78">
        <v>10</v>
      </c>
      <c r="AB59" s="39">
        <v>30</v>
      </c>
      <c r="AC59" s="33">
        <v>50</v>
      </c>
    </row>
    <row r="60" spans="1:32" s="9" customFormat="1">
      <c r="C60" s="9" t="s">
        <v>43</v>
      </c>
      <c r="F60" s="9" t="s">
        <v>15</v>
      </c>
      <c r="G60" s="79">
        <f>G50+G54+G56+G58+G59</f>
        <v>224.87202401768243</v>
      </c>
      <c r="H60" s="80">
        <f t="shared" ref="H60:L60" si="28">H50+H54+H56+H58+H59</f>
        <v>230.02353916919756</v>
      </c>
      <c r="I60" s="46">
        <f t="shared" si="28"/>
        <v>328.20401150813052</v>
      </c>
      <c r="J60" s="45">
        <f t="shared" si="28"/>
        <v>633.78916061784685</v>
      </c>
      <c r="K60" s="81">
        <f t="shared" si="28"/>
        <v>623.78916061784685</v>
      </c>
      <c r="L60" s="46">
        <f t="shared" si="28"/>
        <v>824.32404454641846</v>
      </c>
      <c r="N60" s="9">
        <f>(K60/0.8+30)</f>
        <v>809.73645077230856</v>
      </c>
      <c r="P60" s="79">
        <f>P50+P54+P56+P58+P59</f>
        <v>527.99447144702231</v>
      </c>
      <c r="Q60" s="82">
        <f>Q50+Q54+Q56+Q58+Q59</f>
        <v>726.32543702228452</v>
      </c>
      <c r="R60" s="83">
        <f>R50+R54+R56+R58+R59</f>
        <v>1289.18590715856</v>
      </c>
      <c r="U60" s="45">
        <f t="shared" ref="U60:AC60" si="29">U50+U54+U56+U58+U59</f>
        <v>173.33048245777783</v>
      </c>
      <c r="V60" s="46">
        <f t="shared" si="29"/>
        <v>163.33048245777783</v>
      </c>
      <c r="W60" s="46">
        <f t="shared" si="29"/>
        <v>234.15242202827045</v>
      </c>
      <c r="X60" s="79">
        <f t="shared" si="29"/>
        <v>238.0402277590662</v>
      </c>
      <c r="Y60" s="82">
        <f t="shared" si="29"/>
        <v>451.72737744544986</v>
      </c>
      <c r="Z60" s="83">
        <f t="shared" si="29"/>
        <v>790.49510826636924</v>
      </c>
      <c r="AA60" s="79">
        <f t="shared" si="29"/>
        <v>560.73911430416513</v>
      </c>
      <c r="AB60" s="82">
        <f t="shared" si="29"/>
        <v>688.05922268127381</v>
      </c>
      <c r="AC60" s="83">
        <f t="shared" si="29"/>
        <v>974.80607322998844</v>
      </c>
      <c r="AD60" s="9">
        <f>Z60/X60</f>
        <v>3.3208467144741327</v>
      </c>
    </row>
    <row r="61" spans="1:32">
      <c r="C61" t="s">
        <v>193</v>
      </c>
      <c r="F61" t="s">
        <v>194</v>
      </c>
      <c r="G61" s="21">
        <f>H61</f>
        <v>62.5</v>
      </c>
      <c r="H61" s="39">
        <f>77-14.5</f>
        <v>62.5</v>
      </c>
      <c r="I61" s="23">
        <f>H61</f>
        <v>62.5</v>
      </c>
      <c r="J61" s="21">
        <f>K61</f>
        <v>48</v>
      </c>
      <c r="K61" s="39">
        <f>125-H61-14.5</f>
        <v>48</v>
      </c>
      <c r="L61" s="23">
        <f>K61</f>
        <v>48</v>
      </c>
      <c r="P61" s="21"/>
      <c r="Q61" s="22"/>
      <c r="R61" s="23"/>
      <c r="U61" s="37">
        <f>V61</f>
        <v>29.145771428571432</v>
      </c>
      <c r="V61" s="38">
        <f>(3.72+0.75*6)/36%*31.536*0.85/21</f>
        <v>29.145771428571432</v>
      </c>
      <c r="W61" s="28">
        <f>V61</f>
        <v>29.145771428571432</v>
      </c>
      <c r="X61" s="21"/>
      <c r="Y61" s="22">
        <f>(Z60+X60)/2</f>
        <v>514.26766801271776</v>
      </c>
      <c r="Z61" s="23"/>
      <c r="AA61" s="21"/>
      <c r="AB61" s="22">
        <f>(AC60+AA60)/2</f>
        <v>767.77259376707684</v>
      </c>
      <c r="AC61" s="23"/>
    </row>
    <row r="62" spans="1:32">
      <c r="F62" s="9" t="s">
        <v>195</v>
      </c>
      <c r="G62" s="21"/>
      <c r="H62" s="84">
        <f>H61*H66</f>
        <v>1312.5</v>
      </c>
      <c r="I62" s="85"/>
      <c r="J62" s="86"/>
      <c r="K62" s="84">
        <f>K61*K66</f>
        <v>1008</v>
      </c>
      <c r="L62" s="85"/>
      <c r="N62">
        <f>1728/0.8/0.8</f>
        <v>2700</v>
      </c>
      <c r="P62" s="86"/>
      <c r="Q62" s="87"/>
      <c r="R62" s="85"/>
      <c r="U62" s="88"/>
      <c r="V62" s="84">
        <f>V61*V66</f>
        <v>612.0612000000001</v>
      </c>
      <c r="W62" s="89"/>
      <c r="X62" s="86"/>
      <c r="Y62" s="87"/>
      <c r="Z62" s="23"/>
      <c r="AA62" s="86"/>
      <c r="AB62" s="87"/>
      <c r="AC62" s="23"/>
    </row>
    <row r="63" spans="1:32">
      <c r="C63" t="s">
        <v>196</v>
      </c>
      <c r="F63" s="90" t="s">
        <v>197</v>
      </c>
      <c r="G63" s="21"/>
      <c r="H63" s="39">
        <f>1500/2</f>
        <v>750</v>
      </c>
      <c r="I63" s="23"/>
      <c r="J63" s="21"/>
      <c r="K63" s="39">
        <f>1000/2</f>
        <v>500</v>
      </c>
      <c r="L63" s="23"/>
      <c r="P63" s="21"/>
      <c r="Q63" s="39">
        <f>4500-H63-K63</f>
        <v>3250</v>
      </c>
      <c r="R63" s="91"/>
      <c r="U63" s="21"/>
      <c r="V63" s="39">
        <v>1400</v>
      </c>
      <c r="W63" s="23"/>
      <c r="X63" s="21"/>
      <c r="Y63" s="67">
        <f>Coal_data!R143+Coal_data!E160+Coal_data!B163-V63</f>
        <v>2111.8043083062571</v>
      </c>
      <c r="Z63" s="23"/>
      <c r="AA63" s="21"/>
      <c r="AB63" s="67">
        <f>V63+Y63</f>
        <v>3511.8043083062571</v>
      </c>
      <c r="AC63" s="23"/>
    </row>
    <row r="64" spans="1:32">
      <c r="C64" t="s">
        <v>198</v>
      </c>
      <c r="F64" s="90" t="s">
        <v>77</v>
      </c>
      <c r="G64" s="21"/>
      <c r="H64" s="38">
        <f>H63/H61</f>
        <v>12</v>
      </c>
      <c r="I64" s="23"/>
      <c r="J64" s="21"/>
      <c r="K64" s="38">
        <f>K63/K61</f>
        <v>10.416666666666666</v>
      </c>
      <c r="L64" s="23"/>
      <c r="P64" s="21"/>
      <c r="Q64" s="22">
        <f>Q63*Q66</f>
        <v>68250</v>
      </c>
      <c r="R64" s="23"/>
      <c r="U64" s="21"/>
      <c r="V64" s="22">
        <f>V63*V66</f>
        <v>29400</v>
      </c>
      <c r="W64" s="23"/>
      <c r="X64" s="21"/>
      <c r="Y64" s="22">
        <f>Y63*Y66</f>
        <v>44347.890474431399</v>
      </c>
      <c r="Z64" s="23"/>
      <c r="AA64" s="21"/>
      <c r="AB64" s="22">
        <f>AB63*AB66</f>
        <v>73747.890474431406</v>
      </c>
      <c r="AC64" s="23"/>
    </row>
    <row r="65" spans="3:31">
      <c r="C65" s="60" t="s">
        <v>199</v>
      </c>
      <c r="F65" t="s">
        <v>15</v>
      </c>
      <c r="G65" s="21"/>
      <c r="H65" s="92">
        <f>(H60*H61+K60*K61)/(H61+K61)</f>
        <v>401.07104893874657</v>
      </c>
      <c r="I65" s="23"/>
      <c r="J65" s="21"/>
      <c r="K65" s="22"/>
      <c r="L65" s="23"/>
      <c r="P65" s="21"/>
      <c r="Q65" s="22">
        <f>Q63/Q66</f>
        <v>154.76190476190476</v>
      </c>
      <c r="R65" s="23"/>
      <c r="U65" s="21"/>
      <c r="V65" s="22">
        <f>(V61*V60+(H61+K61)*H65)/(V61+K61+H61)</f>
        <v>351.45170036077945</v>
      </c>
      <c r="W65" s="23"/>
      <c r="X65" s="21"/>
      <c r="Y65" s="22"/>
      <c r="Z65" s="23"/>
      <c r="AA65" s="21"/>
      <c r="AB65" s="22"/>
      <c r="AC65" s="23"/>
      <c r="AE65">
        <f>(H65*(H61+K61)+V60*V61)/(V61+H61+K61)</f>
        <v>351.45170036077945</v>
      </c>
    </row>
    <row r="66" spans="3:31">
      <c r="C66" s="60" t="s">
        <v>19</v>
      </c>
      <c r="F66" t="s">
        <v>200</v>
      </c>
      <c r="G66" s="21">
        <v>21</v>
      </c>
      <c r="H66" s="22">
        <f>G66</f>
        <v>21</v>
      </c>
      <c r="I66" s="23">
        <f t="shared" ref="I66:L66" si="30">H66</f>
        <v>21</v>
      </c>
      <c r="J66" s="21">
        <f t="shared" si="30"/>
        <v>21</v>
      </c>
      <c r="K66" s="22">
        <f t="shared" si="30"/>
        <v>21</v>
      </c>
      <c r="L66" s="23">
        <f t="shared" si="30"/>
        <v>21</v>
      </c>
      <c r="N66">
        <v>23</v>
      </c>
      <c r="P66" s="21">
        <f>L66</f>
        <v>21</v>
      </c>
      <c r="Q66" s="22">
        <f>P66</f>
        <v>21</v>
      </c>
      <c r="R66" s="23">
        <f>Q66</f>
        <v>21</v>
      </c>
      <c r="U66" s="21">
        <v>21</v>
      </c>
      <c r="V66" s="22">
        <v>21</v>
      </c>
      <c r="W66" s="23">
        <v>21</v>
      </c>
      <c r="X66" s="21">
        <v>21</v>
      </c>
      <c r="Y66" s="22">
        <v>21</v>
      </c>
      <c r="Z66" s="23">
        <v>21</v>
      </c>
      <c r="AA66" s="21">
        <v>21</v>
      </c>
      <c r="AB66" s="22">
        <v>21</v>
      </c>
      <c r="AC66" s="23">
        <v>21</v>
      </c>
    </row>
    <row r="67" spans="3:31" s="9" customFormat="1">
      <c r="C67" s="9" t="s">
        <v>201</v>
      </c>
      <c r="F67" s="9" t="s">
        <v>20</v>
      </c>
      <c r="G67" s="58">
        <f>G60/G66</f>
        <v>10.708191619889639</v>
      </c>
      <c r="H67" s="56">
        <f>H60/H66</f>
        <v>10.953501865199884</v>
      </c>
      <c r="I67" s="57">
        <f>I60/I66</f>
        <v>15.62876245276812</v>
      </c>
      <c r="J67" s="58">
        <f t="shared" ref="J67:L67" si="31">J60/J66</f>
        <v>30.180436219897469</v>
      </c>
      <c r="K67" s="56">
        <f t="shared" si="31"/>
        <v>29.704245743706991</v>
      </c>
      <c r="L67" s="57">
        <f t="shared" si="31"/>
        <v>39.253525930781834</v>
      </c>
      <c r="N67" s="56">
        <f t="shared" ref="N67" si="32">N60/N66</f>
        <v>35.205932642274284</v>
      </c>
      <c r="P67" s="58">
        <f>P60/P66</f>
        <v>25.142593878429633</v>
      </c>
      <c r="Q67" s="56">
        <f>Q60/Q66</f>
        <v>34.58692557248974</v>
      </c>
      <c r="R67" s="57">
        <f>R60/R66</f>
        <v>61.389805102788571</v>
      </c>
      <c r="U67" s="93">
        <f t="shared" ref="U67:AC67" si="33">U60/U66</f>
        <v>8.2538324979894213</v>
      </c>
      <c r="V67" s="94">
        <f t="shared" si="33"/>
        <v>7.7776420217989441</v>
      </c>
      <c r="W67" s="95">
        <f t="shared" si="33"/>
        <v>11.150115334679546</v>
      </c>
      <c r="X67" s="93">
        <f t="shared" si="33"/>
        <v>11.335248940907913</v>
      </c>
      <c r="Y67" s="94">
        <f t="shared" si="33"/>
        <v>21.510827497402374</v>
      </c>
      <c r="Z67" s="95">
        <f t="shared" si="33"/>
        <v>37.642624203160437</v>
      </c>
      <c r="AA67" s="93">
        <f t="shared" si="33"/>
        <v>26.701862585912625</v>
      </c>
      <c r="AB67" s="94">
        <f t="shared" si="33"/>
        <v>32.764724889584464</v>
      </c>
      <c r="AC67" s="95">
        <f t="shared" si="33"/>
        <v>46.419336820475642</v>
      </c>
    </row>
    <row r="68" spans="3:31">
      <c r="C68" s="60" t="s">
        <v>199</v>
      </c>
      <c r="G68" s="21"/>
      <c r="H68" s="38">
        <f>H65/H66</f>
        <v>19.098621378035553</v>
      </c>
      <c r="I68" s="23"/>
      <c r="J68" s="21"/>
      <c r="K68" s="22"/>
      <c r="L68" s="23"/>
      <c r="N68" s="22"/>
      <c r="P68" s="21"/>
      <c r="Q68" s="22"/>
      <c r="R68" s="23"/>
      <c r="U68" s="31"/>
      <c r="V68" s="30"/>
      <c r="W68" s="29"/>
      <c r="X68" s="31"/>
      <c r="Y68" s="30"/>
      <c r="Z68" s="29"/>
      <c r="AA68" s="31"/>
      <c r="AB68" s="30"/>
      <c r="AC68" s="29"/>
    </row>
    <row r="69" spans="3:31" s="9" customFormat="1">
      <c r="C69" s="9" t="s">
        <v>202</v>
      </c>
      <c r="D69" s="96">
        <v>0.108</v>
      </c>
      <c r="F69" s="9" t="s">
        <v>20</v>
      </c>
      <c r="G69" s="93">
        <f t="shared" ref="G69" si="34">G67/(1+$D$69)</f>
        <v>9.6644328699364976</v>
      </c>
      <c r="H69" s="94">
        <f>H67/(1+$D$69)</f>
        <v>9.8858320083031437</v>
      </c>
      <c r="I69" s="95">
        <f t="shared" ref="I69:L69" si="35">I67/(1+$D$69)</f>
        <v>14.105381275061479</v>
      </c>
      <c r="J69" s="93">
        <f t="shared" si="35"/>
        <v>27.238660848282912</v>
      </c>
      <c r="K69" s="94">
        <f t="shared" si="35"/>
        <v>26.808886050277067</v>
      </c>
      <c r="L69" s="95">
        <f t="shared" si="35"/>
        <v>35.427369973629808</v>
      </c>
      <c r="N69" s="94">
        <f t="shared" ref="N69" si="36">N67/(1+$D$69)</f>
        <v>31.774307438875706</v>
      </c>
      <c r="P69" s="93">
        <f>P67/(1+$D$69)</f>
        <v>22.691871731434684</v>
      </c>
      <c r="Q69" s="94">
        <f>Q67/(1+$D$69)</f>
        <v>31.215636798275934</v>
      </c>
      <c r="R69" s="95">
        <f>R67/(1+$D$69)</f>
        <v>55.405961284105203</v>
      </c>
      <c r="U69" s="93">
        <f t="shared" ref="U69:AC69" si="37">U67/(1+$D$69)</f>
        <v>7.4493073086547117</v>
      </c>
      <c r="V69" s="94">
        <f t="shared" si="37"/>
        <v>7.0195325106488662</v>
      </c>
      <c r="W69" s="95">
        <f t="shared" si="37"/>
        <v>10.063280987977929</v>
      </c>
      <c r="X69" s="93">
        <f t="shared" si="37"/>
        <v>10.230369080241799</v>
      </c>
      <c r="Y69" s="94">
        <f t="shared" si="37"/>
        <v>19.414104239532826</v>
      </c>
      <c r="Z69" s="95">
        <f t="shared" si="37"/>
        <v>33.973487547978728</v>
      </c>
      <c r="AA69" s="93">
        <f t="shared" si="37"/>
        <v>24.099153958404894</v>
      </c>
      <c r="AB69" s="94">
        <f t="shared" si="37"/>
        <v>29.571051344390309</v>
      </c>
      <c r="AC69" s="95">
        <f t="shared" si="37"/>
        <v>41.894708321728913</v>
      </c>
    </row>
    <row r="70" spans="3:31">
      <c r="G70" s="21"/>
      <c r="H70" s="22"/>
      <c r="I70" s="23"/>
      <c r="J70" s="21"/>
      <c r="K70" s="22"/>
      <c r="L70" s="23"/>
      <c r="P70" s="21"/>
      <c r="Q70" s="22"/>
      <c r="R70" s="23"/>
      <c r="U70" s="21"/>
      <c r="V70" s="22"/>
      <c r="W70" s="23"/>
      <c r="X70" s="21"/>
      <c r="Y70" s="22"/>
      <c r="Z70" s="23"/>
      <c r="AA70" s="21"/>
      <c r="AB70" s="22"/>
      <c r="AC70" s="23"/>
    </row>
    <row r="71" spans="3:31">
      <c r="C71" s="9" t="s">
        <v>203</v>
      </c>
      <c r="G71" s="97"/>
      <c r="H71" s="92"/>
      <c r="I71" s="98"/>
      <c r="J71" s="21"/>
      <c r="K71" s="22"/>
      <c r="L71" s="23"/>
      <c r="P71" s="21"/>
      <c r="Q71" s="22"/>
      <c r="R71" s="23"/>
      <c r="U71" s="21"/>
      <c r="V71" s="22"/>
      <c r="W71" s="23"/>
      <c r="X71" s="21"/>
      <c r="Y71" s="22"/>
      <c r="Z71" s="23"/>
      <c r="AA71" s="21"/>
      <c r="AB71" s="22"/>
      <c r="AC71" s="23"/>
    </row>
    <row r="72" spans="3:31">
      <c r="C72" t="s">
        <v>173</v>
      </c>
      <c r="G72" s="21">
        <f t="shared" ref="G72:L72" si="38">G43*(G48+1)/G49</f>
        <v>60.606060606060609</v>
      </c>
      <c r="H72" s="22">
        <f t="shared" si="38"/>
        <v>66.666666666666671</v>
      </c>
      <c r="I72" s="98">
        <f t="shared" si="38"/>
        <v>84.936424719885309</v>
      </c>
      <c r="J72" s="97">
        <f t="shared" si="38"/>
        <v>200</v>
      </c>
      <c r="K72" s="92">
        <f t="shared" si="38"/>
        <v>200</v>
      </c>
      <c r="L72" s="98">
        <f t="shared" si="38"/>
        <v>255.25631250000004</v>
      </c>
      <c r="P72" s="97">
        <f>P43*(P48+1)/P49</f>
        <v>100</v>
      </c>
      <c r="Q72" s="92">
        <f>Q43*(Q48+1)/Q49</f>
        <v>150</v>
      </c>
      <c r="R72" s="98">
        <f>R43*(R48+1)/R49</f>
        <v>357.35883750000005</v>
      </c>
      <c r="U72" s="97">
        <f t="shared" ref="U72:AC72" si="39">U43*(U48+1)/U49</f>
        <v>64</v>
      </c>
      <c r="V72" s="92">
        <f t="shared" si="39"/>
        <v>64</v>
      </c>
      <c r="W72" s="98">
        <f t="shared" si="39"/>
        <v>72.479082427635475</v>
      </c>
      <c r="X72" s="97">
        <f t="shared" si="39"/>
        <v>80</v>
      </c>
      <c r="Y72" s="92">
        <f t="shared" si="39"/>
        <v>178.6005533653846</v>
      </c>
      <c r="Z72" s="98">
        <f t="shared" si="39"/>
        <v>357.35883750000005</v>
      </c>
      <c r="AA72" s="97">
        <f t="shared" si="39"/>
        <v>171.42857142857144</v>
      </c>
      <c r="AB72" s="92">
        <f t="shared" si="39"/>
        <v>227.62815625000002</v>
      </c>
      <c r="AC72" s="98">
        <f t="shared" si="39"/>
        <v>306.30757500000004</v>
      </c>
    </row>
    <row r="73" spans="3:31">
      <c r="C73" s="60" t="s">
        <v>174</v>
      </c>
      <c r="G73" s="97">
        <f t="shared" ref="G73:L73" si="40">G44*(G48+1)/G49</f>
        <v>15.151515151515152</v>
      </c>
      <c r="H73" s="92">
        <f t="shared" si="40"/>
        <v>16.666666666666668</v>
      </c>
      <c r="I73" s="98">
        <f t="shared" si="40"/>
        <v>28.125</v>
      </c>
      <c r="J73" s="97">
        <f t="shared" si="40"/>
        <v>50</v>
      </c>
      <c r="K73" s="92">
        <f t="shared" si="40"/>
        <v>50</v>
      </c>
      <c r="L73" s="98">
        <f t="shared" si="40"/>
        <v>75</v>
      </c>
      <c r="P73" s="97">
        <f>P44*(P48+1)/P49</f>
        <v>25</v>
      </c>
      <c r="Q73" s="92">
        <f>Q44*(Q48+1)/Q49</f>
        <v>37.5</v>
      </c>
      <c r="R73" s="98">
        <f>R44*(R48+1)/R49</f>
        <v>105</v>
      </c>
      <c r="U73" s="97">
        <f t="shared" ref="U73:AC73" si="41">U44*(U48+1)/U49</f>
        <v>17.28</v>
      </c>
      <c r="V73" s="92">
        <f t="shared" si="41"/>
        <v>17.28</v>
      </c>
      <c r="W73" s="98">
        <f t="shared" si="41"/>
        <v>25.920000000000005</v>
      </c>
      <c r="X73" s="97">
        <f t="shared" si="41"/>
        <v>21.6</v>
      </c>
      <c r="Y73" s="92">
        <f t="shared" si="41"/>
        <v>42.369230769230768</v>
      </c>
      <c r="Z73" s="98">
        <f t="shared" si="41"/>
        <v>113.40000000000002</v>
      </c>
      <c r="AA73" s="97">
        <f t="shared" si="41"/>
        <v>46.285714285714299</v>
      </c>
      <c r="AB73" s="92">
        <f t="shared" si="41"/>
        <v>27.000000000000007</v>
      </c>
      <c r="AC73" s="98">
        <f t="shared" si="41"/>
        <v>97.200000000000017</v>
      </c>
    </row>
    <row r="74" spans="3:31">
      <c r="C74" t="s">
        <v>175</v>
      </c>
      <c r="G74" s="97">
        <f t="shared" ref="G74:L74" si="42">G45*(G48+1)/G49</f>
        <v>15.151515151515152</v>
      </c>
      <c r="H74" s="92">
        <f t="shared" si="42"/>
        <v>16.666666666666668</v>
      </c>
      <c r="I74" s="98">
        <f t="shared" si="42"/>
        <v>26.785714285714288</v>
      </c>
      <c r="J74" s="97">
        <f t="shared" si="42"/>
        <v>50</v>
      </c>
      <c r="K74" s="92">
        <f t="shared" si="42"/>
        <v>50</v>
      </c>
      <c r="L74" s="98">
        <f t="shared" si="42"/>
        <v>71.428571428571445</v>
      </c>
      <c r="P74" s="97">
        <f>P45*(P48+1)/P49</f>
        <v>25</v>
      </c>
      <c r="Q74" s="92">
        <f>Q45*(Q48+1)/Q49</f>
        <v>37.5</v>
      </c>
      <c r="R74" s="98">
        <f>R45*(R48+1)/R49</f>
        <v>100</v>
      </c>
      <c r="U74" s="97">
        <f t="shared" ref="U74:AC74" si="43">U45*(U48+1)/U49</f>
        <v>8.64</v>
      </c>
      <c r="V74" s="38">
        <f t="shared" si="43"/>
        <v>8.64</v>
      </c>
      <c r="W74" s="98">
        <f t="shared" si="43"/>
        <v>12.342857142857145</v>
      </c>
      <c r="X74" s="97">
        <f t="shared" si="43"/>
        <v>10.8</v>
      </c>
      <c r="Y74" s="92">
        <f t="shared" si="43"/>
        <v>21.184615384615384</v>
      </c>
      <c r="Z74" s="98">
        <f t="shared" si="43"/>
        <v>54.000000000000007</v>
      </c>
      <c r="AA74" s="97">
        <f t="shared" si="43"/>
        <v>64.285714285714292</v>
      </c>
      <c r="AB74" s="92">
        <f t="shared" si="43"/>
        <v>75</v>
      </c>
      <c r="AC74" s="98">
        <f t="shared" si="43"/>
        <v>128.57142857142858</v>
      </c>
    </row>
    <row r="75" spans="3:31">
      <c r="G75" s="99"/>
      <c r="H75" s="100"/>
      <c r="I75" s="101"/>
      <c r="J75" s="99"/>
      <c r="K75" s="100"/>
      <c r="L75" s="101"/>
      <c r="P75" s="99"/>
      <c r="Q75" s="100"/>
      <c r="R75" s="101"/>
      <c r="U75" s="99" t="s">
        <v>204</v>
      </c>
      <c r="V75" s="102">
        <f>E117</f>
        <v>8.8000000000000007</v>
      </c>
      <c r="W75" s="101"/>
      <c r="X75" s="99"/>
      <c r="Y75" s="100"/>
      <c r="Z75" s="101"/>
      <c r="AA75" s="99"/>
      <c r="AB75" s="100"/>
      <c r="AC75" s="101"/>
    </row>
    <row r="77" spans="3:31">
      <c r="C77" t="s">
        <v>205</v>
      </c>
      <c r="F77" t="s">
        <v>206</v>
      </c>
      <c r="X77" t="s">
        <v>207</v>
      </c>
    </row>
    <row r="78" spans="3:31">
      <c r="C78" t="s">
        <v>208</v>
      </c>
      <c r="X78" t="s">
        <v>209</v>
      </c>
      <c r="Y78" t="s">
        <v>210</v>
      </c>
      <c r="Z78" t="s">
        <v>211</v>
      </c>
    </row>
    <row r="79" spans="3:31">
      <c r="X79" t="s">
        <v>212</v>
      </c>
      <c r="Y79" t="s">
        <v>213</v>
      </c>
      <c r="Z79" t="s">
        <v>211</v>
      </c>
    </row>
    <row r="80" spans="3:31">
      <c r="X80" t="s">
        <v>214</v>
      </c>
    </row>
    <row r="81" spans="3:26">
      <c r="H81" s="103" t="s">
        <v>215</v>
      </c>
      <c r="I81" s="103"/>
      <c r="J81" s="103"/>
      <c r="K81" s="103"/>
      <c r="L81" s="103"/>
      <c r="M81" s="103" t="s">
        <v>216</v>
      </c>
      <c r="N81" s="103"/>
      <c r="O81" s="103"/>
      <c r="P81" s="103"/>
      <c r="X81" t="s">
        <v>217</v>
      </c>
      <c r="Y81" t="s">
        <v>218</v>
      </c>
      <c r="Z81" t="s">
        <v>211</v>
      </c>
    </row>
    <row r="82" spans="3:26">
      <c r="C82" t="s">
        <v>219</v>
      </c>
      <c r="H82" t="s">
        <v>220</v>
      </c>
      <c r="I82" t="s">
        <v>221</v>
      </c>
      <c r="J82" s="103" t="s">
        <v>222</v>
      </c>
      <c r="K82" s="103"/>
      <c r="L82" s="103"/>
      <c r="M82" t="s">
        <v>223</v>
      </c>
      <c r="N82" s="103" t="s">
        <v>224</v>
      </c>
      <c r="O82" s="103"/>
      <c r="P82" s="103"/>
      <c r="X82" t="s">
        <v>225</v>
      </c>
      <c r="Y82" t="s">
        <v>226</v>
      </c>
      <c r="Z82" t="s">
        <v>211</v>
      </c>
    </row>
    <row r="83" spans="3:26">
      <c r="H83" t="s">
        <v>227</v>
      </c>
      <c r="I83" t="s">
        <v>228</v>
      </c>
      <c r="J83" t="s">
        <v>229</v>
      </c>
      <c r="K83" t="s">
        <v>230</v>
      </c>
      <c r="L83" t="s">
        <v>231</v>
      </c>
      <c r="M83" t="s">
        <v>232</v>
      </c>
      <c r="N83" t="s">
        <v>229</v>
      </c>
      <c r="O83" t="s">
        <v>230</v>
      </c>
      <c r="P83" t="s">
        <v>231</v>
      </c>
      <c r="X83" t="s">
        <v>233</v>
      </c>
      <c r="Y83" t="s">
        <v>234</v>
      </c>
      <c r="Z83" t="s">
        <v>211</v>
      </c>
    </row>
    <row r="84" spans="3:26">
      <c r="G84" t="str">
        <f>C50</f>
        <v>Saleable Production Cost</v>
      </c>
      <c r="H84" s="1">
        <f>H50</f>
        <v>166.66666666666666</v>
      </c>
      <c r="I84" s="1">
        <f>K50</f>
        <v>500</v>
      </c>
      <c r="J84" s="1">
        <f>P50</f>
        <v>250.00000000000003</v>
      </c>
      <c r="K84" s="1">
        <f>Q50</f>
        <v>375</v>
      </c>
      <c r="L84" s="1">
        <f>R50</f>
        <v>842.35883750000005</v>
      </c>
      <c r="M84" s="1">
        <f>V50</f>
        <v>105.91999999999999</v>
      </c>
      <c r="N84" s="1">
        <f>X50</f>
        <v>132.39999999999998</v>
      </c>
      <c r="O84" s="1">
        <f>Y50</f>
        <v>281.38516874999993</v>
      </c>
      <c r="P84" s="1">
        <f>Z50</f>
        <v>594.75883750000003</v>
      </c>
      <c r="X84" t="s">
        <v>235</v>
      </c>
      <c r="Y84" t="s">
        <v>236</v>
      </c>
      <c r="Z84" t="s">
        <v>211</v>
      </c>
    </row>
    <row r="85" spans="3:26">
      <c r="G85" t="s">
        <v>28</v>
      </c>
      <c r="H85">
        <f>H54</f>
        <v>1</v>
      </c>
      <c r="I85" s="1">
        <f>K54</f>
        <v>20.04999999999999</v>
      </c>
      <c r="J85" s="1">
        <f>P54</f>
        <v>52.3</v>
      </c>
      <c r="K85" s="1">
        <f>Q54</f>
        <v>68.899999999999991</v>
      </c>
      <c r="L85" s="1">
        <f>R54</f>
        <v>87.149999999999991</v>
      </c>
      <c r="M85" s="1">
        <f>V54</f>
        <v>1</v>
      </c>
      <c r="N85" s="1">
        <f>X54</f>
        <v>10.1875</v>
      </c>
      <c r="O85" s="1">
        <f>Y54</f>
        <v>16.618750000000002</v>
      </c>
      <c r="P85" s="1">
        <f>Z54</f>
        <v>23.049999999999997</v>
      </c>
      <c r="X85" t="s">
        <v>237</v>
      </c>
      <c r="Y85" t="s">
        <v>238</v>
      </c>
      <c r="Z85" t="s">
        <v>211</v>
      </c>
    </row>
    <row r="86" spans="3:26">
      <c r="G86" t="s">
        <v>39</v>
      </c>
      <c r="H86" s="1">
        <f>H56</f>
        <v>40.74074074074074</v>
      </c>
      <c r="I86" s="1">
        <f>I56</f>
        <v>40.74074074074074</v>
      </c>
      <c r="J86" s="1">
        <f>P56</f>
        <v>67.777777777777786</v>
      </c>
      <c r="K86" s="1">
        <f>Q56</f>
        <v>67.777777777777786</v>
      </c>
      <c r="L86" s="1">
        <f>R56</f>
        <v>67.777777777777786</v>
      </c>
      <c r="M86" s="1">
        <f>V56</f>
        <v>23.333333333333332</v>
      </c>
      <c r="N86" s="1">
        <f>X56</f>
        <v>26.851851851851851</v>
      </c>
      <c r="O86" s="1">
        <f>Y56</f>
        <v>26.851851851851851</v>
      </c>
      <c r="P86" s="1">
        <f>Z56</f>
        <v>26.851851851851851</v>
      </c>
      <c r="X86" t="s">
        <v>139</v>
      </c>
      <c r="Y86" t="s">
        <v>239</v>
      </c>
      <c r="Z86" t="s">
        <v>211</v>
      </c>
    </row>
    <row r="87" spans="3:26">
      <c r="G87" t="s">
        <v>190</v>
      </c>
      <c r="H87" s="1">
        <f>H58</f>
        <v>21.616131761790172</v>
      </c>
      <c r="I87" s="1">
        <f>I58</f>
        <v>21.616131761790172</v>
      </c>
      <c r="J87" s="1">
        <f t="shared" ref="J87:L88" si="44">P58</f>
        <v>147.91669366924452</v>
      </c>
      <c r="K87" s="1">
        <f t="shared" si="44"/>
        <v>184.64765924450677</v>
      </c>
      <c r="L87" s="1">
        <f t="shared" si="44"/>
        <v>241.89929188078202</v>
      </c>
      <c r="M87" s="3">
        <f>V58</f>
        <v>33.077149124444503</v>
      </c>
      <c r="N87" s="3">
        <f t="shared" ref="N87:P88" si="45">X58</f>
        <v>58.600875907214373</v>
      </c>
      <c r="O87" s="3">
        <f t="shared" si="45"/>
        <v>76.871606843598116</v>
      </c>
      <c r="P87" s="3">
        <f t="shared" si="45"/>
        <v>95.834418914517443</v>
      </c>
    </row>
    <row r="88" spans="3:26">
      <c r="G88" t="s">
        <v>240</v>
      </c>
      <c r="H88">
        <f>H59</f>
        <v>0</v>
      </c>
      <c r="I88">
        <f>K59</f>
        <v>0</v>
      </c>
      <c r="J88">
        <f t="shared" si="44"/>
        <v>10</v>
      </c>
      <c r="K88">
        <f t="shared" si="44"/>
        <v>30</v>
      </c>
      <c r="L88">
        <f t="shared" si="44"/>
        <v>50</v>
      </c>
      <c r="M88">
        <f>V59</f>
        <v>0</v>
      </c>
      <c r="N88">
        <f t="shared" si="45"/>
        <v>10</v>
      </c>
      <c r="O88">
        <f t="shared" si="45"/>
        <v>50</v>
      </c>
      <c r="P88">
        <f t="shared" si="45"/>
        <v>50</v>
      </c>
    </row>
    <row r="89" spans="3:26">
      <c r="G89" t="s">
        <v>43</v>
      </c>
      <c r="H89" s="1">
        <f>SUM(H84:H88)</f>
        <v>230.02353916919756</v>
      </c>
      <c r="I89" s="1">
        <f t="shared" ref="I89:P89" si="46">SUM(I84:I88)</f>
        <v>582.40687250253086</v>
      </c>
      <c r="J89" s="1">
        <f t="shared" si="46"/>
        <v>527.99447144702231</v>
      </c>
      <c r="K89" s="1">
        <f t="shared" si="46"/>
        <v>726.32543702228452</v>
      </c>
      <c r="L89" s="1">
        <f t="shared" si="46"/>
        <v>1289.18590715856</v>
      </c>
      <c r="M89" s="1">
        <f t="shared" si="46"/>
        <v>163.33048245777783</v>
      </c>
      <c r="N89" s="1">
        <f t="shared" si="46"/>
        <v>238.0402277590662</v>
      </c>
      <c r="O89" s="1">
        <f t="shared" si="46"/>
        <v>451.72737744544986</v>
      </c>
      <c r="P89" s="1">
        <f t="shared" si="46"/>
        <v>790.49510826636924</v>
      </c>
    </row>
    <row r="92" spans="3:26">
      <c r="H92" s="103" t="s">
        <v>215</v>
      </c>
      <c r="I92" s="103"/>
      <c r="J92" s="103"/>
      <c r="K92" s="103"/>
      <c r="L92" s="103"/>
      <c r="M92" s="103" t="s">
        <v>216</v>
      </c>
      <c r="N92" s="103"/>
      <c r="O92" s="103"/>
      <c r="P92" s="103"/>
    </row>
    <row r="93" spans="3:26">
      <c r="H93" t="s">
        <v>220</v>
      </c>
      <c r="I93" t="s">
        <v>221</v>
      </c>
      <c r="J93" s="103" t="s">
        <v>222</v>
      </c>
      <c r="K93" s="103"/>
      <c r="L93" s="103"/>
      <c r="M93" t="s">
        <v>223</v>
      </c>
      <c r="N93" s="103" t="s">
        <v>224</v>
      </c>
      <c r="O93" s="103"/>
      <c r="P93" s="103"/>
    </row>
    <row r="94" spans="3:26">
      <c r="H94" t="s">
        <v>227</v>
      </c>
      <c r="I94" t="s">
        <v>228</v>
      </c>
      <c r="J94" t="s">
        <v>229</v>
      </c>
      <c r="K94" t="s">
        <v>230</v>
      </c>
      <c r="L94" t="s">
        <v>231</v>
      </c>
      <c r="M94" t="s">
        <v>232</v>
      </c>
      <c r="N94" t="s">
        <v>229</v>
      </c>
      <c r="O94" t="s">
        <v>230</v>
      </c>
      <c r="P94" t="s">
        <v>231</v>
      </c>
    </row>
    <row r="95" spans="3:26">
      <c r="G95" t="s">
        <v>241</v>
      </c>
    </row>
    <row r="96" spans="3:26">
      <c r="G96" t="s">
        <v>178</v>
      </c>
      <c r="H96">
        <f>H48</f>
        <v>2</v>
      </c>
      <c r="I96" s="104">
        <f>K48</f>
        <v>5</v>
      </c>
      <c r="J96" s="104">
        <f t="shared" ref="J96:L97" si="47">P48</f>
        <v>2.5</v>
      </c>
      <c r="K96" s="104">
        <f t="shared" si="47"/>
        <v>3.5</v>
      </c>
      <c r="L96" s="104">
        <f t="shared" si="47"/>
        <v>6</v>
      </c>
      <c r="M96" s="104">
        <f>V48</f>
        <v>0.6</v>
      </c>
      <c r="N96" s="104">
        <f t="shared" ref="N96:P97" si="48">X48</f>
        <v>0.6</v>
      </c>
      <c r="O96" s="104">
        <f t="shared" si="48"/>
        <v>1.55</v>
      </c>
      <c r="P96" s="104">
        <f t="shared" si="48"/>
        <v>2.5</v>
      </c>
    </row>
    <row r="97" spans="3:16">
      <c r="G97" t="s">
        <v>242</v>
      </c>
      <c r="H97" s="14">
        <f>H49</f>
        <v>0.9</v>
      </c>
      <c r="I97" s="14">
        <f>K49</f>
        <v>0.6</v>
      </c>
      <c r="J97" s="14">
        <f t="shared" si="47"/>
        <v>0.7</v>
      </c>
      <c r="K97" s="14">
        <f t="shared" si="47"/>
        <v>0.6</v>
      </c>
      <c r="L97" s="14">
        <f t="shared" si="47"/>
        <v>0.5</v>
      </c>
      <c r="M97" s="14">
        <f>V49</f>
        <v>0.5</v>
      </c>
      <c r="N97" s="14">
        <f t="shared" si="48"/>
        <v>0.4</v>
      </c>
      <c r="O97" s="14">
        <f t="shared" si="48"/>
        <v>0.32500000000000001</v>
      </c>
      <c r="P97" s="14">
        <f t="shared" si="48"/>
        <v>0.25</v>
      </c>
    </row>
    <row r="98" spans="3:16">
      <c r="C98" t="s">
        <v>38</v>
      </c>
      <c r="E98">
        <v>2006</v>
      </c>
      <c r="G98" t="s">
        <v>243</v>
      </c>
    </row>
    <row r="99" spans="3:16">
      <c r="C99" t="s">
        <v>244</v>
      </c>
      <c r="D99" t="s">
        <v>245</v>
      </c>
      <c r="E99">
        <v>36.200000000000003</v>
      </c>
      <c r="G99" t="s">
        <v>183</v>
      </c>
      <c r="H99" s="14">
        <f>H51</f>
        <v>1</v>
      </c>
      <c r="I99" s="14">
        <f>K51</f>
        <v>0.8</v>
      </c>
      <c r="J99" s="14">
        <f t="shared" ref="J99:L101" si="49">P51</f>
        <v>0.2</v>
      </c>
      <c r="K99" s="14">
        <f t="shared" si="49"/>
        <v>0.2</v>
      </c>
      <c r="L99" s="14">
        <f t="shared" si="49"/>
        <v>0.15</v>
      </c>
      <c r="M99" s="14">
        <f>V51</f>
        <v>1</v>
      </c>
      <c r="N99" s="14">
        <f t="shared" ref="N99:P101" si="50">X51</f>
        <v>0.75</v>
      </c>
      <c r="O99" s="14">
        <f t="shared" si="50"/>
        <v>0.57499999999999996</v>
      </c>
      <c r="P99" s="14">
        <f t="shared" si="50"/>
        <v>0.4</v>
      </c>
    </row>
    <row r="100" spans="3:16">
      <c r="C100" t="s">
        <v>246</v>
      </c>
      <c r="D100" t="s">
        <v>245</v>
      </c>
      <c r="E100">
        <v>22.8</v>
      </c>
      <c r="G100" t="s">
        <v>184</v>
      </c>
      <c r="H100" s="14">
        <f>H52</f>
        <v>0</v>
      </c>
      <c r="I100" s="14">
        <f>K52</f>
        <v>0.05</v>
      </c>
      <c r="J100" s="14">
        <f t="shared" si="49"/>
        <v>0.5</v>
      </c>
      <c r="K100" s="14">
        <f t="shared" si="49"/>
        <v>0.3</v>
      </c>
      <c r="L100" s="14">
        <f t="shared" si="49"/>
        <v>0.15</v>
      </c>
      <c r="M100" s="14">
        <f>V52</f>
        <v>0</v>
      </c>
      <c r="N100" s="14">
        <f t="shared" si="50"/>
        <v>0.125</v>
      </c>
      <c r="O100" s="14">
        <f t="shared" si="50"/>
        <v>0.21250000000000002</v>
      </c>
      <c r="P100" s="14">
        <f t="shared" si="50"/>
        <v>0.3</v>
      </c>
    </row>
    <row r="101" spans="3:16">
      <c r="C101" t="s">
        <v>247</v>
      </c>
      <c r="E101">
        <f>E100/E99</f>
        <v>0.62983425414364635</v>
      </c>
      <c r="G101" t="s">
        <v>185</v>
      </c>
      <c r="H101" s="14">
        <f>H53</f>
        <v>0</v>
      </c>
      <c r="I101" s="14">
        <f>K53</f>
        <v>0.14999999999999991</v>
      </c>
      <c r="J101" s="14">
        <f t="shared" si="49"/>
        <v>0.3</v>
      </c>
      <c r="K101" s="14">
        <f t="shared" si="49"/>
        <v>0.49999999999999994</v>
      </c>
      <c r="L101" s="14">
        <f t="shared" si="49"/>
        <v>0.7</v>
      </c>
      <c r="M101" s="14">
        <f>V53</f>
        <v>0</v>
      </c>
      <c r="N101" s="14">
        <f t="shared" si="50"/>
        <v>0.125</v>
      </c>
      <c r="O101" s="14">
        <f t="shared" si="50"/>
        <v>0.21250000000000002</v>
      </c>
      <c r="P101" s="14">
        <f t="shared" si="50"/>
        <v>0.29999999999999993</v>
      </c>
    </row>
    <row r="102" spans="3:16">
      <c r="C102" t="s">
        <v>248</v>
      </c>
      <c r="D102" t="s">
        <v>245</v>
      </c>
      <c r="E102">
        <f>E99</f>
        <v>36.200000000000003</v>
      </c>
    </row>
    <row r="103" spans="3:16">
      <c r="C103" t="s">
        <v>249</v>
      </c>
      <c r="D103" t="s">
        <v>245</v>
      </c>
      <c r="E103">
        <v>18.8</v>
      </c>
    </row>
    <row r="104" spans="3:16">
      <c r="C104" t="s">
        <v>250</v>
      </c>
      <c r="E104">
        <f>E103/E102</f>
        <v>0.51933701657458564</v>
      </c>
    </row>
    <row r="105" spans="3:16">
      <c r="C105" t="s">
        <v>251</v>
      </c>
      <c r="D105" t="s">
        <v>245</v>
      </c>
      <c r="E105">
        <v>14.6</v>
      </c>
    </row>
    <row r="106" spans="3:16">
      <c r="C106" t="s">
        <v>252</v>
      </c>
      <c r="D106" t="s">
        <v>49</v>
      </c>
      <c r="E106">
        <v>844</v>
      </c>
    </row>
    <row r="107" spans="3:16">
      <c r="C107" t="s">
        <v>253</v>
      </c>
      <c r="D107" t="s">
        <v>15</v>
      </c>
      <c r="E107">
        <f>E106/E105</f>
        <v>57.80821917808219</v>
      </c>
    </row>
    <row r="108" spans="3:16">
      <c r="C108" t="s">
        <v>254</v>
      </c>
      <c r="D108" t="s">
        <v>49</v>
      </c>
      <c r="E108">
        <v>375</v>
      </c>
    </row>
    <row r="109" spans="3:16">
      <c r="D109" t="s">
        <v>15</v>
      </c>
      <c r="E109">
        <f>E108/E99</f>
        <v>10.359116022099446</v>
      </c>
    </row>
    <row r="110" spans="3:16">
      <c r="C110" t="s">
        <v>255</v>
      </c>
      <c r="D110" t="s">
        <v>49</v>
      </c>
      <c r="E110">
        <v>478</v>
      </c>
    </row>
    <row r="111" spans="3:16">
      <c r="D111" t="s">
        <v>15</v>
      </c>
      <c r="E111" s="3">
        <f>E110/E99</f>
        <v>13.204419889502761</v>
      </c>
      <c r="F111">
        <f>E111/E107</f>
        <v>0.22841769003168283</v>
      </c>
    </row>
    <row r="113" spans="3:5">
      <c r="C113" t="s">
        <v>256</v>
      </c>
      <c r="D113" t="s">
        <v>257</v>
      </c>
      <c r="E113">
        <v>264</v>
      </c>
    </row>
    <row r="114" spans="3:5">
      <c r="C114" t="s">
        <v>258</v>
      </c>
      <c r="D114" t="s">
        <v>55</v>
      </c>
      <c r="E114">
        <v>19.5</v>
      </c>
    </row>
    <row r="115" spans="3:5">
      <c r="D115" t="s">
        <v>259</v>
      </c>
      <c r="E115" s="4">
        <f>E113/E114</f>
        <v>13.538461538461538</v>
      </c>
    </row>
    <row r="116" spans="3:5">
      <c r="D116" t="s">
        <v>260</v>
      </c>
      <c r="E116">
        <v>0.65</v>
      </c>
    </row>
    <row r="117" spans="3:5">
      <c r="C117" t="s">
        <v>261</v>
      </c>
      <c r="D117" t="s">
        <v>15</v>
      </c>
      <c r="E117">
        <f>E115*E116</f>
        <v>8.8000000000000007</v>
      </c>
    </row>
    <row r="119" spans="3:5">
      <c r="C119" t="s">
        <v>262</v>
      </c>
      <c r="E119" s="2">
        <v>0.05</v>
      </c>
    </row>
  </sheetData>
  <mergeCells count="8">
    <mergeCell ref="J93:L93"/>
    <mergeCell ref="N93:P93"/>
    <mergeCell ref="H81:L81"/>
    <mergeCell ref="M81:P81"/>
    <mergeCell ref="J82:L82"/>
    <mergeCell ref="N82:P82"/>
    <mergeCell ref="H92:L92"/>
    <mergeCell ref="M92:P9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Label 1">
              <controlPr defaultSize="0" autoFill="0" autoLine="0" autoPict="0">
                <anchor moveWithCells="1" sizeWithCells="1">
                  <from>
                    <xdr:col>18</xdr:col>
                    <xdr:colOff>330200</xdr:colOff>
                    <xdr:row>33</xdr:row>
                    <xdr:rowOff>31750</xdr:rowOff>
                  </from>
                  <to>
                    <xdr:col>19</xdr:col>
                    <xdr:colOff>196850</xdr:colOff>
                    <xdr:row>35</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Coal_data</vt:lpstr>
      <vt:lpstr>CoalParams</vt:lpstr>
      <vt:lpstr>eps</vt:lpstr>
    </vt:vector>
  </TitlesOfParts>
  <Company>University of Cape Town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merven</dc:creator>
  <cp:lastModifiedBy>bruno merven</cp:lastModifiedBy>
  <dcterms:created xsi:type="dcterms:W3CDTF">2015-07-21T10:21:53Z</dcterms:created>
  <dcterms:modified xsi:type="dcterms:W3CDTF">2015-07-21T10:22:25Z</dcterms:modified>
</cp:coreProperties>
</file>