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codeName="ThisWorkbook" defaultThemeVersion="166925"/>
  <mc:AlternateContent xmlns:mc="http://schemas.openxmlformats.org/markup-compatibility/2006">
    <mc:Choice Requires="x15">
      <x15ac:absPath xmlns:x15ac="http://schemas.microsoft.com/office/spreadsheetml/2010/11/ac" url="/Users/sumaiyahdocrat/Dropbox/MOSAIC/Injuries/final/"/>
    </mc:Choice>
  </mc:AlternateContent>
  <xr:revisionPtr revIDLastSave="0" documentId="13_ncr:1_{37F473AF-ABE0-8640-8F49-65F41DE2BDB8}" xr6:coauthVersionLast="45" xr6:coauthVersionMax="45" xr10:uidLastSave="{00000000-0000-0000-0000-000000000000}"/>
  <bookViews>
    <workbookView xWindow="0" yWindow="460" windowWidth="28800" windowHeight="16220" xr2:uid="{8E399F1B-FF5D-794D-99F2-E623B3ED50E7}"/>
  </bookViews>
  <sheets>
    <sheet name="MOSAIC" sheetId="10" r:id="rId1"/>
    <sheet name="Overview" sheetId="12" r:id="rId2"/>
    <sheet name="Inputs &amp; Results" sheetId="14" r:id="rId3"/>
    <sheet name="Public Hospital Costs" sheetId="5" r:id="rId4"/>
    <sheet name="Inpatient&amp;OutpatientUtilisation" sheetId="11" r:id="rId5"/>
  </sheets>
  <externalReferences>
    <externalReference r:id="rId6"/>
    <externalReference r:id="rId7"/>
    <externalReference r:id="rId8"/>
  </externalReferences>
  <definedNames>
    <definedName name="cICUpub" localSheetId="0">'[1]Inputs &amp; Results'!$C$22</definedName>
    <definedName name="cICUpub" localSheetId="1">'[1]Inputs &amp; Results'!$C$22</definedName>
    <definedName name="cICUpub">'[2]Inputs &amp; Results'!$C$22</definedName>
    <definedName name="cICUpub_original">#REF!</definedName>
    <definedName name="cICUpvt" localSheetId="0">'[1]Inputs &amp; Results'!$C$24</definedName>
    <definedName name="cICUpvt" localSheetId="1">'[1]Inputs &amp; Results'!$C$24</definedName>
    <definedName name="cICUpvt">'[2]Inputs &amp; Results'!$C$24</definedName>
    <definedName name="cICUpvt_original">#REF!</definedName>
    <definedName name="cIPDpub" localSheetId="0">'[1]Inputs &amp; Results'!$C$21</definedName>
    <definedName name="cIPDpub" localSheetId="1">'[1]Inputs &amp; Results'!$C$21</definedName>
    <definedName name="cIPDpub">'[2]Inputs &amp; Results'!$C$21</definedName>
    <definedName name="cIPDpub_original">#REF!</definedName>
    <definedName name="cIPDpvt" localSheetId="0">'[1]Inputs &amp; Results'!$C$23</definedName>
    <definedName name="cIPDpvt" localSheetId="1">'[1]Inputs &amp; Results'!$C$23</definedName>
    <definedName name="cIPDpvt">'[2]Inputs &amp; Results'!$C$23</definedName>
    <definedName name="cIPDpvt_original">#REF!</definedName>
    <definedName name="durcritical" localSheetId="0">'[1]Inputs &amp; Results'!$C$40</definedName>
    <definedName name="durcritical" localSheetId="1">'[1]Inputs &amp; Results'!$C$40</definedName>
    <definedName name="durcritical">'[2]Inputs &amp; Results'!$C$40</definedName>
    <definedName name="durcritical_original">#REF!</definedName>
    <definedName name="durdeath">#REF!</definedName>
    <definedName name="durdeath_original" localSheetId="0">#REF!</definedName>
    <definedName name="durdeath_original" localSheetId="1">#REF!</definedName>
    <definedName name="durdeath_original">#REF!</definedName>
    <definedName name="dursevere" localSheetId="0">'[1]Inputs &amp; Results'!$C$39</definedName>
    <definedName name="dursevere" localSheetId="1">'[1]Inputs &amp; Results'!$C$39</definedName>
    <definedName name="dursevere">'[2]Inputs &amp; Results'!$C$39</definedName>
    <definedName name="dursevere_original">#REF!</definedName>
    <definedName name="DWcritical" localSheetId="0">'[1]Inputs &amp; Results'!$C$38</definedName>
    <definedName name="DWcritical" localSheetId="1">'[1]Inputs &amp; Results'!$C$38</definedName>
    <definedName name="DWcritical">'[2]Inputs &amp; Results'!$C$38</definedName>
    <definedName name="DWcritical_original">#REF!</definedName>
    <definedName name="DWsevere" localSheetId="0">'[1]Inputs &amp; Results'!$C$37</definedName>
    <definedName name="DWsevere" localSheetId="1">'[1]Inputs &amp; Results'!$C$37</definedName>
    <definedName name="DWsevere">'[2]Inputs &amp; Results'!$C$37</definedName>
    <definedName name="DWsevere_original">#REF!</definedName>
    <definedName name="exmortality" localSheetId="0">'[1]Inputs &amp; Results'!$C$35</definedName>
    <definedName name="exmortality" localSheetId="1">'[1]Inputs &amp; Results'!$C$35</definedName>
    <definedName name="exmortality">'[2]Inputs &amp; Results'!$C$35</definedName>
    <definedName name="exmortality_original">#REF!</definedName>
    <definedName name="InputVariablesValues">#REF!</definedName>
    <definedName name="OriginalInputVariablesValues" localSheetId="0">#REF!</definedName>
    <definedName name="OriginalInputVariablesValues" localSheetId="1">#REF!</definedName>
    <definedName name="OriginalInputVariablesValues">#REF!</definedName>
    <definedName name="OriginalModelResults" localSheetId="0">#REF!</definedName>
    <definedName name="OriginalModelResults" localSheetId="1">#REF!</definedName>
    <definedName name="OriginalModelResults">#REF!</definedName>
    <definedName name="pdead" localSheetId="0">'[1]Inputs &amp; Results'!$C$33</definedName>
    <definedName name="pdead" localSheetId="1">'[1]Inputs &amp; Results'!$C$33</definedName>
    <definedName name="pdead">'[2]Inputs &amp; Results'!$C$33</definedName>
    <definedName name="pdead_original">#REF!</definedName>
    <definedName name="pdeadICU" localSheetId="0">'[1]Inputs &amp; Results'!$C$34</definedName>
    <definedName name="pdeadICU" localSheetId="1">'[1]Inputs &amp; Results'!$C$34</definedName>
    <definedName name="pdeadICU">'[2]Inputs &amp; Results'!$C$34</definedName>
    <definedName name="pdeadICU_original">#REF!</definedName>
    <definedName name="pICU" localSheetId="0">'[1]Inputs &amp; Results'!$C$30</definedName>
    <definedName name="pICU" localSheetId="1">'[1]Inputs &amp; Results'!$C$30</definedName>
    <definedName name="pICU">'[2]Inputs &amp; Results'!$C$30</definedName>
    <definedName name="pICU_original">#REF!</definedName>
    <definedName name="ppm" localSheetId="0">'[1]Inputs &amp; Results'!$C$31</definedName>
    <definedName name="ppm" localSheetId="1">'[1]Inputs &amp; Results'!$C$31</definedName>
    <definedName name="ppm">'[2]Inputs &amp; Results'!$C$31</definedName>
    <definedName name="ppm_original">#REF!</definedName>
    <definedName name="uICU" localSheetId="0">'[1]Inputs &amp; Results'!$C$27</definedName>
    <definedName name="uICU" localSheetId="1">'[1]Inputs &amp; Results'!$C$27</definedName>
    <definedName name="uICU">'[2]Inputs &amp; Results'!$C$27</definedName>
    <definedName name="uICU_original">#REF!</definedName>
    <definedName name="uIPD" localSheetId="0">'[1]Inputs &amp; Results'!$C$26</definedName>
    <definedName name="uIPD" localSheetId="1">'[1]Inputs &amp; Results'!$C$26</definedName>
    <definedName name="uIPD">'[2]Inputs &amp; Results'!$C$26</definedName>
    <definedName name="uIPD_original">#REF!</definedName>
    <definedName name="uIPDcritical" localSheetId="0">'[1]Inputs &amp; Results'!$C$28</definedName>
    <definedName name="uIPDcritical" localSheetId="1">'[1]Inputs &amp; Results'!$C$28</definedName>
    <definedName name="uIPDcritical">'[2]Inputs &amp; Results'!$C$28</definedName>
    <definedName name="uIPDcritical_original">#REF!</definedName>
    <definedName name="uIPDICU" localSheetId="0">'[1]Inputs &amp; Results'!$C$29</definedName>
    <definedName name="uIPDICU" localSheetId="1">'[1]Inputs &amp; Results'!$C$29</definedName>
    <definedName name="uIPDICU">'[2]Inputs &amp; Results'!$C$29</definedName>
    <definedName name="uIPDICU_original">#REF!</definedName>
    <definedName name="WTP">'[3]Run model'!$B$8</definedName>
    <definedName name="YLL" localSheetId="0">'[1]Inputs &amp; Results'!$C$42</definedName>
    <definedName name="YLL" localSheetId="1">'[1]Inputs &amp; Results'!$C$42</definedName>
    <definedName name="YLL">'[2]Inputs &amp; Results'!$C$42</definedName>
    <definedName name="YLL_origin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5" i="14" l="1"/>
  <c r="H51" i="14"/>
  <c r="F37" i="14"/>
  <c r="F36" i="14"/>
  <c r="E37" i="14"/>
  <c r="E36" i="14"/>
  <c r="D37" i="14"/>
  <c r="D36" i="14"/>
  <c r="C37" i="14"/>
  <c r="C36" i="14"/>
  <c r="I25" i="14"/>
  <c r="I24" i="14"/>
  <c r="H57" i="14" s="1"/>
  <c r="H25" i="14"/>
  <c r="H24" i="14"/>
  <c r="H56" i="14" s="1"/>
  <c r="G25" i="14"/>
  <c r="G24" i="14"/>
  <c r="F25" i="14"/>
  <c r="F24" i="14"/>
  <c r="H54" i="14" s="1"/>
  <c r="E25" i="14"/>
  <c r="E24" i="14"/>
  <c r="H53" i="14" s="1"/>
  <c r="D25" i="14"/>
  <c r="D24" i="14"/>
  <c r="H52" i="14" s="1"/>
  <c r="C25" i="14"/>
  <c r="C24" i="14"/>
  <c r="E66" i="11" l="1"/>
  <c r="C33" i="14"/>
  <c r="D33" i="14"/>
  <c r="E33" i="14"/>
  <c r="F33" i="14"/>
  <c r="F41" i="14" s="1"/>
  <c r="G33" i="14"/>
  <c r="G54" i="14"/>
  <c r="D54" i="14" s="1"/>
  <c r="G53" i="14"/>
  <c r="D53" i="14" s="1"/>
  <c r="G52" i="14"/>
  <c r="I52" i="14" s="1"/>
  <c r="F52" i="14" s="1"/>
  <c r="G57" i="14"/>
  <c r="D57" i="14" s="1"/>
  <c r="G56" i="14"/>
  <c r="I56" i="14" s="1"/>
  <c r="F56" i="14" s="1"/>
  <c r="G55" i="14"/>
  <c r="I55" i="14" s="1"/>
  <c r="F55" i="14" s="1"/>
  <c r="G51" i="14"/>
  <c r="D51" i="14" s="1"/>
  <c r="E57" i="11"/>
  <c r="D57" i="11"/>
  <c r="E40" i="14" l="1"/>
  <c r="E43" i="14" s="1"/>
  <c r="E41" i="14"/>
  <c r="D40" i="14"/>
  <c r="D43" i="14" s="1"/>
  <c r="D42" i="14"/>
  <c r="D45" i="14" s="1"/>
  <c r="D41" i="14"/>
  <c r="C41" i="14"/>
  <c r="C40" i="14"/>
  <c r="E42" i="14"/>
  <c r="E45" i="14" s="1"/>
  <c r="F40" i="14"/>
  <c r="F43" i="14" s="1"/>
  <c r="F42" i="14"/>
  <c r="C42" i="14"/>
  <c r="G40" i="14"/>
  <c r="G58" i="14" s="1"/>
  <c r="D58" i="14" s="1"/>
  <c r="D59" i="14" s="1"/>
  <c r="G42" i="14"/>
  <c r="G45" i="14" s="1"/>
  <c r="G41" i="14"/>
  <c r="H58" i="14" s="1"/>
  <c r="H59" i="14" s="1"/>
  <c r="G44" i="14"/>
  <c r="C43" i="14"/>
  <c r="D44" i="14"/>
  <c r="F45" i="14"/>
  <c r="F44" i="14"/>
  <c r="E44" i="14"/>
  <c r="I57" i="14"/>
  <c r="F57" i="14" s="1"/>
  <c r="I54" i="14"/>
  <c r="F54" i="14" s="1"/>
  <c r="E54" i="14"/>
  <c r="I53" i="14"/>
  <c r="F53" i="14" s="1"/>
  <c r="G59" i="14"/>
  <c r="E55" i="14"/>
  <c r="D55" i="14"/>
  <c r="E56" i="14"/>
  <c r="I51" i="14"/>
  <c r="D56" i="14"/>
  <c r="D52" i="14"/>
  <c r="E52" i="14"/>
  <c r="E53" i="14"/>
  <c r="E57" i="14"/>
  <c r="G43" i="14" l="1"/>
  <c r="E46" i="14"/>
  <c r="F46" i="14"/>
  <c r="D46" i="14"/>
  <c r="G46" i="14"/>
  <c r="C45" i="14"/>
  <c r="I58" i="14"/>
  <c r="E58" i="14"/>
  <c r="C44" i="14"/>
  <c r="C54" i="14"/>
  <c r="C57" i="14"/>
  <c r="C53" i="14"/>
  <c r="C52" i="14"/>
  <c r="F51" i="14"/>
  <c r="E51" i="14"/>
  <c r="C55" i="14"/>
  <c r="C56" i="14"/>
  <c r="E59" i="14" l="1"/>
  <c r="F58" i="14"/>
  <c r="F59" i="14" s="1"/>
  <c r="I59" i="14"/>
  <c r="C46" i="14"/>
  <c r="C51" i="14"/>
  <c r="C58" i="14" l="1"/>
  <c r="C59" i="14" s="1"/>
  <c r="J52" i="14" l="1"/>
  <c r="J56" i="14"/>
  <c r="J53" i="14"/>
  <c r="J57" i="14"/>
  <c r="J55" i="14"/>
  <c r="J59" i="14"/>
  <c r="J58" i="14"/>
  <c r="J54" i="14"/>
  <c r="J51" i="14"/>
  <c r="H40" i="11" l="1"/>
  <c r="I40" i="11"/>
  <c r="G40" i="11"/>
  <c r="F40" i="11"/>
  <c r="H24" i="11"/>
  <c r="I24" i="11"/>
  <c r="G24" i="11"/>
  <c r="F24" i="11"/>
  <c r="E12" i="11"/>
  <c r="L9" i="5" l="1"/>
  <c r="L7" i="5" l="1"/>
  <c r="L6" i="5"/>
  <c r="L5" i="5"/>
  <c r="L4" i="5"/>
  <c r="L8" i="5" l="1"/>
  <c r="L10" i="5" l="1"/>
</calcChain>
</file>

<file path=xl/sharedStrings.xml><?xml version="1.0" encoding="utf-8"?>
<sst xmlns="http://schemas.openxmlformats.org/spreadsheetml/2006/main" count="321" uniqueCount="132">
  <si>
    <t>Stab</t>
  </si>
  <si>
    <r>
      <t xml:space="preserve">Cost per </t>
    </r>
    <r>
      <rPr>
        <b/>
        <sz val="12"/>
        <color theme="1"/>
        <rFont val="Calibri (Body)"/>
      </rPr>
      <t>inpatient day</t>
    </r>
  </si>
  <si>
    <r>
      <t xml:space="preserve"> Exp per inpatient day </t>
    </r>
    <r>
      <rPr>
        <b/>
        <sz val="11"/>
        <color theme="1"/>
        <rFont val="Calibri"/>
        <family val="2"/>
        <scheme val="minor"/>
      </rPr>
      <t>(2020)</t>
    </r>
    <r>
      <rPr>
        <sz val="12"/>
        <color theme="1"/>
        <rFont val="Calibri"/>
        <family val="2"/>
        <scheme val="minor"/>
      </rPr>
      <t xml:space="preserve"> / Source Health Systems Trust (2016/17 prices inflated to 2020)</t>
    </r>
  </si>
  <si>
    <t>Hospital Level</t>
  </si>
  <si>
    <t>EC</t>
  </si>
  <si>
    <t>FS</t>
  </si>
  <si>
    <t>GT</t>
  </si>
  <si>
    <t>KZ</t>
  </si>
  <si>
    <t>LP</t>
  </si>
  <si>
    <t>MP</t>
  </si>
  <si>
    <t>NC</t>
  </si>
  <si>
    <t>NW</t>
  </si>
  <si>
    <t>WC</t>
  </si>
  <si>
    <t>Usable beds</t>
  </si>
  <si>
    <t>National</t>
  </si>
  <si>
    <t>Central Hospitals</t>
  </si>
  <si>
    <t>Regional Hospitals</t>
  </si>
  <si>
    <t>Tertiary Hospitals</t>
  </si>
  <si>
    <t>District Hospitals</t>
  </si>
  <si>
    <t>Weighted average (based on usable beds at level of care)</t>
  </si>
  <si>
    <t>Cost per ICU day (based on differential between ICU cost and global cost in private sector)</t>
  </si>
  <si>
    <t>Burns</t>
  </si>
  <si>
    <t>Road traffic collisions</t>
  </si>
  <si>
    <t>Blunt Force Trauma</t>
  </si>
  <si>
    <t>MOSAIC is a health economic modelling collective established to provide rapid policy guidance and public engagement for the South African Covid-19 response. Members are drawn from the Health Economics Unit, School of Public Health and Family Medicine and Alan J Flisher Centre for Public Mental Health at the University of Cape Town, with the Health Systems Research Unit at the Medical Research Council. In alphabetical order, MOSAIC includes Donela Besada MPH; Susan Cleary PhD; Emmanuelle Daviaud MSc; Sumaiyah Docrat MPH; Darshini Govindasamy PhD; Geetesh Solanki DrPH; Cynthia Tamandjou PhD; and Tommy Wilkinson MSc</t>
  </si>
  <si>
    <t>Reference for this model:</t>
  </si>
  <si>
    <t>MOSAIC, 2020 "A model to assess the economic burden of alcohol-related injuries in South Africa", Health Economics Unit, Alan J Flisher Centre for Public Mental Health (UCT) and Health Systems Research Unit (SAMRC), Cape Town.</t>
  </si>
  <si>
    <t>OVERVIEW</t>
  </si>
  <si>
    <t>3. The remaining worksheets in this model provide model workings and background information</t>
  </si>
  <si>
    <t>4. The function of each worksheet is described below</t>
  </si>
  <si>
    <t>Worksheet name</t>
  </si>
  <si>
    <t>Function</t>
  </si>
  <si>
    <t>Colour-coding</t>
  </si>
  <si>
    <t>Inputs &amp; Results</t>
  </si>
  <si>
    <t>Green</t>
  </si>
  <si>
    <t>Blue</t>
  </si>
  <si>
    <t>Public hospital costs</t>
  </si>
  <si>
    <t>Inpatient deaths &amp; utlisation</t>
  </si>
  <si>
    <t>1. This excel based costing model is provided to allow for full transparency to the end user</t>
  </si>
  <si>
    <t>Summarizes meta-analysis of inpatient and outpatient inputs</t>
  </si>
  <si>
    <t>Data Source</t>
  </si>
  <si>
    <t>Mnguni et al., 2012</t>
  </si>
  <si>
    <t>Lewis et al., 2015</t>
  </si>
  <si>
    <t>KwaZulu-Natal, South Africa</t>
  </si>
  <si>
    <t>Sample Size</t>
  </si>
  <si>
    <t>% Admitted</t>
  </si>
  <si>
    <t>% Outpatient</t>
  </si>
  <si>
    <t>% Admitted to General Ward</t>
  </si>
  <si>
    <t>% Admitted to ICU</t>
  </si>
  <si>
    <t>Length of Stay (General Ward)</t>
  </si>
  <si>
    <t>Length of Stay (ICU)</t>
  </si>
  <si>
    <t>LOS Average Reported: Mean or Median</t>
  </si>
  <si>
    <t>Mean</t>
  </si>
  <si>
    <t>NA</t>
  </si>
  <si>
    <t>Base Value</t>
  </si>
  <si>
    <t>Boissin et al., 2019</t>
  </si>
  <si>
    <t>Blom et al., 2016</t>
  </si>
  <si>
    <t>Western Cape, South Africa</t>
  </si>
  <si>
    <t>Western Cape, South Afruca</t>
  </si>
  <si>
    <t>Median</t>
  </si>
  <si>
    <t>Stabs</t>
  </si>
  <si>
    <t>Mitton et al., 2016</t>
  </si>
  <si>
    <t>Moodley, 2016</t>
  </si>
  <si>
    <t>Gatuteng, South Africa</t>
  </si>
  <si>
    <t>South Africa</t>
  </si>
  <si>
    <t>Summarizes public hospital unit costs</t>
  </si>
  <si>
    <t>Matiwane et al., 2018</t>
  </si>
  <si>
    <t>Mpumalanga, South Africa</t>
  </si>
  <si>
    <t>Parkinson et al., 2013</t>
  </si>
  <si>
    <t>% Outpatient/DOA</t>
  </si>
  <si>
    <t>Gunshot</t>
  </si>
  <si>
    <t>Norberg et al., 2009</t>
  </si>
  <si>
    <t>City, Country</t>
  </si>
  <si>
    <t>Poisoning/Self Harm</t>
  </si>
  <si>
    <t>Balme et al., 2012</t>
  </si>
  <si>
    <t>Bruins et al., 2019</t>
  </si>
  <si>
    <t>Rowe K., 2016</t>
  </si>
  <si>
    <t>Eastern Cape, South Africa</t>
  </si>
  <si>
    <t>Gauteng, South Africa</t>
  </si>
  <si>
    <t>INSTRUCTIONS</t>
  </si>
  <si>
    <t>STRATEGIES</t>
  </si>
  <si>
    <r>
      <rPr>
        <b/>
        <sz val="11"/>
        <rFont val="Calibri"/>
        <family val="2"/>
      </rPr>
      <t>MODEL RESULTS</t>
    </r>
  </si>
  <si>
    <r>
      <rPr>
        <b/>
        <sz val="11"/>
        <rFont val="Calibri"/>
        <family val="2"/>
      </rPr>
      <t>INPUTS</t>
    </r>
  </si>
  <si>
    <r>
      <rPr>
        <b/>
        <sz val="11"/>
        <rFont val="Calibri"/>
        <family val="2"/>
      </rPr>
      <t>Description</t>
    </r>
  </si>
  <si>
    <t>Unit costs</t>
  </si>
  <si>
    <t>Cost per inpatient day public</t>
  </si>
  <si>
    <t>Average weighted expenditure per patient day equivalent</t>
  </si>
  <si>
    <t>Cost per ICU day public</t>
  </si>
  <si>
    <t>1. Cost results are summarized in 'MODEL RESULTS'</t>
  </si>
  <si>
    <t>This model assesses the potential  economic burden of alcohol-related injuries in South Africa</t>
  </si>
  <si>
    <t>Injury</t>
  </si>
  <si>
    <t>Blunt force trauma</t>
  </si>
  <si>
    <t>Road Traffic Collisions</t>
  </si>
  <si>
    <t>Cost per outpatient visit</t>
  </si>
  <si>
    <t>Falls</t>
  </si>
  <si>
    <t>Total Cost</t>
  </si>
  <si>
    <t>Number of Outpatient Vists</t>
  </si>
  <si>
    <t>Number of Inpatient (General Ward) days</t>
  </si>
  <si>
    <t>Number of Inpatient (ICU) days</t>
  </si>
  <si>
    <t>Number of Alcohol-related Events</t>
  </si>
  <si>
    <t>Kalula et al., 2006</t>
  </si>
  <si>
    <t xml:space="preserve">*Missing data for falls derived from blunt force trauma data </t>
  </si>
  <si>
    <t>Total Cost (Outpatient)</t>
  </si>
  <si>
    <t>Total Cost Inpatient (General Ward)</t>
  </si>
  <si>
    <t>Total Cost (ICU)</t>
  </si>
  <si>
    <t>Editable Values</t>
  </si>
  <si>
    <t>TOTAL</t>
  </si>
  <si>
    <t>2. Inpatient inputs can be modified by the end user by changing the relevant variable(s) or input(s) in "Inputs &amp; Results"</t>
  </si>
  <si>
    <t>Weighted average Cost per OPD (based on 1/3 weighted inpatient cost per day)</t>
  </si>
  <si>
    <t>Gender Based Violence</t>
  </si>
  <si>
    <t>% GBV</t>
  </si>
  <si>
    <t>Amashnee et al.2016</t>
  </si>
  <si>
    <t>Gender-based and Sexual Violence</t>
  </si>
  <si>
    <t>Unknown</t>
  </si>
  <si>
    <t>Number of Alcohol-related Gender-based and Sexual Violence events by type</t>
  </si>
  <si>
    <t>Abrahams et al. 2010</t>
  </si>
  <si>
    <t>South Afica</t>
  </si>
  <si>
    <t>Blom et al. 2016</t>
  </si>
  <si>
    <t>Provides model results and an interface for user driven sensitivity analysis</t>
  </si>
  <si>
    <t>Average weighted expenditure per outpatient department visit</t>
  </si>
  <si>
    <t>% Event type due to GBV and Sexual Violence</t>
  </si>
  <si>
    <t>Number of Alcohol-related Gender-based and Sexual Violence events</t>
  </si>
  <si>
    <t>% Total Cost of Injury, by event type</t>
  </si>
  <si>
    <t>2. Using the first'INPUTS' table, start by typing in the number of alcohol-related events in the yellow-highlighted "Editable Value(s)" (C21-I21).</t>
  </si>
  <si>
    <t>3. Using the second 'INPUTS' table (below),  type in the number of Gender-based and Sexual Violence alcohol-related events in the yellow-highlighted "Editable Value(s)" C30).</t>
  </si>
  <si>
    <t>Average weighted expenditure per patient day equivalent inflated using ICU/IPD price differential in private sector</t>
  </si>
  <si>
    <t>Edit yellow cells</t>
  </si>
  <si>
    <t xml:space="preserve">NB: Whilst GBV inputs  are derived by apportioning GBV event types (based on the literature) to the total number of GBV events (C32 - G32) and inputs are  captured separately;  'MODEL RESULTS' show cost results for all alcohol-related injuries together </t>
  </si>
  <si>
    <t>% Outpatient/Dead on arrival (DOA)</t>
  </si>
  <si>
    <t>4. As you change inputs, see whether and how these changes impact on 'MODEL RESULTS' (C49)</t>
  </si>
  <si>
    <t xml:space="preserve">In addition to provider costs for each injury, the model calculates number of outpatient visits,  general ward inpatient days and ICU days needed per event.  </t>
  </si>
  <si>
    <t xml:space="preserve">NB: Using a PDE costing approach, the costs included in this model reflect  total costs-including capital infrastructure, human resources and consumables. These assumptions may not reflect the reality for hospitals who may be prevented from undertaking large volumes of new cases due to a lack of available space or equipment, or for hospitals who require additional investment in administrative expenses to manage the growth in clinical programs. Assuming available bed capacity- that hospitals have excess staff time available from nurses and other professionals to dedicate to an additional procedure without increasing labor costs, the marginal labor costs are zero and include only expenses for patient-specific supplies and drugs. We estimate from Mohamed et al. 2019, that patient-specific supplies and drugs( clinical support, consumables and pharmaceuticals)  take up approximately 24-27% % of total cost. Therefore, because overheads and human resources are included, it can be assumed that 24-27% of the total cost will be saved, assuming marginal capacity in our hospitals.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</si>
</sst>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0.00_);_(&quot;R&quot;* \(#,##0.00\);_(&quot;R&quot;* &quot;-&quot;??_);_(@_)"/>
    <numFmt numFmtId="43" formatCode="_(* #,##0.00_);_(* \(#,##0.00\);_(* &quot;-&quot;??_);_(@_)"/>
    <numFmt numFmtId="164" formatCode="0.0%"/>
    <numFmt numFmtId="165" formatCode="0.000"/>
  </numFmts>
  <fonts count="17">
    <font>
      <sz val="12"/>
      <color theme="1"/>
      <name val="Calibri"/>
      <family val="2"/>
      <scheme val="minor"/>
    </font>
    <font>
      <b/>
      <sz val="12"/>
      <color theme="1"/>
      <name val="Calibri"/>
      <family val="2"/>
      <scheme val="minor"/>
    </font>
    <font>
      <sz val="11"/>
      <color theme="1"/>
      <name val="Calibri"/>
      <family val="2"/>
      <scheme val="minor"/>
    </font>
    <font>
      <u/>
      <sz val="11"/>
      <color theme="10"/>
      <name val="Calibri"/>
      <family val="2"/>
      <scheme val="minor"/>
    </font>
    <font>
      <sz val="11"/>
      <color theme="1"/>
      <name val="Calibri"/>
      <family val="2"/>
      <charset val="204"/>
      <scheme val="minor"/>
    </font>
    <font>
      <b/>
      <sz val="11"/>
      <color theme="1"/>
      <name val="Calibri"/>
      <family val="2"/>
      <scheme val="minor"/>
    </font>
    <font>
      <b/>
      <sz val="12"/>
      <color theme="1"/>
      <name val="Calibri (Body)"/>
    </font>
    <font>
      <sz val="12"/>
      <color theme="1"/>
      <name val="Calibri"/>
      <family val="2"/>
      <scheme val="minor"/>
    </font>
    <font>
      <sz val="11"/>
      <color theme="0"/>
      <name val="Calibri"/>
      <family val="2"/>
      <charset val="204"/>
      <scheme val="minor"/>
    </font>
    <font>
      <b/>
      <u/>
      <sz val="12"/>
      <color theme="1"/>
      <name val="Calibri"/>
      <family val="2"/>
      <scheme val="minor"/>
    </font>
    <font>
      <sz val="11"/>
      <color rgb="FF000000"/>
      <name val="Calibri"/>
      <family val="2"/>
    </font>
    <font>
      <b/>
      <sz val="11"/>
      <name val="Calibri"/>
      <family val="2"/>
    </font>
    <font>
      <sz val="11"/>
      <name val="Calibri"/>
      <family val="2"/>
    </font>
    <font>
      <b/>
      <sz val="12"/>
      <color rgb="FF000000"/>
      <name val="Calibri"/>
      <family val="2"/>
    </font>
    <font>
      <sz val="11"/>
      <color rgb="FFFF0000"/>
      <name val="Calibri"/>
      <family val="2"/>
      <charset val="204"/>
      <scheme val="minor"/>
    </font>
    <font>
      <b/>
      <sz val="11"/>
      <color rgb="FF000000"/>
      <name val="Calibri"/>
      <family val="2"/>
    </font>
    <font>
      <sz val="12"/>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70C0"/>
        <bgColor indexed="64"/>
      </patternFill>
    </fill>
    <fill>
      <patternFill patternType="solid">
        <fgColor theme="9" tint="0.39997558519241921"/>
        <bgColor indexed="64"/>
      </patternFill>
    </fill>
  </fills>
  <borders count="3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auto="1"/>
      </left>
      <right/>
      <top/>
      <bottom/>
      <diagonal/>
    </border>
    <border>
      <left style="thin">
        <color indexed="64"/>
      </left>
      <right style="medium">
        <color indexed="64"/>
      </right>
      <top style="thin">
        <color indexed="64"/>
      </top>
      <bottom style="thin">
        <color indexed="64"/>
      </bottom>
      <diagonal/>
    </border>
    <border>
      <left style="medium">
        <color auto="1"/>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double">
        <color indexed="8"/>
      </top>
      <bottom/>
      <diagonal/>
    </border>
    <border>
      <left style="medium">
        <color indexed="64"/>
      </left>
      <right style="medium">
        <color indexed="64"/>
      </right>
      <top style="medium">
        <color theme="9" tint="-0.249977111117893"/>
      </top>
      <bottom style="double">
        <color indexed="64"/>
      </bottom>
      <diagonal/>
    </border>
    <border>
      <left style="medium">
        <color indexed="64"/>
      </left>
      <right style="medium">
        <color theme="9" tint="-0.249977111117893"/>
      </right>
      <top style="medium">
        <color theme="9" tint="-0.249977111117893"/>
      </top>
      <bottom style="double">
        <color indexed="64"/>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right style="medium">
        <color indexed="64"/>
      </right>
      <top style="medium">
        <color theme="9" tint="-0.249977111117893"/>
      </top>
      <bottom style="double">
        <color indexed="64"/>
      </bottom>
      <diagonal/>
    </border>
    <border>
      <left style="medium">
        <color theme="9" tint="-0.249977111117893"/>
      </left>
      <right style="medium">
        <color theme="9" tint="-0.249977111117893"/>
      </right>
      <top style="medium">
        <color theme="9" tint="-0.249977111117893"/>
      </top>
      <bottom style="double">
        <color indexed="64"/>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top style="medium">
        <color theme="9" tint="-0.249977111117893"/>
      </top>
      <bottom style="double">
        <color indexed="64"/>
      </bottom>
      <diagonal/>
    </border>
    <border>
      <left/>
      <right/>
      <top style="medium">
        <color theme="9" tint="-0.249977111117893"/>
      </top>
      <bottom style="double">
        <color indexed="64"/>
      </bottom>
      <diagonal/>
    </border>
    <border>
      <left/>
      <right style="medium">
        <color theme="9" tint="-0.249977111117893"/>
      </right>
      <top style="medium">
        <color theme="9" tint="-0.249977111117893"/>
      </top>
      <bottom style="double">
        <color indexed="64"/>
      </bottom>
      <diagonal/>
    </border>
    <border>
      <left/>
      <right style="thick">
        <color theme="9"/>
      </right>
      <top/>
      <bottom/>
      <diagonal/>
    </border>
    <border>
      <left/>
      <right style="thick">
        <color theme="9"/>
      </right>
      <top/>
      <bottom style="medium">
        <color theme="9" tint="-0.249977111117893"/>
      </bottom>
      <diagonal/>
    </border>
    <border>
      <left/>
      <right style="thick">
        <color theme="9"/>
      </right>
      <top/>
      <bottom style="thick">
        <color theme="9"/>
      </bottom>
      <diagonal/>
    </border>
    <border>
      <left/>
      <right/>
      <top/>
      <bottom style="thick">
        <color theme="9"/>
      </bottom>
      <diagonal/>
    </border>
    <border>
      <left style="medium">
        <color indexed="64"/>
      </left>
      <right style="thick">
        <color theme="9"/>
      </right>
      <top style="medium">
        <color theme="9" tint="-0.249977111117893"/>
      </top>
      <bottom style="double">
        <color indexed="64"/>
      </bottom>
      <diagonal/>
    </border>
  </borders>
  <cellStyleXfs count="9">
    <xf numFmtId="0" fontId="0" fillId="0" borderId="0"/>
    <xf numFmtId="0" fontId="2" fillId="0" borderId="0"/>
    <xf numFmtId="9" fontId="2" fillId="0" borderId="0" applyFon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4"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95">
    <xf numFmtId="0" fontId="0" fillId="0" borderId="0" xfId="0"/>
    <xf numFmtId="0" fontId="0" fillId="0" borderId="0" xfId="0" applyAlignment="1">
      <alignment wrapText="1"/>
    </xf>
    <xf numFmtId="0" fontId="1" fillId="0" borderId="0" xfId="0" applyFont="1"/>
    <xf numFmtId="43" fontId="5" fillId="0" borderId="0" xfId="4" applyFont="1"/>
    <xf numFmtId="43" fontId="0" fillId="0" borderId="0" xfId="4" applyFont="1"/>
    <xf numFmtId="43" fontId="0" fillId="0" borderId="0" xfId="4" applyFont="1" applyFill="1"/>
    <xf numFmtId="43" fontId="0" fillId="0" borderId="1" xfId="4" applyFont="1" applyFill="1" applyBorder="1"/>
    <xf numFmtId="43" fontId="5" fillId="2" borderId="1" xfId="4" applyFont="1" applyFill="1" applyBorder="1"/>
    <xf numFmtId="43" fontId="0" fillId="2" borderId="1" xfId="4" applyFont="1" applyFill="1" applyBorder="1"/>
    <xf numFmtId="0" fontId="4" fillId="0" borderId="0" xfId="5"/>
    <xf numFmtId="43" fontId="5" fillId="3" borderId="1" xfId="4" applyFont="1" applyFill="1" applyBorder="1"/>
    <xf numFmtId="43" fontId="4" fillId="3" borderId="0" xfId="5" applyNumberFormat="1" applyFill="1"/>
    <xf numFmtId="164" fontId="4" fillId="0" borderId="0" xfId="6" applyNumberFormat="1" applyFont="1"/>
    <xf numFmtId="43" fontId="0" fillId="3" borderId="0" xfId="0" applyNumberFormat="1" applyFill="1"/>
    <xf numFmtId="0" fontId="4" fillId="4" borderId="0" xfId="5" applyFill="1"/>
    <xf numFmtId="0" fontId="5" fillId="4" borderId="0" xfId="5" applyFont="1" applyFill="1"/>
    <xf numFmtId="0" fontId="5" fillId="0" borderId="0" xfId="5" applyFont="1"/>
    <xf numFmtId="0" fontId="4" fillId="0" borderId="0" xfId="5" applyAlignment="1">
      <alignment horizontal="left"/>
    </xf>
    <xf numFmtId="0" fontId="5" fillId="0" borderId="2" xfId="5" applyFont="1" applyBorder="1"/>
    <xf numFmtId="0" fontId="5" fillId="0" borderId="3" xfId="5" applyFont="1" applyBorder="1"/>
    <xf numFmtId="0" fontId="5" fillId="0" borderId="4" xfId="5" applyFont="1" applyBorder="1"/>
    <xf numFmtId="0" fontId="4" fillId="0" borderId="5" xfId="5" applyBorder="1"/>
    <xf numFmtId="0" fontId="4" fillId="5" borderId="6" xfId="5" applyFill="1" applyBorder="1"/>
    <xf numFmtId="0" fontId="8" fillId="6" borderId="6" xfId="5" applyFont="1" applyFill="1" applyBorder="1"/>
    <xf numFmtId="0" fontId="4" fillId="0" borderId="7" xfId="5" applyBorder="1"/>
    <xf numFmtId="0" fontId="4" fillId="0" borderId="8" xfId="5" applyBorder="1"/>
    <xf numFmtId="0" fontId="8" fillId="6" borderId="9" xfId="5" applyFont="1" applyFill="1" applyBorder="1"/>
    <xf numFmtId="0" fontId="9" fillId="0" borderId="0" xfId="0" applyFont="1"/>
    <xf numFmtId="0" fontId="0" fillId="0" borderId="11" xfId="0" applyBorder="1"/>
    <xf numFmtId="0" fontId="0" fillId="0" borderId="12" xfId="0" applyBorder="1"/>
    <xf numFmtId="2" fontId="0" fillId="0" borderId="11" xfId="0" applyNumberFormat="1" applyBorder="1"/>
    <xf numFmtId="0" fontId="11" fillId="0" borderId="15" xfId="5" applyFont="1" applyBorder="1" applyAlignment="1">
      <alignment horizontal="center" vertical="center" wrapText="1"/>
    </xf>
    <xf numFmtId="0" fontId="12" fillId="0" borderId="13" xfId="5" applyFont="1" applyBorder="1" applyAlignment="1">
      <alignment horizontal="left" vertical="center" wrapText="1"/>
    </xf>
    <xf numFmtId="2" fontId="0" fillId="7" borderId="0" xfId="0" applyNumberFormat="1" applyFill="1"/>
    <xf numFmtId="165" fontId="0" fillId="0" borderId="11" xfId="0" applyNumberFormat="1" applyBorder="1"/>
    <xf numFmtId="0" fontId="4" fillId="0" borderId="0" xfId="5" applyFill="1"/>
    <xf numFmtId="0" fontId="14" fillId="0" borderId="0" xfId="5" applyFont="1" applyFill="1" applyAlignment="1">
      <alignment wrapText="1"/>
    </xf>
    <xf numFmtId="44" fontId="4" fillId="0" borderId="16" xfId="7" applyFont="1" applyBorder="1"/>
    <xf numFmtId="44" fontId="12" fillId="0" borderId="13" xfId="7" applyFont="1" applyBorder="1" applyAlignment="1">
      <alignment horizontal="right" vertical="center" wrapText="1"/>
    </xf>
    <xf numFmtId="0" fontId="10" fillId="0" borderId="17" xfId="5" applyFont="1" applyBorder="1" applyAlignment="1">
      <alignment horizontal="center"/>
    </xf>
    <xf numFmtId="0" fontId="10" fillId="0" borderId="18" xfId="5" applyFont="1" applyBorder="1" applyAlignment="1">
      <alignment horizontal="center"/>
    </xf>
    <xf numFmtId="0" fontId="0" fillId="7" borderId="0" xfId="0" applyFill="1" applyBorder="1"/>
    <xf numFmtId="0" fontId="0" fillId="7" borderId="19" xfId="0" applyFill="1" applyBorder="1"/>
    <xf numFmtId="0" fontId="0" fillId="7" borderId="21" xfId="0" applyFill="1" applyBorder="1"/>
    <xf numFmtId="0" fontId="0" fillId="7" borderId="22" xfId="0" applyFill="1" applyBorder="1"/>
    <xf numFmtId="0" fontId="10" fillId="0" borderId="23" xfId="5" applyFont="1" applyBorder="1" applyAlignment="1">
      <alignment horizontal="center"/>
    </xf>
    <xf numFmtId="0" fontId="10" fillId="0" borderId="24" xfId="5" applyFont="1" applyBorder="1" applyAlignment="1">
      <alignment horizontal="center"/>
    </xf>
    <xf numFmtId="0" fontId="11" fillId="0" borderId="25" xfId="5" applyFont="1" applyBorder="1"/>
    <xf numFmtId="0" fontId="10" fillId="0" borderId="25" xfId="5" applyFont="1" applyBorder="1"/>
    <xf numFmtId="0" fontId="10" fillId="0" borderId="26" xfId="5" applyFont="1" applyBorder="1"/>
    <xf numFmtId="0" fontId="11" fillId="0" borderId="14" xfId="5" applyFont="1" applyBorder="1" applyAlignment="1">
      <alignment horizontal="left" vertical="center" wrapText="1"/>
    </xf>
    <xf numFmtId="44" fontId="11" fillId="0" borderId="14" xfId="5" applyNumberFormat="1" applyFont="1" applyBorder="1" applyAlignment="1">
      <alignment horizontal="center" vertical="center" wrapText="1"/>
    </xf>
    <xf numFmtId="0" fontId="0" fillId="0" borderId="0" xfId="0" applyFont="1" applyFill="1" applyBorder="1"/>
    <xf numFmtId="0" fontId="0" fillId="0" borderId="0" xfId="0" applyBorder="1"/>
    <xf numFmtId="0" fontId="0" fillId="0" borderId="19" xfId="0" applyBorder="1"/>
    <xf numFmtId="0" fontId="0" fillId="0" borderId="19" xfId="0" applyFont="1" applyFill="1" applyBorder="1"/>
    <xf numFmtId="44" fontId="0" fillId="0" borderId="0" xfId="7" applyFont="1" applyFill="1" applyBorder="1"/>
    <xf numFmtId="44" fontId="0" fillId="0" borderId="0" xfId="7" applyFont="1" applyBorder="1"/>
    <xf numFmtId="0" fontId="0" fillId="0" borderId="20" xfId="0" applyBorder="1"/>
    <xf numFmtId="0" fontId="0" fillId="0" borderId="21" xfId="0" applyBorder="1"/>
    <xf numFmtId="9" fontId="4" fillId="0" borderId="16" xfId="6" applyFont="1" applyBorder="1"/>
    <xf numFmtId="9" fontId="12" fillId="0" borderId="13" xfId="6" applyFont="1" applyBorder="1" applyAlignment="1">
      <alignment horizontal="right" vertical="center" wrapText="1"/>
    </xf>
    <xf numFmtId="9" fontId="11" fillId="0" borderId="14" xfId="6" applyFont="1" applyBorder="1" applyAlignment="1">
      <alignment horizontal="right" vertical="center" wrapText="1"/>
    </xf>
    <xf numFmtId="43" fontId="4" fillId="0" borderId="16" xfId="8" applyFont="1" applyBorder="1"/>
    <xf numFmtId="43" fontId="12" fillId="0" borderId="13" xfId="8" applyFont="1" applyBorder="1" applyAlignment="1">
      <alignment horizontal="right" vertical="center" wrapText="1"/>
    </xf>
    <xf numFmtId="43" fontId="11" fillId="0" borderId="14" xfId="8" applyFont="1" applyBorder="1" applyAlignment="1">
      <alignment horizontal="right" vertical="center" wrapText="1"/>
    </xf>
    <xf numFmtId="2" fontId="0" fillId="0" borderId="0" xfId="0" applyNumberFormat="1" applyFill="1" applyBorder="1"/>
    <xf numFmtId="0" fontId="12" fillId="0" borderId="25" xfId="5" applyFont="1" applyBorder="1"/>
    <xf numFmtId="0" fontId="15" fillId="0" borderId="24" xfId="5" applyFont="1" applyBorder="1" applyAlignment="1">
      <alignment horizontal="center" vertical="center"/>
    </xf>
    <xf numFmtId="0" fontId="4" fillId="0" borderId="0" xfId="5" applyAlignment="1">
      <alignment horizontal="left" indent="2"/>
    </xf>
    <xf numFmtId="0" fontId="16" fillId="0" borderId="0" xfId="0" applyFont="1"/>
    <xf numFmtId="0" fontId="13" fillId="3" borderId="25" xfId="5" applyFont="1" applyFill="1" applyBorder="1" applyAlignment="1">
      <alignment vertical="center"/>
    </xf>
    <xf numFmtId="0" fontId="0" fillId="3" borderId="0" xfId="0" applyFont="1" applyFill="1" applyBorder="1" applyProtection="1">
      <protection locked="0"/>
    </xf>
    <xf numFmtId="0" fontId="0" fillId="3" borderId="0" xfId="0" applyFill="1" applyBorder="1" applyProtection="1">
      <protection locked="0"/>
    </xf>
    <xf numFmtId="0" fontId="10" fillId="0" borderId="25" xfId="5" applyFont="1" applyBorder="1" applyAlignment="1"/>
    <xf numFmtId="2" fontId="0" fillId="7" borderId="0" xfId="0" applyNumberFormat="1" applyFill="1" applyBorder="1"/>
    <xf numFmtId="2" fontId="0" fillId="7" borderId="19" xfId="0" applyNumberFormat="1" applyFill="1" applyBorder="1"/>
    <xf numFmtId="0" fontId="0" fillId="0" borderId="30" xfId="0" applyFont="1" applyFill="1" applyBorder="1"/>
    <xf numFmtId="0" fontId="0" fillId="7" borderId="30" xfId="0" applyFill="1" applyBorder="1"/>
    <xf numFmtId="2" fontId="0" fillId="7" borderId="30" xfId="0" applyNumberFormat="1" applyFill="1" applyBorder="1"/>
    <xf numFmtId="0" fontId="0" fillId="7" borderId="31" xfId="0" applyFill="1" applyBorder="1"/>
    <xf numFmtId="44" fontId="0" fillId="0" borderId="30" xfId="7" applyFont="1" applyFill="1" applyBorder="1"/>
    <xf numFmtId="0" fontId="0" fillId="0" borderId="30" xfId="0" applyFill="1" applyBorder="1"/>
    <xf numFmtId="0" fontId="0" fillId="0" borderId="33" xfId="0" applyBorder="1"/>
    <xf numFmtId="44" fontId="0" fillId="0" borderId="32" xfId="7" applyFont="1" applyFill="1" applyBorder="1"/>
    <xf numFmtId="0" fontId="10" fillId="0" borderId="34" xfId="5" applyFont="1" applyBorder="1" applyAlignment="1">
      <alignment horizontal="center"/>
    </xf>
    <xf numFmtId="0" fontId="0" fillId="3" borderId="30" xfId="0" applyFont="1" applyFill="1" applyBorder="1" applyProtection="1">
      <protection locked="0"/>
    </xf>
    <xf numFmtId="0" fontId="7" fillId="4" borderId="0" xfId="5" applyFont="1" applyFill="1" applyAlignment="1">
      <alignment horizontal="center" vertical="center" wrapText="1"/>
    </xf>
    <xf numFmtId="0" fontId="4" fillId="4" borderId="0" xfId="5" applyFill="1" applyAlignment="1">
      <alignment horizontal="left" wrapText="1"/>
    </xf>
    <xf numFmtId="0" fontId="10" fillId="0" borderId="27" xfId="5" applyFont="1" applyBorder="1" applyAlignment="1">
      <alignment horizontal="center"/>
    </xf>
    <xf numFmtId="0" fontId="10" fillId="0" borderId="28" xfId="5" applyFont="1" applyBorder="1" applyAlignment="1">
      <alignment horizontal="center"/>
    </xf>
    <xf numFmtId="0" fontId="10" fillId="0" borderId="29" xfId="5" applyFont="1" applyBorder="1" applyAlignment="1">
      <alignment horizontal="center"/>
    </xf>
    <xf numFmtId="0" fontId="0" fillId="0" borderId="0" xfId="0" applyAlignment="1">
      <alignment horizontal="left" vertical="top" wrapText="1"/>
    </xf>
    <xf numFmtId="0" fontId="1" fillId="0" borderId="10" xfId="0" applyFont="1" applyBorder="1" applyAlignment="1">
      <alignment horizontal="right"/>
    </xf>
    <xf numFmtId="0" fontId="1" fillId="0" borderId="11" xfId="0" applyFont="1" applyBorder="1" applyAlignment="1">
      <alignment horizontal="right"/>
    </xf>
  </cellXfs>
  <cellStyles count="9">
    <cellStyle name="Comma" xfId="8" builtinId="3"/>
    <cellStyle name="Comma 2" xfId="4" xr:uid="{E1A29E15-B69C-9D42-859A-A40CE4F4A778}"/>
    <cellStyle name="Currency" xfId="7" builtinId="4"/>
    <cellStyle name="Hyperlink 2" xfId="3" xr:uid="{A4F7675C-5CB8-8940-A90A-4743FA6438D1}"/>
    <cellStyle name="Normal" xfId="0" builtinId="0"/>
    <cellStyle name="Normal 2" xfId="1" xr:uid="{151635B6-5E7C-F646-A57E-08567034BC83}"/>
    <cellStyle name="Normal 3" xfId="5" xr:uid="{D83D194B-69E2-A146-9CAE-E0D5FBE96862}"/>
    <cellStyle name="Per cent" xfId="6" builtinId="5"/>
    <cellStyle name="Per cent 2" xfId="2" xr:uid="{E2DC729D-589A-4F42-8A33-09FF544B6D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 Id="rId5" Type="http://schemas.openxmlformats.org/officeDocument/2006/relationships/image" Target="../media/image5.emf"/><Relationship Id="rId4"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twoCellAnchor>
    <xdr:from>
      <xdr:col>1</xdr:col>
      <xdr:colOff>50799</xdr:colOff>
      <xdr:row>0</xdr:row>
      <xdr:rowOff>0</xdr:rowOff>
    </xdr:from>
    <xdr:to>
      <xdr:col>11</xdr:col>
      <xdr:colOff>38100</xdr:colOff>
      <xdr:row>15</xdr:row>
      <xdr:rowOff>0</xdr:rowOff>
    </xdr:to>
    <xdr:pic>
      <xdr:nvPicPr>
        <xdr:cNvPr id="2" name="Picture 2" descr="A picture containing drawing&#10;&#10;Description automatically generated">
          <a:extLst>
            <a:ext uri="{FF2B5EF4-FFF2-40B4-BE49-F238E27FC236}">
              <a16:creationId xmlns:a16="http://schemas.microsoft.com/office/drawing/2014/main" id="{01E9EC31-AA8E-2C4C-8838-5C829218C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9" y="0"/>
          <a:ext cx="8750301"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101600</xdr:colOff>
      <xdr:row>20</xdr:row>
      <xdr:rowOff>25400</xdr:rowOff>
    </xdr:from>
    <xdr:to>
      <xdr:col>2</xdr:col>
      <xdr:colOff>428625</xdr:colOff>
      <xdr:row>23</xdr:row>
      <xdr:rowOff>147637</xdr:rowOff>
    </xdr:to>
    <xdr:pic>
      <xdr:nvPicPr>
        <xdr:cNvPr id="3" name="Picture 2">
          <a:extLst>
            <a:ext uri="{FF2B5EF4-FFF2-40B4-BE49-F238E27FC236}">
              <a16:creationId xmlns:a16="http://schemas.microsoft.com/office/drawing/2014/main" id="{693B2F18-F5A6-D24D-A8F0-864CF7DD9C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900" y="5308600"/>
          <a:ext cx="1203325" cy="693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647701</xdr:colOff>
      <xdr:row>19</xdr:row>
      <xdr:rowOff>127000</xdr:rowOff>
    </xdr:from>
    <xdr:to>
      <xdr:col>6</xdr:col>
      <xdr:colOff>508001</xdr:colOff>
      <xdr:row>24</xdr:row>
      <xdr:rowOff>118028</xdr:rowOff>
    </xdr:to>
    <xdr:pic>
      <xdr:nvPicPr>
        <xdr:cNvPr id="4" name="Picture 3">
          <a:extLst>
            <a:ext uri="{FF2B5EF4-FFF2-40B4-BE49-F238E27FC236}">
              <a16:creationId xmlns:a16="http://schemas.microsoft.com/office/drawing/2014/main" id="{4446D7CA-54EC-7F4F-821A-27C06FBD172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92301" y="5219700"/>
          <a:ext cx="3365500" cy="943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757543</xdr:colOff>
      <xdr:row>19</xdr:row>
      <xdr:rowOff>1</xdr:rowOff>
    </xdr:from>
    <xdr:to>
      <xdr:col>8</xdr:col>
      <xdr:colOff>224143</xdr:colOff>
      <xdr:row>25</xdr:row>
      <xdr:rowOff>76201</xdr:rowOff>
    </xdr:to>
    <xdr:pic>
      <xdr:nvPicPr>
        <xdr:cNvPr id="5" name="Picture 4">
          <a:extLst>
            <a:ext uri="{FF2B5EF4-FFF2-40B4-BE49-F238E27FC236}">
              <a16:creationId xmlns:a16="http://schemas.microsoft.com/office/drawing/2014/main" id="{603A9DA9-1236-3949-8EB3-34C2A458E74D}"/>
            </a:ext>
          </a:extLst>
        </xdr:cNvPr>
        <xdr:cNvPicPr>
          <a:picLocks noChangeAspect="1"/>
        </xdr:cNvPicPr>
      </xdr:nvPicPr>
      <xdr:blipFill>
        <a:blip xmlns:r="http://schemas.openxmlformats.org/officeDocument/2006/relationships" r:embed="rId4"/>
        <a:stretch>
          <a:fillRect/>
        </a:stretch>
      </xdr:blipFill>
      <xdr:spPr>
        <a:xfrm>
          <a:off x="5507343" y="5092701"/>
          <a:ext cx="1219200" cy="1219200"/>
        </a:xfrm>
        <a:prstGeom prst="rect">
          <a:avLst/>
        </a:prstGeom>
      </xdr:spPr>
    </xdr:pic>
    <xdr:clientData/>
  </xdr:twoCellAnchor>
  <xdr:twoCellAnchor editAs="oneCell">
    <xdr:from>
      <xdr:col>8</xdr:col>
      <xdr:colOff>282199</xdr:colOff>
      <xdr:row>19</xdr:row>
      <xdr:rowOff>169698</xdr:rowOff>
    </xdr:from>
    <xdr:to>
      <xdr:col>11</xdr:col>
      <xdr:colOff>0</xdr:colOff>
      <xdr:row>25</xdr:row>
      <xdr:rowOff>75030</xdr:rowOff>
    </xdr:to>
    <xdr:pic>
      <xdr:nvPicPr>
        <xdr:cNvPr id="6" name="Picture 5">
          <a:extLst>
            <a:ext uri="{FF2B5EF4-FFF2-40B4-BE49-F238E27FC236}">
              <a16:creationId xmlns:a16="http://schemas.microsoft.com/office/drawing/2014/main" id="{2408EA52-09AA-3943-84AD-9E2E3ABB52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84599" y="5262398"/>
          <a:ext cx="2346701" cy="104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547687</xdr:colOff>
      <xdr:row>27</xdr:row>
      <xdr:rowOff>392908</xdr:rowOff>
    </xdr:from>
    <xdr:to>
      <xdr:col>8</xdr:col>
      <xdr:colOff>1321594</xdr:colOff>
      <xdr:row>35</xdr:row>
      <xdr:rowOff>47624</xdr:rowOff>
    </xdr:to>
    <xdr:sp macro="" textlink="">
      <xdr:nvSpPr>
        <xdr:cNvPr id="4" name="Arrow: Left-Up 3">
          <a:extLst>
            <a:ext uri="{FF2B5EF4-FFF2-40B4-BE49-F238E27FC236}">
              <a16:creationId xmlns:a16="http://schemas.microsoft.com/office/drawing/2014/main" id="{7E36303C-3383-4D4B-9674-F898F2AE71AB}"/>
            </a:ext>
          </a:extLst>
        </xdr:cNvPr>
        <xdr:cNvSpPr/>
      </xdr:nvSpPr>
      <xdr:spPr>
        <a:xfrm>
          <a:off x="13882687" y="6048377"/>
          <a:ext cx="773907" cy="1547810"/>
        </a:xfrm>
        <a:prstGeom prst="leftUp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maiyahdocrat/Downloads/Model%20of%20CE%20of%20ICU%20for%20Covid-19_28May20%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umaiyahdocrat/Dropbox/MOSAIC/Model%20of%20CE%20of%20ICU%20for%20Covid-19_S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solanki/OneDrive%20-%20South%20African%20Medical%20Research%20Council/Downloads/Covid+%20case%207May20%20tree-ModelExport1%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Resul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Results"/>
      <sheetName val="Private Hospital Cost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knowledgements"/>
      <sheetName val="Overview"/>
      <sheetName val="Run model"/>
      <sheetName val="Base Case Results"/>
      <sheetName val="0. ICU"/>
      <sheetName val="1. no ICU"/>
    </sheetNames>
    <sheetDataSet>
      <sheetData sheetId="0"/>
      <sheetData sheetId="1"/>
      <sheetData sheetId="2">
        <row r="8">
          <cell r="B8">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9A49D-B51D-464D-A4F6-B7AC0131FE2D}">
  <sheetPr codeName="Sheet9">
    <tabColor rgb="FF7030A0"/>
  </sheetPr>
  <dimension ref="B17:K19"/>
  <sheetViews>
    <sheetView tabSelected="1" workbookViewId="0">
      <selection activeCell="B19" sqref="B19:K19"/>
    </sheetView>
  </sheetViews>
  <sheetFormatPr baseColWidth="10" defaultColWidth="11.5" defaultRowHeight="15"/>
  <cols>
    <col min="1" max="1" width="4.83203125" style="14" customWidth="1"/>
    <col min="2" max="16384" width="11.5" style="14"/>
  </cols>
  <sheetData>
    <row r="17" spans="2:11" ht="114" customHeight="1">
      <c r="B17" s="87" t="s">
        <v>24</v>
      </c>
      <c r="C17" s="87"/>
      <c r="D17" s="87"/>
      <c r="E17" s="87"/>
      <c r="F17" s="87"/>
      <c r="G17" s="87"/>
      <c r="H17" s="87"/>
      <c r="I17" s="87"/>
      <c r="J17" s="87"/>
      <c r="K17" s="87"/>
    </row>
    <row r="18" spans="2:11">
      <c r="B18" s="15" t="s">
        <v>25</v>
      </c>
    </row>
    <row r="19" spans="2:11" ht="32" customHeight="1">
      <c r="B19" s="88" t="s">
        <v>26</v>
      </c>
      <c r="C19" s="88"/>
      <c r="D19" s="88"/>
      <c r="E19" s="88"/>
      <c r="F19" s="88"/>
      <c r="G19" s="88"/>
      <c r="H19" s="88"/>
      <c r="I19" s="88"/>
      <c r="J19" s="88"/>
      <c r="K19" s="88"/>
    </row>
  </sheetData>
  <mergeCells count="2">
    <mergeCell ref="B17:K17"/>
    <mergeCell ref="B19:K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8B5C1-E83C-F74F-AB34-62A438AC539A}">
  <sheetPr codeName="Sheet11">
    <tabColor rgb="FF7030A0"/>
  </sheetPr>
  <dimension ref="B1:D10"/>
  <sheetViews>
    <sheetView zoomScale="132" zoomScaleNormal="132" workbookViewId="0">
      <selection activeCell="B21" sqref="B21"/>
    </sheetView>
  </sheetViews>
  <sheetFormatPr baseColWidth="10" defaultColWidth="11.5" defaultRowHeight="15"/>
  <cols>
    <col min="1" max="1" width="3.6640625" style="9" customWidth="1"/>
    <col min="2" max="2" width="25.83203125" style="9" customWidth="1"/>
    <col min="3" max="3" width="61.5" style="9" customWidth="1"/>
    <col min="4" max="4" width="13.33203125" style="9" customWidth="1"/>
    <col min="5" max="16384" width="11.5" style="9"/>
  </cols>
  <sheetData>
    <row r="1" spans="2:4">
      <c r="B1" s="16" t="s">
        <v>27</v>
      </c>
    </row>
    <row r="2" spans="2:4">
      <c r="B2" s="17" t="s">
        <v>38</v>
      </c>
    </row>
    <row r="3" spans="2:4">
      <c r="B3" s="9" t="s">
        <v>107</v>
      </c>
    </row>
    <row r="4" spans="2:4">
      <c r="B4" s="9" t="s">
        <v>28</v>
      </c>
    </row>
    <row r="5" spans="2:4">
      <c r="B5" s="9" t="s">
        <v>29</v>
      </c>
    </row>
    <row r="6" spans="2:4" ht="16" thickBot="1"/>
    <row r="7" spans="2:4">
      <c r="B7" s="18" t="s">
        <v>30</v>
      </c>
      <c r="C7" s="19" t="s">
        <v>31</v>
      </c>
      <c r="D7" s="20" t="s">
        <v>32</v>
      </c>
    </row>
    <row r="8" spans="2:4">
      <c r="B8" s="21" t="s">
        <v>33</v>
      </c>
      <c r="C8" s="9" t="s">
        <v>118</v>
      </c>
      <c r="D8" s="22" t="s">
        <v>34</v>
      </c>
    </row>
    <row r="9" spans="2:4">
      <c r="B9" s="21" t="s">
        <v>36</v>
      </c>
      <c r="C9" s="9" t="s">
        <v>65</v>
      </c>
      <c r="D9" s="23" t="s">
        <v>35</v>
      </c>
    </row>
    <row r="10" spans="2:4" ht="16" thickBot="1">
      <c r="B10" s="24" t="s">
        <v>37</v>
      </c>
      <c r="C10" s="25" t="s">
        <v>39</v>
      </c>
      <c r="D10" s="26"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E6B1-041E-5D4D-A99C-845B880807DC}">
  <sheetPr codeName="Sheet13">
    <tabColor theme="9"/>
  </sheetPr>
  <dimension ref="A1:J62"/>
  <sheetViews>
    <sheetView zoomScale="80" zoomScaleNormal="80" workbookViewId="0">
      <selection activeCell="C21" sqref="C21"/>
    </sheetView>
  </sheetViews>
  <sheetFormatPr baseColWidth="10" defaultColWidth="11" defaultRowHeight="16"/>
  <cols>
    <col min="1" max="1" width="3.6640625" customWidth="1"/>
    <col min="2" max="2" width="68.6640625" customWidth="1"/>
    <col min="3" max="4" width="17.6640625" customWidth="1"/>
    <col min="5" max="5" width="17.1640625" customWidth="1"/>
    <col min="6" max="7" width="19.6640625" customWidth="1"/>
    <col min="8" max="8" width="18.1640625" customWidth="1"/>
    <col min="9" max="9" width="19.6640625" customWidth="1"/>
    <col min="10" max="11" width="17.5" customWidth="1"/>
    <col min="12" max="12" width="24.5" customWidth="1"/>
    <col min="13" max="13" width="14.1640625" bestFit="1" customWidth="1"/>
  </cols>
  <sheetData>
    <row r="1" spans="2:9">
      <c r="B1" s="16" t="s">
        <v>79</v>
      </c>
    </row>
    <row r="2" spans="2:9">
      <c r="B2" s="9" t="s">
        <v>88</v>
      </c>
    </row>
    <row r="3" spans="2:9" ht="17" customHeight="1">
      <c r="B3" s="9" t="s">
        <v>123</v>
      </c>
    </row>
    <row r="4" spans="2:9" ht="17" customHeight="1">
      <c r="B4" s="9" t="s">
        <v>124</v>
      </c>
    </row>
    <row r="5" spans="2:9" ht="17" customHeight="1">
      <c r="B5" s="69" t="s">
        <v>127</v>
      </c>
    </row>
    <row r="6" spans="2:9" ht="17" customHeight="1">
      <c r="B6" s="9" t="s">
        <v>129</v>
      </c>
    </row>
    <row r="9" spans="2:9">
      <c r="B9" s="9"/>
    </row>
    <row r="10" spans="2:9">
      <c r="B10" s="16" t="s">
        <v>80</v>
      </c>
    </row>
    <row r="11" spans="2:9">
      <c r="B11" s="9" t="s">
        <v>89</v>
      </c>
    </row>
    <row r="12" spans="2:9">
      <c r="B12" s="9" t="s">
        <v>130</v>
      </c>
    </row>
    <row r="13" spans="2:9">
      <c r="B13" s="35"/>
    </row>
    <row r="14" spans="2:9" ht="17" thickBot="1">
      <c r="B14" s="9" t="s">
        <v>82</v>
      </c>
      <c r="C14" s="70" t="s">
        <v>126</v>
      </c>
    </row>
    <row r="15" spans="2:9" ht="17" thickBot="1">
      <c r="B15" s="46" t="s">
        <v>83</v>
      </c>
      <c r="C15" s="89" t="s">
        <v>105</v>
      </c>
      <c r="D15" s="90"/>
      <c r="E15" s="90"/>
      <c r="F15" s="90"/>
      <c r="G15" s="90"/>
      <c r="H15" s="90"/>
      <c r="I15" s="91"/>
    </row>
    <row r="16" spans="2:9" ht="17" thickTop="1">
      <c r="B16" s="47" t="s">
        <v>84</v>
      </c>
    </row>
    <row r="17" spans="1:9">
      <c r="B17" s="48" t="s">
        <v>85</v>
      </c>
      <c r="C17" s="33">
        <v>3727.3526936619046</v>
      </c>
      <c r="D17" t="s">
        <v>86</v>
      </c>
    </row>
    <row r="18" spans="1:9">
      <c r="B18" s="48" t="s">
        <v>87</v>
      </c>
      <c r="C18" s="33">
        <v>16512.172432922238</v>
      </c>
      <c r="D18" t="s">
        <v>125</v>
      </c>
    </row>
    <row r="19" spans="1:9" ht="17" thickBot="1">
      <c r="B19" s="48" t="s">
        <v>93</v>
      </c>
      <c r="C19" s="33">
        <v>1242.4508978873016</v>
      </c>
      <c r="D19" t="s">
        <v>119</v>
      </c>
    </row>
    <row r="20" spans="1:9" ht="22" customHeight="1" thickBot="1">
      <c r="B20" s="47"/>
      <c r="C20" s="45" t="s">
        <v>91</v>
      </c>
      <c r="D20" s="39" t="s">
        <v>21</v>
      </c>
      <c r="E20" s="39" t="s">
        <v>0</v>
      </c>
      <c r="F20" s="39" t="s">
        <v>92</v>
      </c>
      <c r="G20" s="39" t="s">
        <v>70</v>
      </c>
      <c r="H20" s="39" t="s">
        <v>73</v>
      </c>
      <c r="I20" s="85" t="s">
        <v>94</v>
      </c>
    </row>
    <row r="21" spans="1:9" ht="17" thickTop="1">
      <c r="A21" s="36"/>
      <c r="B21" s="71" t="s">
        <v>99</v>
      </c>
      <c r="C21" s="72">
        <v>1000</v>
      </c>
      <c r="D21" s="72">
        <v>1000</v>
      </c>
      <c r="E21" s="72">
        <v>1000</v>
      </c>
      <c r="F21" s="72">
        <v>1000</v>
      </c>
      <c r="G21" s="72">
        <v>1000</v>
      </c>
      <c r="H21" s="72">
        <v>1000</v>
      </c>
      <c r="I21" s="86">
        <v>1000</v>
      </c>
    </row>
    <row r="22" spans="1:9">
      <c r="B22" s="48" t="s">
        <v>128</v>
      </c>
      <c r="C22" s="41">
        <v>0.28000000000000003</v>
      </c>
      <c r="D22" s="41">
        <v>0.72</v>
      </c>
      <c r="E22" s="41">
        <v>0.84</v>
      </c>
      <c r="F22" s="41">
        <v>0.51</v>
      </c>
      <c r="G22" s="41">
        <v>0.37</v>
      </c>
      <c r="H22" s="41">
        <v>0.25</v>
      </c>
      <c r="I22" s="42">
        <v>0.26500000000000001</v>
      </c>
    </row>
    <row r="23" spans="1:9" hidden="1">
      <c r="B23" s="48" t="s">
        <v>45</v>
      </c>
      <c r="C23" s="41">
        <v>0.72</v>
      </c>
      <c r="D23" s="41">
        <v>0.28000000000000003</v>
      </c>
      <c r="E23" s="41">
        <v>0.16</v>
      </c>
      <c r="F23" s="41">
        <v>0.49</v>
      </c>
      <c r="G23" s="41">
        <v>0.63</v>
      </c>
      <c r="H23" s="41">
        <v>0.75</v>
      </c>
      <c r="I23" s="42">
        <v>0.73499999999999999</v>
      </c>
    </row>
    <row r="24" spans="1:9">
      <c r="B24" s="48" t="s">
        <v>47</v>
      </c>
      <c r="C24" s="75">
        <f>0.65*C23</f>
        <v>0.46799999999999997</v>
      </c>
      <c r="D24" s="75">
        <f>0.33*D23</f>
        <v>9.240000000000001E-2</v>
      </c>
      <c r="E24" s="75">
        <f>0.875*E23</f>
        <v>0.14000000000000001</v>
      </c>
      <c r="F24" s="75">
        <f>0.9*F23</f>
        <v>0.441</v>
      </c>
      <c r="G24" s="75">
        <f>0.66*G23</f>
        <v>0.4158</v>
      </c>
      <c r="H24" s="75">
        <f>0.94*H23</f>
        <v>0.70499999999999996</v>
      </c>
      <c r="I24" s="76">
        <f>0.65*I23</f>
        <v>0.47775000000000001</v>
      </c>
    </row>
    <row r="25" spans="1:9">
      <c r="B25" s="48" t="s">
        <v>48</v>
      </c>
      <c r="C25" s="75">
        <f>0.35*C23</f>
        <v>0.252</v>
      </c>
      <c r="D25" s="75">
        <f>0.67*D23</f>
        <v>0.18760000000000002</v>
      </c>
      <c r="E25" s="75">
        <f>0.125*E23</f>
        <v>0.02</v>
      </c>
      <c r="F25" s="75">
        <f>0.1*F23</f>
        <v>4.9000000000000002E-2</v>
      </c>
      <c r="G25" s="75">
        <f>0.34*G23</f>
        <v>0.21420000000000003</v>
      </c>
      <c r="H25" s="75">
        <f>0.06*H23</f>
        <v>4.4999999999999998E-2</v>
      </c>
      <c r="I25" s="76">
        <f>0.35*I23</f>
        <v>0.25724999999999998</v>
      </c>
    </row>
    <row r="26" spans="1:9">
      <c r="B26" s="48" t="s">
        <v>49</v>
      </c>
      <c r="C26" s="41">
        <v>9.1999999999999993</v>
      </c>
      <c r="D26" s="41">
        <v>20</v>
      </c>
      <c r="E26" s="41">
        <v>5.25</v>
      </c>
      <c r="F26" s="41">
        <v>11.4</v>
      </c>
      <c r="G26" s="41">
        <v>8.6999999999999993</v>
      </c>
      <c r="H26" s="41">
        <v>2</v>
      </c>
      <c r="I26" s="42">
        <v>9.1999999999999993</v>
      </c>
    </row>
    <row r="27" spans="1:9" ht="17" thickBot="1">
      <c r="B27" s="49" t="s">
        <v>50</v>
      </c>
      <c r="C27" s="43">
        <v>9.1999999999999993</v>
      </c>
      <c r="D27" s="43">
        <v>20</v>
      </c>
      <c r="E27" s="43">
        <v>4.75</v>
      </c>
      <c r="F27" s="43">
        <v>7.45</v>
      </c>
      <c r="G27" s="43">
        <v>7.15</v>
      </c>
      <c r="H27" s="43">
        <v>4</v>
      </c>
      <c r="I27" s="44">
        <v>9.1999999999999993</v>
      </c>
    </row>
    <row r="28" spans="1:9" ht="34" customHeight="1" thickBot="1"/>
    <row r="29" spans="1:9" ht="17" thickBot="1">
      <c r="B29" s="46" t="s">
        <v>83</v>
      </c>
      <c r="C29" s="89" t="s">
        <v>105</v>
      </c>
      <c r="D29" s="90"/>
      <c r="E29" s="90"/>
      <c r="F29" s="90"/>
      <c r="G29" s="91"/>
    </row>
    <row r="30" spans="1:9" ht="18" thickTop="1" thickBot="1">
      <c r="B30" s="71" t="s">
        <v>121</v>
      </c>
      <c r="C30" s="73">
        <v>1000</v>
      </c>
      <c r="D30" s="53"/>
      <c r="E30" s="53"/>
      <c r="F30" s="53"/>
      <c r="G30" s="54"/>
    </row>
    <row r="31" spans="1:9" ht="17" thickBot="1">
      <c r="B31" s="47"/>
      <c r="C31" s="45" t="s">
        <v>91</v>
      </c>
      <c r="D31" s="39" t="s">
        <v>21</v>
      </c>
      <c r="E31" s="39" t="s">
        <v>0</v>
      </c>
      <c r="F31" s="39" t="s">
        <v>70</v>
      </c>
      <c r="G31" s="40" t="s">
        <v>113</v>
      </c>
    </row>
    <row r="32" spans="1:9" ht="17" thickTop="1">
      <c r="B32" s="48" t="s">
        <v>120</v>
      </c>
      <c r="C32" s="41">
        <v>0.42</v>
      </c>
      <c r="D32" s="41">
        <v>0.16</v>
      </c>
      <c r="E32" s="41">
        <v>0.13</v>
      </c>
      <c r="F32" s="41">
        <v>0.15</v>
      </c>
      <c r="G32" s="42">
        <v>0.14000000000000001</v>
      </c>
    </row>
    <row r="33" spans="2:8">
      <c r="B33" s="74" t="s">
        <v>114</v>
      </c>
      <c r="C33" s="52">
        <f>$C$30*C32</f>
        <v>420</v>
      </c>
      <c r="D33" s="52">
        <f t="shared" ref="D33:G33" si="0">$C$30*D32</f>
        <v>160</v>
      </c>
      <c r="E33" s="52">
        <f t="shared" si="0"/>
        <v>130</v>
      </c>
      <c r="F33" s="52">
        <f t="shared" si="0"/>
        <v>150</v>
      </c>
      <c r="G33" s="55">
        <f t="shared" si="0"/>
        <v>140</v>
      </c>
      <c r="H33" s="52"/>
    </row>
    <row r="34" spans="2:8">
      <c r="B34" s="48" t="s">
        <v>69</v>
      </c>
      <c r="C34" s="41">
        <v>0.28000000000000003</v>
      </c>
      <c r="D34" s="41">
        <v>0.72</v>
      </c>
      <c r="E34" s="41">
        <v>0.84</v>
      </c>
      <c r="F34" s="41">
        <v>0.37</v>
      </c>
      <c r="G34" s="42">
        <v>1</v>
      </c>
    </row>
    <row r="35" spans="2:8" hidden="1">
      <c r="B35" s="48" t="s">
        <v>45</v>
      </c>
      <c r="C35" s="41">
        <v>0.72</v>
      </c>
      <c r="D35" s="41">
        <v>0.28000000000000003</v>
      </c>
      <c r="E35" s="41">
        <v>0.16</v>
      </c>
      <c r="F35" s="41">
        <v>0.63</v>
      </c>
      <c r="G35" s="42">
        <v>0</v>
      </c>
    </row>
    <row r="36" spans="2:8">
      <c r="B36" s="48" t="s">
        <v>47</v>
      </c>
      <c r="C36" s="75">
        <f>0.65*C35</f>
        <v>0.46799999999999997</v>
      </c>
      <c r="D36" s="75">
        <f>0.33*D35</f>
        <v>9.240000000000001E-2</v>
      </c>
      <c r="E36" s="75">
        <f>0.875*E35</f>
        <v>0.14000000000000001</v>
      </c>
      <c r="F36" s="75">
        <f>0.66*F35</f>
        <v>0.4158</v>
      </c>
      <c r="G36" s="76">
        <v>0</v>
      </c>
    </row>
    <row r="37" spans="2:8" ht="13.5" customHeight="1">
      <c r="B37" s="48" t="s">
        <v>48</v>
      </c>
      <c r="C37" s="75">
        <f>0.35*C35</f>
        <v>0.252</v>
      </c>
      <c r="D37" s="75">
        <f>0.67*D35</f>
        <v>0.18760000000000002</v>
      </c>
      <c r="E37" s="75">
        <f>0.125*E35</f>
        <v>0.02</v>
      </c>
      <c r="F37" s="75">
        <f>0.34*F35</f>
        <v>0.21420000000000003</v>
      </c>
      <c r="G37" s="79">
        <v>0</v>
      </c>
    </row>
    <row r="38" spans="2:8">
      <c r="B38" s="48" t="s">
        <v>49</v>
      </c>
      <c r="C38" s="41">
        <v>9.1999999999999993</v>
      </c>
      <c r="D38" s="41">
        <v>20</v>
      </c>
      <c r="E38" s="41">
        <v>5.25</v>
      </c>
      <c r="F38" s="41">
        <v>8.6999999999999993</v>
      </c>
      <c r="G38" s="78">
        <v>0</v>
      </c>
    </row>
    <row r="39" spans="2:8" ht="17" thickBot="1">
      <c r="B39" s="48" t="s">
        <v>50</v>
      </c>
      <c r="C39" s="43">
        <v>9.1999999999999993</v>
      </c>
      <c r="D39" s="43">
        <v>20</v>
      </c>
      <c r="E39" s="43">
        <v>4.75</v>
      </c>
      <c r="F39" s="43">
        <v>7.15</v>
      </c>
      <c r="G39" s="80">
        <v>0</v>
      </c>
    </row>
    <row r="40" spans="2:8">
      <c r="B40" s="48" t="s">
        <v>96</v>
      </c>
      <c r="C40" s="66">
        <f>C34*C33</f>
        <v>117.60000000000001</v>
      </c>
      <c r="D40" s="66">
        <f t="shared" ref="D40:G40" si="1">D34*D33</f>
        <v>115.19999999999999</v>
      </c>
      <c r="E40" s="66">
        <f t="shared" si="1"/>
        <v>109.2</v>
      </c>
      <c r="F40" s="66">
        <f t="shared" si="1"/>
        <v>55.5</v>
      </c>
      <c r="G40" s="82">
        <f t="shared" si="1"/>
        <v>140</v>
      </c>
    </row>
    <row r="41" spans="2:8">
      <c r="B41" s="48" t="s">
        <v>97</v>
      </c>
      <c r="C41" s="66">
        <f>C33*C36*C38</f>
        <v>1808.3519999999999</v>
      </c>
      <c r="D41" s="66">
        <f>D33*D36*D38</f>
        <v>295.68000000000006</v>
      </c>
      <c r="E41" s="66">
        <f t="shared" ref="E41:G41" si="2">E33*E36*E38</f>
        <v>95.550000000000011</v>
      </c>
      <c r="F41" s="66">
        <f t="shared" si="2"/>
        <v>542.61899999999991</v>
      </c>
      <c r="G41" s="77">
        <f t="shared" si="2"/>
        <v>0</v>
      </c>
    </row>
    <row r="42" spans="2:8">
      <c r="B42" s="48" t="s">
        <v>98</v>
      </c>
      <c r="C42" s="66">
        <f>C33*C37*C39</f>
        <v>973.72799999999995</v>
      </c>
      <c r="D42" s="66">
        <f t="shared" ref="D42:G42" si="3">D33*D37*D39</f>
        <v>600.32000000000005</v>
      </c>
      <c r="E42" s="66">
        <f t="shared" si="3"/>
        <v>12.35</v>
      </c>
      <c r="F42" s="66">
        <f t="shared" si="3"/>
        <v>229.72950000000003</v>
      </c>
      <c r="G42" s="82">
        <f t="shared" si="3"/>
        <v>0</v>
      </c>
    </row>
    <row r="43" spans="2:8">
      <c r="B43" s="48" t="s">
        <v>102</v>
      </c>
      <c r="C43" s="56">
        <f>C40*$C$19</f>
        <v>146112.22559154668</v>
      </c>
      <c r="D43" s="56">
        <f t="shared" ref="D43:G43" si="4">D40*$C$19</f>
        <v>143130.34343661714</v>
      </c>
      <c r="E43" s="56">
        <f t="shared" si="4"/>
        <v>135675.63804929334</v>
      </c>
      <c r="F43" s="56">
        <f>F40*$C$19</f>
        <v>68956.024832745243</v>
      </c>
      <c r="G43" s="81">
        <f t="shared" si="4"/>
        <v>173943.12570422221</v>
      </c>
    </row>
    <row r="44" spans="2:8">
      <c r="B44" s="48" t="s">
        <v>103</v>
      </c>
      <c r="C44" s="57">
        <f>C41*$C$17</f>
        <v>6740365.6982888924</v>
      </c>
      <c r="D44" s="57">
        <f t="shared" ref="D44:G44" si="5">D41*$C$17</f>
        <v>1102103.6444619521</v>
      </c>
      <c r="E44" s="57">
        <f t="shared" si="5"/>
        <v>356148.54987939505</v>
      </c>
      <c r="F44" s="57">
        <f t="shared" si="5"/>
        <v>2022532.3912821286</v>
      </c>
      <c r="G44" s="81">
        <f t="shared" si="5"/>
        <v>0</v>
      </c>
    </row>
    <row r="45" spans="2:8">
      <c r="B45" s="48" t="s">
        <v>104</v>
      </c>
      <c r="C45" s="57">
        <f>C42*$C$18</f>
        <v>16078364.638764504</v>
      </c>
      <c r="D45" s="57">
        <f t="shared" ref="D45:G45" si="6">D42*$C$18</f>
        <v>9912587.3549318779</v>
      </c>
      <c r="E45" s="57">
        <f t="shared" si="6"/>
        <v>203925.32954658964</v>
      </c>
      <c r="F45" s="57">
        <f t="shared" si="6"/>
        <v>3793333.1169290096</v>
      </c>
      <c r="G45" s="81">
        <f t="shared" si="6"/>
        <v>0</v>
      </c>
    </row>
    <row r="46" spans="2:8" ht="38.25" customHeight="1">
      <c r="B46" s="48" t="s">
        <v>95</v>
      </c>
      <c r="C46" s="57">
        <f>SUM(C43:C45)</f>
        <v>22964842.562644944</v>
      </c>
      <c r="D46" s="57">
        <f t="shared" ref="D46:G46" si="7">SUM(D43:D45)</f>
        <v>11157821.342830447</v>
      </c>
      <c r="E46" s="57">
        <f t="shared" si="7"/>
        <v>695749.517475278</v>
      </c>
      <c r="F46" s="57">
        <f t="shared" si="7"/>
        <v>5884821.5330438837</v>
      </c>
      <c r="G46" s="81">
        <f t="shared" si="7"/>
        <v>173943.12570422221</v>
      </c>
    </row>
    <row r="47" spans="2:8" ht="17" thickBot="1">
      <c r="B47" s="58"/>
      <c r="C47" s="59"/>
      <c r="D47" s="59"/>
      <c r="E47" s="59"/>
      <c r="F47" s="83"/>
      <c r="G47" s="84"/>
    </row>
    <row r="49" spans="2:10" ht="17" thickBot="1">
      <c r="B49" s="9" t="s">
        <v>81</v>
      </c>
    </row>
    <row r="50" spans="2:10" ht="33" thickBot="1">
      <c r="B50" s="68" t="s">
        <v>90</v>
      </c>
      <c r="C50" s="31" t="s">
        <v>95</v>
      </c>
      <c r="D50" s="31" t="s">
        <v>102</v>
      </c>
      <c r="E50" s="31" t="s">
        <v>103</v>
      </c>
      <c r="F50" s="31" t="s">
        <v>104</v>
      </c>
      <c r="G50" s="31" t="s">
        <v>96</v>
      </c>
      <c r="H50" s="31" t="s">
        <v>97</v>
      </c>
      <c r="I50" s="31" t="s">
        <v>98</v>
      </c>
      <c r="J50" s="31" t="s">
        <v>122</v>
      </c>
    </row>
    <row r="51" spans="2:10" ht="18" thickTop="1" thickBot="1">
      <c r="B51" s="67" t="s">
        <v>91</v>
      </c>
      <c r="C51" s="37">
        <f>SUM(D51:F51)</f>
        <v>43959286.818549715</v>
      </c>
      <c r="D51" s="37">
        <f>G51*$C$19</f>
        <v>347886.25140844443</v>
      </c>
      <c r="E51" s="37">
        <f>$C$17*H51</f>
        <v>16048489.757830694</v>
      </c>
      <c r="F51" s="37">
        <f>I51*$C$18</f>
        <v>27562910.809310578</v>
      </c>
      <c r="G51" s="63">
        <f>C21*C22</f>
        <v>280</v>
      </c>
      <c r="H51" s="63">
        <f>C21*C24*C26</f>
        <v>4305.5999999999995</v>
      </c>
      <c r="I51" s="63">
        <f>(C21-G51)*C25*C27</f>
        <v>1669.2479999999998</v>
      </c>
      <c r="J51" s="60">
        <f t="shared" ref="J51:J59" si="8">C51/$C$59</f>
        <v>0.20033162041499275</v>
      </c>
    </row>
    <row r="52" spans="2:10" ht="17" thickTop="1">
      <c r="B52" s="32" t="s">
        <v>21</v>
      </c>
      <c r="C52" s="38">
        <f t="shared" ref="C52:C58" si="9">SUM(D52:F52)</f>
        <v>25129740.295496847</v>
      </c>
      <c r="D52" s="38">
        <f t="shared" ref="D52:D58" si="10">G52*$C$19</f>
        <v>894564.64647885715</v>
      </c>
      <c r="E52" s="38">
        <f t="shared" ref="E52:E58" si="11">$C$17*H52</f>
        <v>6888147.7778872</v>
      </c>
      <c r="F52" s="38">
        <f t="shared" ref="F52:F58" si="12">I52*$C$18</f>
        <v>17347027.871130791</v>
      </c>
      <c r="G52" s="64">
        <f>D21*D22</f>
        <v>720</v>
      </c>
      <c r="H52" s="63">
        <f>D21*D24*D26</f>
        <v>1848</v>
      </c>
      <c r="I52" s="64">
        <f>(D21-G52)*D25*D27</f>
        <v>1050.5600000000002</v>
      </c>
      <c r="J52" s="61">
        <f t="shared" si="8"/>
        <v>0.11452145742911557</v>
      </c>
    </row>
    <row r="53" spans="2:10">
      <c r="B53" s="32" t="s">
        <v>0</v>
      </c>
      <c r="C53" s="38">
        <f t="shared" si="9"/>
        <v>4034248.0050472515</v>
      </c>
      <c r="D53" s="38">
        <f t="shared" si="10"/>
        <v>1043658.7542253333</v>
      </c>
      <c r="E53" s="38">
        <f t="shared" si="11"/>
        <v>2739604.2298415001</v>
      </c>
      <c r="F53" s="38">
        <f t="shared" si="12"/>
        <v>250985.02098041805</v>
      </c>
      <c r="G53" s="64">
        <f>E21*E22</f>
        <v>840</v>
      </c>
      <c r="H53" s="64">
        <f>E21*E24*E26</f>
        <v>735</v>
      </c>
      <c r="I53" s="64">
        <f>(E21-G53)*E25*E27</f>
        <v>15.200000000000001</v>
      </c>
      <c r="J53" s="61">
        <f t="shared" si="8"/>
        <v>1.8384907911336564E-2</v>
      </c>
    </row>
    <row r="54" spans="2:10">
      <c r="B54" s="32" t="s">
        <v>92</v>
      </c>
      <c r="C54" s="38">
        <f t="shared" si="9"/>
        <v>22326149.477891136</v>
      </c>
      <c r="D54" s="38">
        <f t="shared" si="10"/>
        <v>633649.95792252384</v>
      </c>
      <c r="E54" s="38">
        <f t="shared" si="11"/>
        <v>18738892.93211586</v>
      </c>
      <c r="F54" s="38">
        <f t="shared" si="12"/>
        <v>2953606.587852749</v>
      </c>
      <c r="G54" s="64">
        <f>F21*F22</f>
        <v>510</v>
      </c>
      <c r="H54" s="64">
        <f>F21*F24*F26</f>
        <v>5027.4000000000005</v>
      </c>
      <c r="I54" s="64">
        <f>(F21-G54)*F25*F27</f>
        <v>178.87450000000001</v>
      </c>
      <c r="J54" s="61">
        <f t="shared" si="8"/>
        <v>0.10174491048944717</v>
      </c>
    </row>
    <row r="55" spans="2:10">
      <c r="B55" s="32" t="s">
        <v>70</v>
      </c>
      <c r="C55" s="38">
        <f t="shared" si="9"/>
        <v>29875255.19853434</v>
      </c>
      <c r="D55" s="38">
        <f t="shared" si="10"/>
        <v>459706.8322183016</v>
      </c>
      <c r="E55" s="38">
        <f t="shared" si="11"/>
        <v>13483549.275214192</v>
      </c>
      <c r="F55" s="38">
        <f t="shared" si="12"/>
        <v>15931999.091101844</v>
      </c>
      <c r="G55" s="64">
        <f>G21*G22</f>
        <v>370</v>
      </c>
      <c r="H55" s="64">
        <f>G21*G24*G26</f>
        <v>3617.4599999999996</v>
      </c>
      <c r="I55" s="64">
        <f>(G21-G55)*G25*G27</f>
        <v>964.86390000000029</v>
      </c>
      <c r="J55" s="61">
        <f t="shared" si="8"/>
        <v>0.13614775664896178</v>
      </c>
    </row>
    <row r="56" spans="2:10">
      <c r="B56" s="32" t="s">
        <v>73</v>
      </c>
      <c r="C56" s="38">
        <f t="shared" si="9"/>
        <v>7795323.3009796124</v>
      </c>
      <c r="D56" s="38">
        <f t="shared" si="10"/>
        <v>310612.72447182541</v>
      </c>
      <c r="E56" s="38">
        <f t="shared" si="11"/>
        <v>5255567.2980632856</v>
      </c>
      <c r="F56" s="38">
        <f t="shared" si="12"/>
        <v>2229143.278444502</v>
      </c>
      <c r="G56" s="64">
        <f>H21*H22</f>
        <v>250</v>
      </c>
      <c r="H56" s="64">
        <f>H21*H24*H26</f>
        <v>1410</v>
      </c>
      <c r="I56" s="64">
        <f>(H21-G56)*H25*H27</f>
        <v>135</v>
      </c>
      <c r="J56" s="61">
        <f t="shared" si="8"/>
        <v>3.5524910924738189E-2</v>
      </c>
    </row>
    <row r="57" spans="2:10">
      <c r="B57" s="32" t="s">
        <v>94</v>
      </c>
      <c r="C57" s="38">
        <f t="shared" si="9"/>
        <v>45435411.277685136</v>
      </c>
      <c r="D57" s="38">
        <f t="shared" si="10"/>
        <v>329249.48794013495</v>
      </c>
      <c r="E57" s="38">
        <f t="shared" si="11"/>
        <v>16382833.294452166</v>
      </c>
      <c r="F57" s="38">
        <f t="shared" si="12"/>
        <v>28723328.495292835</v>
      </c>
      <c r="G57" s="64">
        <f>I21*I22</f>
        <v>265</v>
      </c>
      <c r="H57" s="64">
        <f>I21*I24*I26</f>
        <v>4395.2999999999993</v>
      </c>
      <c r="I57" s="64">
        <f>(I21-G57)*I25*I27</f>
        <v>1739.5244999999998</v>
      </c>
      <c r="J57" s="61">
        <f t="shared" si="8"/>
        <v>0.20705862683921936</v>
      </c>
    </row>
    <row r="58" spans="2:10">
      <c r="B58" s="32" t="s">
        <v>112</v>
      </c>
      <c r="C58" s="38">
        <f t="shared" si="9"/>
        <v>40877178.081698775</v>
      </c>
      <c r="D58" s="38">
        <f t="shared" si="10"/>
        <v>667817.35761442466</v>
      </c>
      <c r="E58" s="38">
        <f t="shared" si="11"/>
        <v>10221150.283912368</v>
      </c>
      <c r="F58" s="38">
        <f t="shared" si="12"/>
        <v>29988210.440171983</v>
      </c>
      <c r="G58" s="64">
        <f>SUM(C40:G40)</f>
        <v>537.5</v>
      </c>
      <c r="H58" s="64">
        <f>SUM(C41:G41)</f>
        <v>2742.201</v>
      </c>
      <c r="I58" s="64">
        <f>SUM(C42:G42)</f>
        <v>1816.1275000000001</v>
      </c>
      <c r="J58" s="61">
        <f t="shared" si="8"/>
        <v>0.18628580934218869</v>
      </c>
    </row>
    <row r="59" spans="2:10" ht="17" thickBot="1">
      <c r="B59" s="50" t="s">
        <v>106</v>
      </c>
      <c r="C59" s="51">
        <f>SUM(C51:C58)</f>
        <v>219432592.45588279</v>
      </c>
      <c r="D59" s="51">
        <f>SUM(D51:D58)</f>
        <v>4687146.0122798448</v>
      </c>
      <c r="E59" s="51">
        <f>SUM(E51:E58)</f>
        <v>89758234.849317282</v>
      </c>
      <c r="F59" s="51">
        <f>SUM(F51:F58)</f>
        <v>124987211.5942857</v>
      </c>
      <c r="G59" s="65">
        <f t="shared" ref="G59" si="13">SUM(G51:G57)</f>
        <v>3235</v>
      </c>
      <c r="H59" s="65">
        <f>SUM(H51:H58)</f>
        <v>24080.960999999999</v>
      </c>
      <c r="I59" s="65">
        <f>SUM(I51:I58)</f>
        <v>7569.3984</v>
      </c>
      <c r="J59" s="62">
        <f t="shared" si="8"/>
        <v>1</v>
      </c>
    </row>
    <row r="62" spans="2:10" ht="94" customHeight="1">
      <c r="B62" s="92" t="s">
        <v>131</v>
      </c>
      <c r="C62" s="92"/>
      <c r="D62" s="92"/>
      <c r="E62" s="92"/>
      <c r="F62" s="92"/>
      <c r="G62" s="92"/>
      <c r="H62" s="92"/>
      <c r="I62" s="92"/>
      <c r="J62" s="92"/>
    </row>
  </sheetData>
  <sheetProtection algorithmName="SHA-512" hashValue="SVmT5WtgdSNKZ3w+DlZzTy7hEbELqbWdzljopDSHMZL4PL9S8owQ6OU8BfmCvILj+iBItmGFNmH67+ACHWs5/A==" saltValue="l84T0Mt3g1YUj6OA333/PA==" spinCount="100000" sheet="1" objects="1" scenarios="1" selectLockedCells="1"/>
  <mergeCells count="3">
    <mergeCell ref="C15:I15"/>
    <mergeCell ref="C29:G29"/>
    <mergeCell ref="B62:J6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6C6FF-358D-CD46-ADDA-5F3F08D62E0E}">
  <sheetPr codeName="Sheet8">
    <tabColor rgb="FF0070C0"/>
  </sheetPr>
  <dimension ref="A1:L22"/>
  <sheetViews>
    <sheetView workbookViewId="0">
      <selection activeCell="E23" sqref="E22:E23"/>
    </sheetView>
  </sheetViews>
  <sheetFormatPr baseColWidth="10" defaultColWidth="10.83203125" defaultRowHeight="15"/>
  <cols>
    <col min="1" max="1" width="40.83203125" style="9" customWidth="1"/>
    <col min="2" max="10" width="10.83203125" style="9"/>
    <col min="11" max="11" width="12.5" style="9" bestFit="1" customWidth="1"/>
    <col min="12" max="16384" width="10.83203125" style="9"/>
  </cols>
  <sheetData>
    <row r="1" spans="1:12" s="4" customFormat="1" ht="16">
      <c r="A1" s="3" t="s">
        <v>1</v>
      </c>
    </row>
    <row r="2" spans="1:12" s="5" customFormat="1" ht="16">
      <c r="B2" s="6" t="s">
        <v>2</v>
      </c>
      <c r="C2" s="6"/>
      <c r="D2" s="6"/>
      <c r="E2" s="6"/>
      <c r="F2" s="6"/>
      <c r="G2" s="6"/>
      <c r="H2" s="6"/>
      <c r="I2" s="6"/>
      <c r="J2" s="6"/>
      <c r="K2" s="6"/>
      <c r="L2" s="6"/>
    </row>
    <row r="3" spans="1:12" s="4" customFormat="1" ht="16">
      <c r="A3" s="7" t="s">
        <v>3</v>
      </c>
      <c r="B3" s="8" t="s">
        <v>4</v>
      </c>
      <c r="C3" s="8" t="s">
        <v>5</v>
      </c>
      <c r="D3" s="8" t="s">
        <v>6</v>
      </c>
      <c r="E3" s="8" t="s">
        <v>7</v>
      </c>
      <c r="F3" s="8" t="s">
        <v>8</v>
      </c>
      <c r="G3" s="8" t="s">
        <v>9</v>
      </c>
      <c r="H3" s="8" t="s">
        <v>10</v>
      </c>
      <c r="I3" s="8" t="s">
        <v>11</v>
      </c>
      <c r="J3" s="8" t="s">
        <v>12</v>
      </c>
      <c r="K3" s="8" t="s">
        <v>13</v>
      </c>
      <c r="L3" s="7" t="s">
        <v>14</v>
      </c>
    </row>
    <row r="4" spans="1:12" s="4" customFormat="1" ht="16">
      <c r="A4" s="7" t="s">
        <v>15</v>
      </c>
      <c r="B4" s="8">
        <v>5873.6136531652783</v>
      </c>
      <c r="C4" s="8">
        <v>7464.9353557135482</v>
      </c>
      <c r="D4" s="8">
        <v>4782.0136394391957</v>
      </c>
      <c r="E4" s="8">
        <v>9335.9207019125115</v>
      </c>
      <c r="F4" s="8"/>
      <c r="G4" s="8"/>
      <c r="H4" s="8"/>
      <c r="I4" s="8"/>
      <c r="J4" s="8">
        <v>6057.7710270339439</v>
      </c>
      <c r="K4" s="8">
        <v>8222</v>
      </c>
      <c r="L4" s="7">
        <f>AVERAGE(B4:J4)</f>
        <v>6702.8508754528957</v>
      </c>
    </row>
    <row r="5" spans="1:12" s="4" customFormat="1" ht="16">
      <c r="A5" s="7" t="s">
        <v>16</v>
      </c>
      <c r="B5" s="8">
        <v>2367.2956749710665</v>
      </c>
      <c r="C5" s="8">
        <v>3298.5757017780616</v>
      </c>
      <c r="D5" s="8">
        <v>3339.6776267767705</v>
      </c>
      <c r="E5" s="8">
        <v>3808.9814157606038</v>
      </c>
      <c r="F5" s="8">
        <v>3501.1199721698586</v>
      </c>
      <c r="G5" s="8">
        <v>3448.2760147146741</v>
      </c>
      <c r="H5" s="8"/>
      <c r="I5" s="8">
        <v>3203.4248519000171</v>
      </c>
      <c r="J5" s="8">
        <v>3548.0990185276873</v>
      </c>
      <c r="K5" s="8">
        <v>19936</v>
      </c>
      <c r="L5" s="7">
        <f>AVERAGE(B5:J5)</f>
        <v>3314.4312845748423</v>
      </c>
    </row>
    <row r="6" spans="1:12" s="4" customFormat="1" ht="16">
      <c r="A6" s="7" t="s">
        <v>17</v>
      </c>
      <c r="B6" s="8">
        <v>3524.1217196486823</v>
      </c>
      <c r="C6" s="8">
        <v>3841.3509027745777</v>
      </c>
      <c r="D6" s="8">
        <v>3798.8447511287827</v>
      </c>
      <c r="E6" s="8">
        <v>5162.2015850169209</v>
      </c>
      <c r="F6" s="8">
        <v>4065.7482043267382</v>
      </c>
      <c r="G6" s="8">
        <v>3771.8862477232306</v>
      </c>
      <c r="H6" s="8">
        <v>5389.6530401213658</v>
      </c>
      <c r="I6" s="8">
        <v>3337.3495878729227</v>
      </c>
      <c r="J6" s="8">
        <v>6859.3509036581872</v>
      </c>
      <c r="K6" s="8">
        <v>10393</v>
      </c>
      <c r="L6" s="7">
        <f>AVERAGE(B6:J6)</f>
        <v>4416.7229935857131</v>
      </c>
    </row>
    <row r="7" spans="1:12" s="4" customFormat="1" ht="16">
      <c r="A7" s="7" t="s">
        <v>18</v>
      </c>
      <c r="B7" s="8">
        <v>2747.7093173562589</v>
      </c>
      <c r="C7" s="8">
        <v>2914.0316236258168</v>
      </c>
      <c r="D7" s="8">
        <v>3371.1433515867429</v>
      </c>
      <c r="E7" s="8">
        <v>3048.4286012503462</v>
      </c>
      <c r="F7" s="8">
        <v>3497.6742837785632</v>
      </c>
      <c r="G7" s="8">
        <v>2718.3667427822588</v>
      </c>
      <c r="H7" s="8">
        <v>2971.8249582929093</v>
      </c>
      <c r="I7" s="8">
        <v>2801.4597342346383</v>
      </c>
      <c r="J7" s="8">
        <v>2537.5588485232624</v>
      </c>
      <c r="K7" s="8">
        <v>30351</v>
      </c>
      <c r="L7" s="7">
        <f>AVERAGE(B7:J7)</f>
        <v>2956.4663846034218</v>
      </c>
    </row>
    <row r="8" spans="1:12" s="4" customFormat="1" ht="16">
      <c r="A8" s="7" t="s">
        <v>19</v>
      </c>
      <c r="B8" s="8"/>
      <c r="C8" s="8"/>
      <c r="D8" s="8"/>
      <c r="E8" s="8"/>
      <c r="F8" s="8"/>
      <c r="G8" s="8"/>
      <c r="H8" s="8"/>
      <c r="I8" s="8"/>
      <c r="J8" s="8"/>
      <c r="K8" s="8"/>
      <c r="L8" s="10">
        <f>L4*$K4/SUM($K4:$K7)+L5*$K5/SUM($K4:$K7)+L6*$K6/SUM($K4:$K7)+L7*$K7/SUM($K4:$K7)</f>
        <v>3727.3526936619046</v>
      </c>
    </row>
    <row r="9" spans="1:12" s="4" customFormat="1" ht="16">
      <c r="A9" s="7" t="s">
        <v>20</v>
      </c>
      <c r="B9" s="8"/>
      <c r="C9" s="8"/>
      <c r="D9" s="8"/>
      <c r="E9" s="8"/>
      <c r="F9" s="8"/>
      <c r="G9" s="8"/>
      <c r="H9" s="8"/>
      <c r="I9" s="8"/>
      <c r="J9" s="8"/>
      <c r="K9" s="8"/>
      <c r="L9" s="13">
        <f>L8*4.43</f>
        <v>16512.172432922238</v>
      </c>
    </row>
    <row r="10" spans="1:12">
      <c r="A10" s="7" t="s">
        <v>108</v>
      </c>
      <c r="L10" s="11">
        <f>L8/3</f>
        <v>1242.4508978873016</v>
      </c>
    </row>
    <row r="22" spans="7:7">
      <c r="G22" s="12"/>
    </row>
  </sheetData>
  <sheetProtection algorithmName="SHA-512" hashValue="aTXhIjsJI0f9VGQ+FyTDhWNRZg49WE3WlTbKEifP3TWExLFXjjRnx3CpO27XI3AXMz2voKvin/e7LkI3FygU1w==" saltValue="zeA/J2RxPKsj7P1OuB3itw=="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F4DAD-DC10-104D-918B-F210647CA0B3}">
  <sheetPr codeName="Sheet10">
    <tabColor theme="4"/>
  </sheetPr>
  <dimension ref="A1:K66"/>
  <sheetViews>
    <sheetView workbookViewId="0">
      <selection activeCell="E81" sqref="E81"/>
    </sheetView>
  </sheetViews>
  <sheetFormatPr baseColWidth="10" defaultColWidth="11" defaultRowHeight="16"/>
  <cols>
    <col min="1" max="1" width="21.1640625" customWidth="1"/>
    <col min="2" max="2" width="25.5" customWidth="1"/>
    <col min="3" max="3" width="12.5" customWidth="1"/>
    <col min="4" max="4" width="17.5" customWidth="1"/>
    <col min="5" max="5" width="17.1640625" customWidth="1"/>
    <col min="6" max="6" width="25.1640625" customWidth="1"/>
    <col min="7" max="7" width="18.83203125" customWidth="1"/>
    <col min="8" max="8" width="28.1640625" customWidth="1"/>
    <col min="9" max="9" width="19.33203125" customWidth="1"/>
    <col min="10" max="10" width="37.6640625" customWidth="1"/>
  </cols>
  <sheetData>
    <row r="1" spans="1:10">
      <c r="A1" s="27" t="s">
        <v>23</v>
      </c>
    </row>
    <row r="2" spans="1:10">
      <c r="A2" s="2" t="s">
        <v>40</v>
      </c>
      <c r="B2" s="2" t="s">
        <v>72</v>
      </c>
      <c r="C2" s="2" t="s">
        <v>44</v>
      </c>
      <c r="D2" s="2" t="s">
        <v>46</v>
      </c>
      <c r="E2" s="2" t="s">
        <v>45</v>
      </c>
      <c r="F2" s="2" t="s">
        <v>47</v>
      </c>
      <c r="G2" s="2" t="s">
        <v>48</v>
      </c>
      <c r="H2" s="2" t="s">
        <v>49</v>
      </c>
      <c r="I2" s="2" t="s">
        <v>50</v>
      </c>
      <c r="J2" s="2" t="s">
        <v>51</v>
      </c>
    </row>
    <row r="3" spans="1:10">
      <c r="A3" t="s">
        <v>41</v>
      </c>
      <c r="B3" t="s">
        <v>43</v>
      </c>
      <c r="C3">
        <v>48</v>
      </c>
      <c r="D3" t="s">
        <v>53</v>
      </c>
      <c r="E3" t="s">
        <v>53</v>
      </c>
      <c r="F3">
        <v>0.65</v>
      </c>
      <c r="G3">
        <v>0.35</v>
      </c>
      <c r="H3">
        <v>9.1999999999999993</v>
      </c>
      <c r="I3">
        <v>9.1999999999999993</v>
      </c>
      <c r="J3" t="s">
        <v>52</v>
      </c>
    </row>
    <row r="4" spans="1:10">
      <c r="A4" t="s">
        <v>42</v>
      </c>
      <c r="B4" t="s">
        <v>43</v>
      </c>
      <c r="C4">
        <v>2717</v>
      </c>
      <c r="D4">
        <v>0.28000000000000003</v>
      </c>
      <c r="E4">
        <v>0.72</v>
      </c>
      <c r="F4" t="s">
        <v>53</v>
      </c>
      <c r="G4" t="s">
        <v>53</v>
      </c>
      <c r="H4" t="s">
        <v>53</v>
      </c>
      <c r="I4" t="s">
        <v>53</v>
      </c>
      <c r="J4" t="s">
        <v>53</v>
      </c>
    </row>
    <row r="5" spans="1:10" ht="17" thickBot="1"/>
    <row r="6" spans="1:10" ht="17" thickBot="1">
      <c r="A6" s="93" t="s">
        <v>54</v>
      </c>
      <c r="B6" s="94"/>
      <c r="C6" s="94"/>
      <c r="D6" s="28">
        <v>0.28000000000000003</v>
      </c>
      <c r="E6" s="28">
        <v>0.72</v>
      </c>
      <c r="F6" s="28">
        <v>0.65</v>
      </c>
      <c r="G6" s="28">
        <v>0.35</v>
      </c>
      <c r="H6" s="28">
        <v>9.1999999999999993</v>
      </c>
      <c r="I6" s="29">
        <v>9.1999999999999993</v>
      </c>
    </row>
    <row r="9" spans="1:10">
      <c r="A9" s="27" t="s">
        <v>21</v>
      </c>
    </row>
    <row r="10" spans="1:10">
      <c r="A10" s="2" t="s">
        <v>40</v>
      </c>
      <c r="B10" s="2" t="s">
        <v>72</v>
      </c>
      <c r="C10" s="2" t="s">
        <v>44</v>
      </c>
      <c r="D10" s="2" t="s">
        <v>69</v>
      </c>
      <c r="E10" s="2" t="s">
        <v>45</v>
      </c>
      <c r="F10" s="2" t="s">
        <v>47</v>
      </c>
      <c r="G10" s="2" t="s">
        <v>48</v>
      </c>
      <c r="H10" s="2" t="s">
        <v>49</v>
      </c>
      <c r="I10" s="2" t="s">
        <v>50</v>
      </c>
      <c r="J10" s="2" t="s">
        <v>51</v>
      </c>
    </row>
    <row r="11" spans="1:10">
      <c r="A11" t="s">
        <v>55</v>
      </c>
      <c r="B11" t="s">
        <v>57</v>
      </c>
      <c r="C11">
        <v>366</v>
      </c>
      <c r="D11" t="s">
        <v>53</v>
      </c>
      <c r="E11" t="s">
        <v>53</v>
      </c>
      <c r="F11">
        <v>0.33</v>
      </c>
      <c r="G11">
        <v>0.67</v>
      </c>
      <c r="H11">
        <v>20</v>
      </c>
      <c r="I11">
        <v>20</v>
      </c>
      <c r="J11" t="s">
        <v>59</v>
      </c>
    </row>
    <row r="12" spans="1:10">
      <c r="A12" t="s">
        <v>56</v>
      </c>
      <c r="B12" t="s">
        <v>58</v>
      </c>
      <c r="C12">
        <v>1915</v>
      </c>
      <c r="D12">
        <v>0.72</v>
      </c>
      <c r="E12">
        <f>1-D12</f>
        <v>0.28000000000000003</v>
      </c>
      <c r="F12" t="s">
        <v>53</v>
      </c>
      <c r="G12" t="s">
        <v>53</v>
      </c>
      <c r="H12" t="s">
        <v>53</v>
      </c>
      <c r="I12" t="s">
        <v>53</v>
      </c>
      <c r="J12" t="s">
        <v>53</v>
      </c>
    </row>
    <row r="13" spans="1:10" ht="17" thickBot="1"/>
    <row r="14" spans="1:10" ht="17" thickBot="1">
      <c r="A14" s="93" t="s">
        <v>54</v>
      </c>
      <c r="B14" s="94"/>
      <c r="C14" s="94"/>
      <c r="D14" s="28">
        <v>0.72</v>
      </c>
      <c r="E14" s="28">
        <v>0.28000000000000003</v>
      </c>
      <c r="F14" s="28">
        <v>0.33</v>
      </c>
      <c r="G14" s="28">
        <v>0.67</v>
      </c>
      <c r="H14" s="28">
        <v>20</v>
      </c>
      <c r="I14" s="29">
        <v>20</v>
      </c>
    </row>
    <row r="17" spans="1:10">
      <c r="A17" s="27" t="s">
        <v>60</v>
      </c>
    </row>
    <row r="18" spans="1:10">
      <c r="A18" s="2" t="s">
        <v>40</v>
      </c>
      <c r="B18" s="2" t="s">
        <v>72</v>
      </c>
      <c r="C18" s="2" t="s">
        <v>44</v>
      </c>
      <c r="D18" s="2" t="s">
        <v>69</v>
      </c>
      <c r="E18" s="2" t="s">
        <v>45</v>
      </c>
      <c r="F18" s="2" t="s">
        <v>47</v>
      </c>
      <c r="G18" s="2" t="s">
        <v>48</v>
      </c>
      <c r="H18" s="2" t="s">
        <v>49</v>
      </c>
      <c r="I18" s="2" t="s">
        <v>50</v>
      </c>
      <c r="J18" s="2" t="s">
        <v>51</v>
      </c>
    </row>
    <row r="19" spans="1:10">
      <c r="A19" t="s">
        <v>61</v>
      </c>
      <c r="B19" t="s">
        <v>63</v>
      </c>
      <c r="C19">
        <v>173</v>
      </c>
      <c r="D19">
        <v>0.84</v>
      </c>
      <c r="E19">
        <v>0.16</v>
      </c>
      <c r="F19" t="s">
        <v>53</v>
      </c>
      <c r="G19" t="s">
        <v>53</v>
      </c>
      <c r="H19" t="s">
        <v>53</v>
      </c>
      <c r="I19" t="s">
        <v>53</v>
      </c>
      <c r="J19" t="s">
        <v>53</v>
      </c>
    </row>
    <row r="20" spans="1:10">
      <c r="A20" t="s">
        <v>41</v>
      </c>
      <c r="B20" t="s">
        <v>43</v>
      </c>
      <c r="C20">
        <v>200</v>
      </c>
      <c r="D20" t="s">
        <v>53</v>
      </c>
      <c r="E20" t="s">
        <v>53</v>
      </c>
      <c r="F20">
        <v>0.87</v>
      </c>
      <c r="G20">
        <v>0.13</v>
      </c>
      <c r="H20">
        <v>6.5</v>
      </c>
      <c r="I20">
        <v>6.5</v>
      </c>
      <c r="J20" t="s">
        <v>59</v>
      </c>
    </row>
    <row r="21" spans="1:10" ht="17">
      <c r="A21" s="1" t="s">
        <v>62</v>
      </c>
      <c r="B21" s="1" t="s">
        <v>64</v>
      </c>
      <c r="C21" s="1">
        <v>209</v>
      </c>
      <c r="D21" s="1" t="s">
        <v>53</v>
      </c>
      <c r="E21" t="s">
        <v>53</v>
      </c>
      <c r="F21" s="1">
        <v>0.88</v>
      </c>
      <c r="G21" s="1">
        <v>0.12</v>
      </c>
      <c r="H21" s="1">
        <v>4</v>
      </c>
      <c r="I21" s="1">
        <v>3</v>
      </c>
      <c r="J21" s="1" t="s">
        <v>59</v>
      </c>
    </row>
    <row r="23" spans="1:10" ht="17" thickBot="1"/>
    <row r="24" spans="1:10" ht="17" thickBot="1">
      <c r="A24" s="93" t="s">
        <v>54</v>
      </c>
      <c r="B24" s="94"/>
      <c r="C24" s="94"/>
      <c r="D24" s="28">
        <v>0.84</v>
      </c>
      <c r="E24" s="28">
        <v>0.16</v>
      </c>
      <c r="F24" s="30">
        <f>AVERAGE(F20:F21)</f>
        <v>0.875</v>
      </c>
      <c r="G24" s="30">
        <f>AVERAGE(G20:G21)</f>
        <v>0.125</v>
      </c>
      <c r="H24" s="30">
        <f t="shared" ref="H24:I24" si="0">AVERAGE(H20:H21)</f>
        <v>5.25</v>
      </c>
      <c r="I24" s="29">
        <f t="shared" si="0"/>
        <v>4.75</v>
      </c>
    </row>
    <row r="26" spans="1:10">
      <c r="A26" s="27" t="s">
        <v>22</v>
      </c>
    </row>
    <row r="27" spans="1:10">
      <c r="A27" s="2" t="s">
        <v>40</v>
      </c>
      <c r="B27" s="2" t="s">
        <v>72</v>
      </c>
      <c r="C27" s="2" t="s">
        <v>44</v>
      </c>
      <c r="D27" s="2" t="s">
        <v>69</v>
      </c>
      <c r="E27" s="2" t="s">
        <v>45</v>
      </c>
      <c r="F27" s="2" t="s">
        <v>47</v>
      </c>
      <c r="G27" s="2" t="s">
        <v>48</v>
      </c>
      <c r="H27" s="2" t="s">
        <v>49</v>
      </c>
      <c r="I27" s="2" t="s">
        <v>50</v>
      </c>
      <c r="J27" s="2" t="s">
        <v>51</v>
      </c>
    </row>
    <row r="28" spans="1:10" ht="17">
      <c r="A28" s="1" t="s">
        <v>66</v>
      </c>
      <c r="B28" s="1" t="s">
        <v>67</v>
      </c>
      <c r="C28" s="1">
        <v>393</v>
      </c>
      <c r="D28" s="1" t="s">
        <v>53</v>
      </c>
      <c r="E28" s="1" t="s">
        <v>53</v>
      </c>
      <c r="F28" s="1">
        <v>0.9</v>
      </c>
      <c r="G28" s="1">
        <v>0.1</v>
      </c>
      <c r="H28" s="1">
        <v>11.4</v>
      </c>
      <c r="I28" s="1">
        <v>7.45</v>
      </c>
      <c r="J28" s="1" t="s">
        <v>52</v>
      </c>
    </row>
    <row r="29" spans="1:10">
      <c r="A29" t="s">
        <v>68</v>
      </c>
      <c r="B29" t="s">
        <v>64</v>
      </c>
      <c r="C29">
        <v>305</v>
      </c>
      <c r="D29">
        <v>0.51</v>
      </c>
      <c r="E29">
        <v>0.49</v>
      </c>
      <c r="F29" t="s">
        <v>53</v>
      </c>
      <c r="G29" t="s">
        <v>53</v>
      </c>
      <c r="H29" t="s">
        <v>53</v>
      </c>
      <c r="I29" t="s">
        <v>53</v>
      </c>
    </row>
    <row r="31" spans="1:10" ht="17" thickBot="1"/>
    <row r="32" spans="1:10" ht="17" thickBot="1">
      <c r="A32" s="93" t="s">
        <v>54</v>
      </c>
      <c r="B32" s="94"/>
      <c r="C32" s="94"/>
      <c r="D32" s="28">
        <v>0.51</v>
      </c>
      <c r="E32" s="28">
        <v>0.49</v>
      </c>
      <c r="F32" s="30">
        <v>0.9</v>
      </c>
      <c r="G32" s="30">
        <v>0.1</v>
      </c>
      <c r="H32" s="30">
        <v>11.4</v>
      </c>
      <c r="I32" s="29">
        <v>7.45</v>
      </c>
    </row>
    <row r="34" spans="1:10">
      <c r="A34" s="27" t="s">
        <v>70</v>
      </c>
    </row>
    <row r="35" spans="1:10">
      <c r="A35" s="2" t="s">
        <v>40</v>
      </c>
      <c r="B35" s="2" t="s">
        <v>72</v>
      </c>
      <c r="C35" s="2" t="s">
        <v>44</v>
      </c>
      <c r="D35" s="2" t="s">
        <v>69</v>
      </c>
      <c r="E35" s="2" t="s">
        <v>45</v>
      </c>
      <c r="F35" s="2" t="s">
        <v>47</v>
      </c>
      <c r="G35" s="2" t="s">
        <v>48</v>
      </c>
      <c r="H35" s="2" t="s">
        <v>49</v>
      </c>
      <c r="I35" s="2" t="s">
        <v>50</v>
      </c>
      <c r="J35" s="2" t="s">
        <v>51</v>
      </c>
    </row>
    <row r="36" spans="1:10">
      <c r="A36" t="s">
        <v>71</v>
      </c>
      <c r="B36" t="s">
        <v>57</v>
      </c>
      <c r="C36">
        <v>203</v>
      </c>
      <c r="D36">
        <v>0.37</v>
      </c>
      <c r="E36">
        <v>0.63</v>
      </c>
      <c r="F36">
        <v>0.72</v>
      </c>
      <c r="G36">
        <v>0.28000000000000003</v>
      </c>
      <c r="H36">
        <v>5.8</v>
      </c>
      <c r="I36">
        <v>2.7</v>
      </c>
      <c r="J36" t="s">
        <v>52</v>
      </c>
    </row>
    <row r="37" spans="1:10" ht="17">
      <c r="A37" t="s">
        <v>41</v>
      </c>
      <c r="B37" t="s">
        <v>43</v>
      </c>
      <c r="C37" s="1">
        <v>240</v>
      </c>
      <c r="D37" s="1" t="s">
        <v>53</v>
      </c>
      <c r="E37" s="1" t="s">
        <v>53</v>
      </c>
      <c r="F37" s="1">
        <v>0.6</v>
      </c>
      <c r="G37" s="1">
        <v>0.4</v>
      </c>
      <c r="H37" s="1">
        <v>11.6</v>
      </c>
      <c r="I37" s="1">
        <v>11.6</v>
      </c>
      <c r="J37" s="1" t="s">
        <v>52</v>
      </c>
    </row>
    <row r="39" spans="1:10" ht="17" thickBot="1"/>
    <row r="40" spans="1:10" ht="17" thickBot="1">
      <c r="A40" s="93" t="s">
        <v>54</v>
      </c>
      <c r="B40" s="94"/>
      <c r="C40" s="94"/>
      <c r="D40" s="28">
        <v>0.37</v>
      </c>
      <c r="E40" s="28">
        <v>0.63</v>
      </c>
      <c r="F40" s="30">
        <f>AVERAGE(F36:F37)</f>
        <v>0.65999999999999992</v>
      </c>
      <c r="G40" s="30">
        <f>AVERAGE(G36:G37)</f>
        <v>0.34</v>
      </c>
      <c r="H40" s="30">
        <f>AVERAGE(H36:H37)</f>
        <v>8.6999999999999993</v>
      </c>
      <c r="I40" s="29">
        <f>AVERAGE(I36:I37)</f>
        <v>7.15</v>
      </c>
    </row>
    <row r="42" spans="1:10">
      <c r="A42" s="27" t="s">
        <v>73</v>
      </c>
    </row>
    <row r="43" spans="1:10">
      <c r="A43" s="2" t="s">
        <v>40</v>
      </c>
      <c r="B43" s="2" t="s">
        <v>72</v>
      </c>
      <c r="C43" s="2" t="s">
        <v>44</v>
      </c>
      <c r="D43" s="2" t="s">
        <v>69</v>
      </c>
      <c r="E43" s="2" t="s">
        <v>45</v>
      </c>
      <c r="F43" s="2" t="s">
        <v>47</v>
      </c>
      <c r="G43" s="2" t="s">
        <v>48</v>
      </c>
      <c r="H43" s="2" t="s">
        <v>49</v>
      </c>
      <c r="I43" s="2" t="s">
        <v>50</v>
      </c>
      <c r="J43" s="2" t="s">
        <v>51</v>
      </c>
    </row>
    <row r="44" spans="1:10">
      <c r="A44" t="s">
        <v>74</v>
      </c>
      <c r="B44" t="s">
        <v>57</v>
      </c>
      <c r="C44">
        <v>447</v>
      </c>
      <c r="D44">
        <v>0.25</v>
      </c>
      <c r="E44">
        <v>0.75</v>
      </c>
      <c r="F44" t="s">
        <v>53</v>
      </c>
      <c r="G44" t="s">
        <v>53</v>
      </c>
      <c r="H44">
        <v>2</v>
      </c>
      <c r="I44" t="s">
        <v>53</v>
      </c>
      <c r="J44" t="s">
        <v>59</v>
      </c>
    </row>
    <row r="45" spans="1:10" ht="17">
      <c r="A45" s="1" t="s">
        <v>75</v>
      </c>
      <c r="B45" s="1" t="s">
        <v>78</v>
      </c>
      <c r="C45">
        <v>122</v>
      </c>
      <c r="D45" t="s">
        <v>53</v>
      </c>
      <c r="E45" t="s">
        <v>53</v>
      </c>
      <c r="F45" s="1" t="s">
        <v>53</v>
      </c>
      <c r="G45" s="1" t="s">
        <v>53</v>
      </c>
      <c r="H45" s="1">
        <v>2</v>
      </c>
      <c r="I45" s="1">
        <v>4</v>
      </c>
      <c r="J45" s="1" t="s">
        <v>52</v>
      </c>
    </row>
    <row r="46" spans="1:10">
      <c r="A46" t="s">
        <v>76</v>
      </c>
      <c r="B46" t="s">
        <v>77</v>
      </c>
      <c r="C46">
        <v>71</v>
      </c>
      <c r="D46" t="s">
        <v>53</v>
      </c>
      <c r="E46" t="s">
        <v>53</v>
      </c>
      <c r="F46">
        <v>0.94</v>
      </c>
      <c r="G46">
        <v>0.06</v>
      </c>
      <c r="H46" t="s">
        <v>53</v>
      </c>
      <c r="I46" t="s">
        <v>53</v>
      </c>
      <c r="J46" t="s">
        <v>53</v>
      </c>
    </row>
    <row r="48" spans="1:10" ht="17" thickBot="1"/>
    <row r="49" spans="1:11" ht="17" thickBot="1">
      <c r="A49" s="93" t="s">
        <v>54</v>
      </c>
      <c r="B49" s="94"/>
      <c r="C49" s="94"/>
      <c r="D49" s="28">
        <v>0.25</v>
      </c>
      <c r="E49" s="28">
        <v>0.75</v>
      </c>
      <c r="F49" s="30">
        <v>0.94</v>
      </c>
      <c r="G49" s="30">
        <v>0.06</v>
      </c>
      <c r="H49" s="30">
        <v>2</v>
      </c>
      <c r="I49" s="29">
        <v>4</v>
      </c>
      <c r="J49" s="1"/>
    </row>
    <row r="51" spans="1:11">
      <c r="A51" s="27" t="s">
        <v>94</v>
      </c>
    </row>
    <row r="52" spans="1:11">
      <c r="A52" s="2" t="s">
        <v>40</v>
      </c>
      <c r="B52" s="2" t="s">
        <v>72</v>
      </c>
      <c r="C52" s="2" t="s">
        <v>44</v>
      </c>
      <c r="D52" s="2" t="s">
        <v>69</v>
      </c>
      <c r="E52" s="2" t="s">
        <v>45</v>
      </c>
      <c r="F52" s="2" t="s">
        <v>47</v>
      </c>
      <c r="G52" s="2" t="s">
        <v>48</v>
      </c>
      <c r="H52" s="2" t="s">
        <v>49</v>
      </c>
      <c r="I52" s="2" t="s">
        <v>50</v>
      </c>
      <c r="J52" s="2" t="s">
        <v>51</v>
      </c>
    </row>
    <row r="53" spans="1:11">
      <c r="A53" t="s">
        <v>100</v>
      </c>
      <c r="B53" t="s">
        <v>57</v>
      </c>
      <c r="C53">
        <v>100</v>
      </c>
      <c r="D53">
        <v>0.25</v>
      </c>
      <c r="E53">
        <v>0.75</v>
      </c>
      <c r="F53" t="s">
        <v>53</v>
      </c>
      <c r="G53" t="s">
        <v>53</v>
      </c>
      <c r="H53" t="s">
        <v>53</v>
      </c>
      <c r="I53" t="s">
        <v>53</v>
      </c>
      <c r="J53" t="s">
        <v>53</v>
      </c>
    </row>
    <row r="54" spans="1:11">
      <c r="A54" t="s">
        <v>42</v>
      </c>
      <c r="B54" t="s">
        <v>43</v>
      </c>
      <c r="C54">
        <v>2717</v>
      </c>
      <c r="D54">
        <v>0.28000000000000003</v>
      </c>
      <c r="E54">
        <v>0.72</v>
      </c>
      <c r="F54" t="s">
        <v>53</v>
      </c>
      <c r="G54" t="s">
        <v>53</v>
      </c>
      <c r="H54" t="s">
        <v>53</v>
      </c>
      <c r="I54" t="s">
        <v>53</v>
      </c>
      <c r="J54" t="s">
        <v>53</v>
      </c>
    </row>
    <row r="55" spans="1:11">
      <c r="A55" t="s">
        <v>41</v>
      </c>
      <c r="B55" t="s">
        <v>43</v>
      </c>
      <c r="C55">
        <v>48</v>
      </c>
      <c r="D55" t="s">
        <v>53</v>
      </c>
      <c r="E55" t="s">
        <v>53</v>
      </c>
      <c r="F55">
        <v>0.65</v>
      </c>
      <c r="G55">
        <v>0.35</v>
      </c>
      <c r="H55">
        <v>9.1999999999999993</v>
      </c>
      <c r="I55">
        <v>9.1999999999999993</v>
      </c>
      <c r="J55" t="s">
        <v>52</v>
      </c>
      <c r="K55" t="s">
        <v>101</v>
      </c>
    </row>
    <row r="56" spans="1:11" ht="17" thickBot="1"/>
    <row r="57" spans="1:11" ht="17" thickBot="1">
      <c r="A57" s="93" t="s">
        <v>54</v>
      </c>
      <c r="B57" s="94"/>
      <c r="C57" s="94"/>
      <c r="D57" s="34">
        <f>AVERAGE(D53:D54)</f>
        <v>0.26500000000000001</v>
      </c>
      <c r="E57" s="34">
        <f>AVERAGE(E53:E54)</f>
        <v>0.73499999999999999</v>
      </c>
      <c r="F57" s="30">
        <v>0.65</v>
      </c>
      <c r="G57" s="30">
        <v>0.35</v>
      </c>
      <c r="H57" s="30">
        <v>9.1999999999999993</v>
      </c>
      <c r="I57" s="29">
        <v>9.1999999999999993</v>
      </c>
    </row>
    <row r="60" spans="1:11">
      <c r="A60" s="27" t="s">
        <v>109</v>
      </c>
    </row>
    <row r="61" spans="1:11">
      <c r="A61" s="2" t="s">
        <v>40</v>
      </c>
      <c r="B61" s="2" t="s">
        <v>72</v>
      </c>
      <c r="C61" s="2" t="s">
        <v>44</v>
      </c>
      <c r="D61" s="2" t="s">
        <v>90</v>
      </c>
      <c r="E61" s="2" t="s">
        <v>110</v>
      </c>
    </row>
    <row r="62" spans="1:11">
      <c r="A62" t="s">
        <v>111</v>
      </c>
      <c r="B62" t="s">
        <v>78</v>
      </c>
      <c r="C62">
        <v>7145</v>
      </c>
      <c r="D62" t="s">
        <v>91</v>
      </c>
      <c r="E62">
        <v>0.42</v>
      </c>
    </row>
    <row r="63" spans="1:11">
      <c r="A63" t="s">
        <v>117</v>
      </c>
      <c r="B63" t="s">
        <v>57</v>
      </c>
      <c r="C63">
        <v>1915</v>
      </c>
      <c r="D63" t="s">
        <v>21</v>
      </c>
      <c r="E63">
        <v>0.16</v>
      </c>
    </row>
    <row r="64" spans="1:11">
      <c r="A64" t="s">
        <v>111</v>
      </c>
      <c r="B64" t="s">
        <v>78</v>
      </c>
      <c r="C64">
        <v>7145</v>
      </c>
      <c r="D64" t="s">
        <v>0</v>
      </c>
      <c r="E64">
        <v>0.13</v>
      </c>
    </row>
    <row r="65" spans="1:5">
      <c r="A65" t="s">
        <v>115</v>
      </c>
      <c r="B65" t="s">
        <v>116</v>
      </c>
      <c r="C65">
        <v>1147</v>
      </c>
      <c r="D65" t="s">
        <v>70</v>
      </c>
      <c r="E65">
        <v>0.15</v>
      </c>
    </row>
    <row r="66" spans="1:5">
      <c r="D66" t="s">
        <v>113</v>
      </c>
      <c r="E66">
        <f>1-SUM(E62:E65)</f>
        <v>0.14000000000000001</v>
      </c>
    </row>
  </sheetData>
  <mergeCells count="7">
    <mergeCell ref="A49:C49"/>
    <mergeCell ref="A57:C57"/>
    <mergeCell ref="A6:C6"/>
    <mergeCell ref="A14:C14"/>
    <mergeCell ref="A24:C24"/>
    <mergeCell ref="A32:C32"/>
    <mergeCell ref="A40:C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MOSAIC</vt:lpstr>
      <vt:lpstr>Overview</vt:lpstr>
      <vt:lpstr>Inputs &amp; Results</vt:lpstr>
      <vt:lpstr>Public Hospital Costs</vt:lpstr>
      <vt:lpstr>Inpatient&amp;OutpatientUtilisation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Sumaiyah Docrat</dc:creator>
  <cp:lastModifiedBy>Sumaiyah Docrat</cp:lastModifiedBy>
  <dcterms:created xsi:type="dcterms:W3CDTF">2020-06-17T10:28:47Z</dcterms:created>
  <dcterms:modified xsi:type="dcterms:W3CDTF">2020-07-13T09:19:51Z</dcterms:modified>
</cp:coreProperties>
</file>