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filterPrivacy="1" defaultThemeVersion="166925"/>
  <xr:revisionPtr revIDLastSave="0" documentId="13_ncr:1_{A6B7804B-C8DC-7B4C-917D-ED2FA12409B9}" xr6:coauthVersionLast="45" xr6:coauthVersionMax="45" xr10:uidLastSave="{00000000-0000-0000-0000-000000000000}"/>
  <bookViews>
    <workbookView xWindow="0" yWindow="0" windowWidth="14280" windowHeight="18000" xr2:uid="{59D2F9BA-ADA3-1D41-A34C-F9E9968E7C37}"/>
  </bookViews>
  <sheets>
    <sheet name="Front Page" sheetId="13" r:id="rId1"/>
    <sheet name="1. Reference materials" sheetId="1" r:id="rId2"/>
    <sheet name="2. Geochemical Static Tests" sheetId="14" r:id="rId3"/>
    <sheet name="3. Particle Size Distribution" sheetId="12" r:id="rId4"/>
    <sheet name="4. Total S" sheetId="9" r:id="rId5"/>
    <sheet name="5. Bulk Mineralogy and Elements" sheetId="4" r:id="rId6"/>
    <sheet name="6. Humidity Cell Test" sheetId="15"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5" i="4" l="1"/>
  <c r="E115" i="4"/>
  <c r="F115" i="4"/>
  <c r="D116" i="4"/>
  <c r="E116" i="4"/>
  <c r="F116" i="4"/>
  <c r="D117" i="4"/>
  <c r="E117" i="4"/>
  <c r="D118" i="4"/>
  <c r="E118" i="4"/>
  <c r="F118" i="4"/>
  <c r="D119" i="4"/>
  <c r="E119" i="4"/>
  <c r="F119" i="4"/>
  <c r="D120" i="4"/>
  <c r="E120" i="4"/>
  <c r="F120" i="4"/>
  <c r="D121" i="4"/>
  <c r="E121" i="4"/>
  <c r="F121" i="4"/>
  <c r="D122" i="4"/>
  <c r="E122" i="4"/>
  <c r="F122" i="4"/>
  <c r="D123" i="4"/>
  <c r="E123" i="4"/>
  <c r="F123" i="4"/>
  <c r="D124" i="4"/>
  <c r="E124" i="4"/>
  <c r="F124" i="4"/>
  <c r="D125" i="4"/>
  <c r="E125" i="4"/>
  <c r="F125" i="4"/>
  <c r="D126" i="4"/>
  <c r="E126" i="4"/>
  <c r="F126" i="4"/>
  <c r="C116" i="4"/>
  <c r="C117" i="4"/>
  <c r="C118" i="4"/>
  <c r="C119" i="4"/>
  <c r="C120" i="4"/>
  <c r="C121" i="4"/>
  <c r="C122" i="4"/>
  <c r="C123" i="4"/>
  <c r="C124" i="4"/>
  <c r="C125" i="4"/>
  <c r="C126" i="4"/>
  <c r="C115" i="4"/>
  <c r="AI12" i="4" l="1"/>
  <c r="AI11" i="4"/>
  <c r="AI10" i="4"/>
  <c r="AI9" i="4"/>
  <c r="AI8" i="4"/>
  <c r="AI7" i="4"/>
  <c r="AI6" i="4"/>
  <c r="AI5" i="4"/>
  <c r="AE12" i="4"/>
  <c r="AE11" i="4"/>
  <c r="AE10" i="4"/>
  <c r="AE9" i="4"/>
  <c r="AE8" i="4"/>
  <c r="AE7" i="4"/>
  <c r="AE6" i="4"/>
  <c r="AE5" i="4"/>
  <c r="AA12" i="4"/>
  <c r="AA11" i="4"/>
  <c r="AA10" i="4"/>
  <c r="AA9" i="4"/>
  <c r="AA8" i="4"/>
  <c r="AA7" i="4"/>
  <c r="AA6" i="4"/>
  <c r="AA5" i="4"/>
  <c r="W12" i="4"/>
  <c r="W11" i="4"/>
  <c r="W10" i="4"/>
  <c r="W9" i="4"/>
  <c r="W8" i="4"/>
  <c r="W7" i="4"/>
  <c r="W6" i="4"/>
  <c r="W5" i="4"/>
  <c r="C61" i="14" l="1"/>
  <c r="C62" i="14"/>
  <c r="K45" i="14" l="1"/>
  <c r="K44" i="14"/>
  <c r="K43" i="14"/>
  <c r="K42" i="14"/>
  <c r="J45" i="14"/>
  <c r="J44" i="14"/>
  <c r="J43" i="14"/>
  <c r="J42" i="14"/>
  <c r="L4" i="9" l="1"/>
  <c r="C56" i="14"/>
  <c r="C55" i="14"/>
  <c r="C59" i="14"/>
  <c r="C58" i="14"/>
  <c r="C64" i="14"/>
  <c r="C65" i="14"/>
  <c r="E55" i="14" l="1"/>
  <c r="E64" i="14"/>
  <c r="E61" i="14"/>
  <c r="E58" i="14"/>
  <c r="D52" i="14"/>
  <c r="D51" i="14"/>
  <c r="G49" i="14" l="1"/>
  <c r="L5" i="9"/>
  <c r="D49" i="14" l="1"/>
  <c r="D50" i="14"/>
  <c r="C66" i="14"/>
  <c r="F64" i="14" s="1"/>
  <c r="C63" i="14"/>
  <c r="F61" i="14" s="1"/>
  <c r="C60" i="14"/>
  <c r="F58" i="14" s="1"/>
  <c r="C57" i="14"/>
  <c r="F55" i="14" s="1"/>
  <c r="F50" i="14" l="1"/>
  <c r="F49" i="14"/>
  <c r="D61" i="14" l="1"/>
  <c r="D58" i="14"/>
  <c r="D55" i="14"/>
  <c r="B70" i="14" s="1"/>
  <c r="D64" i="14"/>
  <c r="B73" i="14" s="1"/>
  <c r="G61" i="14" l="1"/>
  <c r="B72" i="14"/>
  <c r="D73" i="14"/>
  <c r="D72" i="14"/>
  <c r="D71" i="14"/>
  <c r="D70" i="14"/>
  <c r="C43" i="14" l="1"/>
  <c r="C42" i="14"/>
  <c r="B43" i="14"/>
  <c r="B42" i="14"/>
  <c r="D42" i="14" s="1"/>
  <c r="A70" i="14" l="1"/>
  <c r="G64" i="14"/>
  <c r="F73" i="14" s="1"/>
  <c r="F72" i="14"/>
  <c r="B71" i="14"/>
  <c r="G55" i="14"/>
  <c r="F70" i="14" s="1"/>
  <c r="D43" i="14"/>
  <c r="A71" i="14" s="1"/>
  <c r="G38" i="14"/>
  <c r="G37" i="14"/>
  <c r="G36" i="14"/>
  <c r="K35" i="14"/>
  <c r="G45" i="14" s="1"/>
  <c r="J35" i="14"/>
  <c r="G35" i="14"/>
  <c r="G34" i="14"/>
  <c r="G33" i="14"/>
  <c r="G32" i="14"/>
  <c r="K31" i="14"/>
  <c r="G44" i="14" s="1"/>
  <c r="J31" i="14"/>
  <c r="G31" i="14"/>
  <c r="G30" i="14"/>
  <c r="G29" i="14"/>
  <c r="G28" i="14"/>
  <c r="K27" i="14"/>
  <c r="G43" i="14" s="1"/>
  <c r="J27" i="14"/>
  <c r="G27" i="14"/>
  <c r="G26" i="14"/>
  <c r="G25" i="14"/>
  <c r="G24" i="14"/>
  <c r="K23" i="14"/>
  <c r="G42" i="14" s="1"/>
  <c r="J23" i="14"/>
  <c r="G23" i="14"/>
  <c r="I19" i="14"/>
  <c r="I18" i="14"/>
  <c r="I17" i="14"/>
  <c r="I16" i="14"/>
  <c r="I15" i="14"/>
  <c r="I14" i="14"/>
  <c r="I13" i="14"/>
  <c r="I12" i="14"/>
  <c r="I11" i="14"/>
  <c r="I10" i="14"/>
  <c r="I9" i="14"/>
  <c r="I8" i="14"/>
  <c r="I7" i="14"/>
  <c r="I6" i="14"/>
  <c r="I5" i="14"/>
  <c r="I4" i="14"/>
  <c r="K10" i="14" l="1"/>
  <c r="K7" i="14"/>
  <c r="I35" i="14"/>
  <c r="I23" i="14"/>
  <c r="I31" i="14"/>
  <c r="I27" i="14"/>
  <c r="J10" i="14"/>
  <c r="F44" i="14" s="1"/>
  <c r="K4" i="14"/>
  <c r="K15" i="14"/>
  <c r="G58" i="14"/>
  <c r="F71" i="14" s="1"/>
  <c r="J4" i="14"/>
  <c r="F42" i="14" s="1"/>
  <c r="H23" i="14"/>
  <c r="H27" i="14"/>
  <c r="H31" i="14"/>
  <c r="H35" i="14"/>
  <c r="J7" i="14"/>
  <c r="F43" i="14" s="1"/>
  <c r="J15" i="14"/>
  <c r="F45" i="14" s="1"/>
  <c r="E42" i="14"/>
  <c r="I42" i="14" s="1"/>
  <c r="E43" i="14"/>
  <c r="I43" i="14" s="1"/>
  <c r="C73" i="14" l="1"/>
  <c r="H43" i="14"/>
  <c r="E71" i="14" s="1"/>
  <c r="C71" i="14"/>
  <c r="H42" i="14"/>
  <c r="E70" i="14" s="1"/>
  <c r="C70" i="14"/>
  <c r="C72" i="14"/>
  <c r="L37" i="12" l="1"/>
  <c r="M31" i="12" s="1"/>
  <c r="K35" i="12"/>
  <c r="K34" i="12"/>
  <c r="K33" i="12"/>
  <c r="K32" i="12"/>
  <c r="K31" i="12"/>
  <c r="K30" i="12"/>
  <c r="M25" i="12"/>
  <c r="M22" i="12"/>
  <c r="K24" i="12"/>
  <c r="K23" i="12"/>
  <c r="L29" i="12"/>
  <c r="M26" i="12" s="1"/>
  <c r="K27" i="12"/>
  <c r="K26" i="12"/>
  <c r="K25" i="12"/>
  <c r="K22" i="12"/>
  <c r="L21" i="12"/>
  <c r="M17" i="12" s="1"/>
  <c r="K19" i="12"/>
  <c r="K18" i="12"/>
  <c r="K17" i="12"/>
  <c r="K16" i="12"/>
  <c r="K15" i="12"/>
  <c r="K14" i="12"/>
  <c r="K13" i="12"/>
  <c r="M6" i="12"/>
  <c r="K5" i="12"/>
  <c r="L12" i="12"/>
  <c r="M7" i="12" s="1"/>
  <c r="K10" i="12"/>
  <c r="K9" i="12"/>
  <c r="K8" i="12"/>
  <c r="K7" i="12"/>
  <c r="K6" i="12"/>
  <c r="K4" i="12"/>
  <c r="D39" i="12"/>
  <c r="E33" i="12" s="1"/>
  <c r="C37" i="12"/>
  <c r="C36" i="12"/>
  <c r="C35" i="12"/>
  <c r="C34" i="12"/>
  <c r="C33" i="12"/>
  <c r="C32" i="12"/>
  <c r="D31" i="12"/>
  <c r="E25" i="12" s="1"/>
  <c r="C29" i="12"/>
  <c r="C28" i="12"/>
  <c r="C27" i="12"/>
  <c r="C26" i="12"/>
  <c r="C25" i="12"/>
  <c r="C24" i="12"/>
  <c r="D23" i="12"/>
  <c r="C21" i="12"/>
  <c r="C20" i="12"/>
  <c r="C19" i="12"/>
  <c r="C18" i="12"/>
  <c r="C17" i="12"/>
  <c r="C16" i="12"/>
  <c r="C15" i="12"/>
  <c r="C14" i="12"/>
  <c r="D13" i="12"/>
  <c r="E5" i="12" s="1"/>
  <c r="C4" i="12"/>
  <c r="C11" i="12"/>
  <c r="C6" i="12"/>
  <c r="C7" i="12"/>
  <c r="C8" i="12"/>
  <c r="C9" i="12"/>
  <c r="C10" i="12"/>
  <c r="C5" i="12"/>
  <c r="M28" i="12" l="1"/>
  <c r="M24" i="12"/>
  <c r="M27" i="12"/>
  <c r="M23" i="12"/>
  <c r="M10" i="12"/>
  <c r="M34" i="12"/>
  <c r="M30" i="12"/>
  <c r="N30" i="12" s="1"/>
  <c r="O30" i="12" s="1"/>
  <c r="M33" i="12"/>
  <c r="M36" i="12"/>
  <c r="M32" i="12"/>
  <c r="M35" i="12"/>
  <c r="M13" i="12"/>
  <c r="N13" i="12" s="1"/>
  <c r="O13" i="12" s="1"/>
  <c r="M16" i="12"/>
  <c r="M20" i="12"/>
  <c r="M14" i="12"/>
  <c r="N14" i="12" s="1"/>
  <c r="O14" i="12" s="1"/>
  <c r="M18" i="12"/>
  <c r="M9" i="12"/>
  <c r="M11" i="12"/>
  <c r="M5" i="12"/>
  <c r="M8" i="12"/>
  <c r="M4" i="12"/>
  <c r="M19" i="12"/>
  <c r="M15" i="12"/>
  <c r="N22" i="12"/>
  <c r="O22" i="12" s="1"/>
  <c r="N4" i="12"/>
  <c r="O4" i="12" s="1"/>
  <c r="E36" i="12"/>
  <c r="E32" i="12"/>
  <c r="F32" i="12" s="1"/>
  <c r="G32" i="12" s="1"/>
  <c r="E35" i="12"/>
  <c r="E38" i="12"/>
  <c r="E34" i="12"/>
  <c r="E28" i="12"/>
  <c r="E37" i="12"/>
  <c r="E24" i="12"/>
  <c r="F24" i="12" s="1"/>
  <c r="E27" i="12"/>
  <c r="E30" i="12"/>
  <c r="E26" i="12"/>
  <c r="E29" i="12"/>
  <c r="E19" i="12"/>
  <c r="E15" i="12"/>
  <c r="E14" i="12"/>
  <c r="F14" i="12" s="1"/>
  <c r="G14" i="12" s="1"/>
  <c r="E18" i="12"/>
  <c r="E22" i="12"/>
  <c r="E21" i="12"/>
  <c r="E17" i="12"/>
  <c r="E20" i="12"/>
  <c r="E16" i="12"/>
  <c r="E12" i="12"/>
  <c r="E8" i="12"/>
  <c r="E11" i="12"/>
  <c r="E7" i="12"/>
  <c r="E10" i="12"/>
  <c r="E6" i="12"/>
  <c r="E4" i="12"/>
  <c r="F4" i="12" s="1"/>
  <c r="G4" i="12" s="1"/>
  <c r="E9" i="12"/>
  <c r="N23" i="12" l="1"/>
  <c r="O23" i="12" s="1"/>
  <c r="N31" i="12"/>
  <c r="O31" i="12" s="1"/>
  <c r="N5" i="12"/>
  <c r="N6" i="12" s="1"/>
  <c r="N7" i="12" s="1"/>
  <c r="N8" i="12" s="1"/>
  <c r="N9" i="12" s="1"/>
  <c r="N10" i="12" s="1"/>
  <c r="N11" i="12" s="1"/>
  <c r="N15" i="12"/>
  <c r="O5" i="12"/>
  <c r="F33" i="12"/>
  <c r="G33" i="12" s="1"/>
  <c r="G24" i="12"/>
  <c r="F25" i="12"/>
  <c r="G25" i="12" s="1"/>
  <c r="F5" i="12"/>
  <c r="G5" i="12" s="1"/>
  <c r="F15" i="12"/>
  <c r="G15" i="12" s="1"/>
  <c r="N32" i="12" l="1"/>
  <c r="O32" i="12" s="1"/>
  <c r="N24" i="12"/>
  <c r="N25" i="12" s="1"/>
  <c r="N26" i="12" s="1"/>
  <c r="N27" i="12" s="1"/>
  <c r="N28" i="12" s="1"/>
  <c r="O25" i="12"/>
  <c r="O26" i="12"/>
  <c r="O15" i="12"/>
  <c r="N16" i="12"/>
  <c r="O6" i="12"/>
  <c r="F26" i="12"/>
  <c r="F27" i="12" s="1"/>
  <c r="F28" i="12" s="1"/>
  <c r="F29" i="12" s="1"/>
  <c r="F30" i="12" s="1"/>
  <c r="F34" i="12"/>
  <c r="F6" i="12"/>
  <c r="F7" i="12" s="1"/>
  <c r="F16" i="12"/>
  <c r="G16" i="12" s="1"/>
  <c r="G26" i="12"/>
  <c r="O24" i="12" l="1"/>
  <c r="N33" i="12"/>
  <c r="O33" i="12" s="1"/>
  <c r="O27" i="12"/>
  <c r="O28" i="12"/>
  <c r="O16" i="12"/>
  <c r="N17" i="12"/>
  <c r="G34" i="12"/>
  <c r="F35" i="12"/>
  <c r="G6" i="12"/>
  <c r="F17" i="12"/>
  <c r="G17" i="12" s="1"/>
  <c r="G27" i="12"/>
  <c r="F8" i="12"/>
  <c r="G7" i="12"/>
  <c r="N34" i="12" l="1"/>
  <c r="N35" i="12" s="1"/>
  <c r="O17" i="12"/>
  <c r="N18" i="12"/>
  <c r="O7" i="12"/>
  <c r="F36" i="12"/>
  <c r="F37" i="12" s="1"/>
  <c r="G37" i="12" s="1"/>
  <c r="G35" i="12"/>
  <c r="F18" i="12"/>
  <c r="G18" i="12" s="1"/>
  <c r="G28" i="12"/>
  <c r="F9" i="12"/>
  <c r="G8" i="12"/>
  <c r="O34" i="12" l="1"/>
  <c r="O35" i="12"/>
  <c r="N36" i="12"/>
  <c r="O36" i="12" s="1"/>
  <c r="N19" i="12"/>
  <c r="O18" i="12"/>
  <c r="O8" i="12"/>
  <c r="G36" i="12"/>
  <c r="F19" i="12"/>
  <c r="G29" i="12"/>
  <c r="F10" i="12"/>
  <c r="F11" i="12" s="1"/>
  <c r="G9" i="12"/>
  <c r="O19" i="12" l="1"/>
  <c r="N20" i="12"/>
  <c r="O20" i="12" s="1"/>
  <c r="O10" i="12"/>
  <c r="O9" i="12"/>
  <c r="O11" i="12"/>
  <c r="F38" i="12"/>
  <c r="G38" i="12" s="1"/>
  <c r="G19" i="12"/>
  <c r="F20" i="12"/>
  <c r="G10" i="12"/>
  <c r="G20" i="12" l="1"/>
  <c r="F21" i="12"/>
  <c r="G30" i="12"/>
  <c r="F12" i="12"/>
  <c r="G12" i="12" s="1"/>
  <c r="G11" i="12"/>
  <c r="G21" i="12" l="1"/>
  <c r="F22" i="12"/>
  <c r="G22" i="12" s="1"/>
  <c r="M5" i="9" l="1"/>
  <c r="M4" i="9"/>
  <c r="I31" i="9"/>
  <c r="J31" i="9"/>
  <c r="K31" i="9"/>
  <c r="I32" i="9"/>
  <c r="J32" i="9"/>
  <c r="K32" i="9"/>
  <c r="I33" i="9"/>
  <c r="J33" i="9"/>
  <c r="K33" i="9"/>
  <c r="I34" i="9"/>
  <c r="J34" i="9"/>
  <c r="K34" i="9"/>
  <c r="J30" i="9"/>
  <c r="K30" i="9"/>
  <c r="I30" i="9"/>
  <c r="I25" i="9"/>
  <c r="J25" i="9"/>
  <c r="K25" i="9"/>
  <c r="I26" i="9"/>
  <c r="J26" i="9"/>
  <c r="K26" i="9"/>
  <c r="I27" i="9"/>
  <c r="J27" i="9"/>
  <c r="K27" i="9"/>
  <c r="I28" i="9"/>
  <c r="J28" i="9"/>
  <c r="K28" i="9"/>
  <c r="J24" i="9"/>
  <c r="K24" i="9"/>
  <c r="I24" i="9"/>
  <c r="I19" i="9"/>
  <c r="J19" i="9"/>
  <c r="K19" i="9"/>
  <c r="I20" i="9"/>
  <c r="J20" i="9"/>
  <c r="K20" i="9"/>
  <c r="I21" i="9"/>
  <c r="J21" i="9"/>
  <c r="K21" i="9"/>
  <c r="I22" i="9"/>
  <c r="J22" i="9"/>
  <c r="K22" i="9"/>
  <c r="J18" i="9"/>
  <c r="K18" i="9"/>
  <c r="I18" i="9"/>
  <c r="K16" i="9"/>
  <c r="J12" i="9"/>
  <c r="K12" i="9"/>
  <c r="J13" i="9"/>
  <c r="K13" i="9"/>
  <c r="J14" i="9"/>
  <c r="K14" i="9"/>
  <c r="J15" i="9"/>
  <c r="K15" i="9"/>
  <c r="J16" i="9"/>
  <c r="I13" i="9"/>
  <c r="I14" i="9"/>
  <c r="I15" i="9"/>
  <c r="I16" i="9"/>
  <c r="I12" i="9"/>
  <c r="I7" i="9"/>
  <c r="K7" i="9"/>
  <c r="J7" i="9"/>
  <c r="G7" i="9"/>
  <c r="C45" i="14" s="1"/>
  <c r="E45" i="14" s="1"/>
  <c r="I45" i="14" s="1"/>
  <c r="F7" i="9"/>
  <c r="J6" i="9"/>
  <c r="K6" i="9"/>
  <c r="I6" i="9"/>
  <c r="G6" i="9"/>
  <c r="C44" i="14" s="1"/>
  <c r="E44" i="14" s="1"/>
  <c r="I44" i="14" s="1"/>
  <c r="F6" i="9"/>
  <c r="H12" i="9"/>
  <c r="F12" i="9"/>
  <c r="G12" i="9"/>
  <c r="H13" i="9"/>
  <c r="F13" i="9"/>
  <c r="G13" i="9"/>
  <c r="H14" i="9"/>
  <c r="F14" i="9"/>
  <c r="G14" i="9"/>
  <c r="H15" i="9"/>
  <c r="F15" i="9"/>
  <c r="G15" i="9"/>
  <c r="H16" i="9"/>
  <c r="F16" i="9"/>
  <c r="G16" i="9"/>
  <c r="H18" i="9"/>
  <c r="F18" i="9"/>
  <c r="G18" i="9"/>
  <c r="H19" i="9"/>
  <c r="F19" i="9"/>
  <c r="G19" i="9"/>
  <c r="H20" i="9"/>
  <c r="F20" i="9"/>
  <c r="G20" i="9"/>
  <c r="H21" i="9"/>
  <c r="F21" i="9"/>
  <c r="G21" i="9"/>
  <c r="H22" i="9"/>
  <c r="F22" i="9"/>
  <c r="G22" i="9"/>
  <c r="F24" i="9"/>
  <c r="G24" i="9"/>
  <c r="F25" i="9"/>
  <c r="G25" i="9"/>
  <c r="F26" i="9"/>
  <c r="G26" i="9"/>
  <c r="F27" i="9"/>
  <c r="G27" i="9"/>
  <c r="F28" i="9"/>
  <c r="G28" i="9"/>
  <c r="F30" i="9"/>
  <c r="G30" i="9"/>
  <c r="F31" i="9"/>
  <c r="G31" i="9"/>
  <c r="F32" i="9"/>
  <c r="G32" i="9"/>
  <c r="F33" i="9"/>
  <c r="G33" i="9"/>
  <c r="F34" i="9"/>
  <c r="G34" i="9"/>
  <c r="L7" i="9" l="1"/>
  <c r="B44" i="14"/>
  <c r="D44" i="14" s="1"/>
  <c r="B45" i="14"/>
  <c r="D45" i="14" s="1"/>
  <c r="L6" i="9"/>
  <c r="M6" i="9" s="1"/>
  <c r="F17" i="9"/>
  <c r="G17" i="9" s="1"/>
  <c r="F35" i="9"/>
  <c r="G35" i="9" s="1"/>
  <c r="F23" i="9"/>
  <c r="G23" i="9" s="1"/>
  <c r="F29" i="9"/>
  <c r="G29" i="9" s="1"/>
  <c r="L26" i="9"/>
  <c r="M26" i="9" s="1"/>
  <c r="M7" i="9"/>
  <c r="L28" i="9"/>
  <c r="M28" i="9" s="1"/>
  <c r="L25" i="9"/>
  <c r="M25" i="9" s="1"/>
  <c r="L34" i="9"/>
  <c r="M34" i="9" s="1"/>
  <c r="L21" i="9"/>
  <c r="M21" i="9" s="1"/>
  <c r="L32" i="9"/>
  <c r="M32" i="9" s="1"/>
  <c r="L20" i="9"/>
  <c r="M20" i="9" s="1"/>
  <c r="L18" i="9"/>
  <c r="L30" i="9"/>
  <c r="L14" i="9"/>
  <c r="M14" i="9" s="1"/>
  <c r="L12" i="9"/>
  <c r="L19" i="9"/>
  <c r="M19" i="9" s="1"/>
  <c r="L15" i="9"/>
  <c r="M15" i="9" s="1"/>
  <c r="L13" i="9"/>
  <c r="M13" i="9" s="1"/>
  <c r="L27" i="9"/>
  <c r="M27" i="9" s="1"/>
  <c r="L24" i="9"/>
  <c r="L33" i="9"/>
  <c r="M33" i="9" s="1"/>
  <c r="L31" i="9"/>
  <c r="M31" i="9" s="1"/>
  <c r="L22" i="9"/>
  <c r="M22" i="9" s="1"/>
  <c r="L16" i="9"/>
  <c r="M16" i="9" s="1"/>
  <c r="A73" i="14" l="1"/>
  <c r="H45" i="14"/>
  <c r="E73" i="14" s="1"/>
  <c r="A72" i="14"/>
  <c r="H44" i="14"/>
  <c r="E72" i="14" s="1"/>
  <c r="L29" i="9"/>
  <c r="M12" i="9"/>
  <c r="L17" i="9"/>
  <c r="L35" i="9"/>
  <c r="M30" i="9"/>
  <c r="M24" i="9"/>
  <c r="M18" i="9"/>
  <c r="L23" i="9"/>
  <c r="M17" i="9" l="1"/>
  <c r="M35" i="9"/>
  <c r="M29" i="9"/>
  <c r="M23" i="9"/>
</calcChain>
</file>

<file path=xl/sharedStrings.xml><?xml version="1.0" encoding="utf-8"?>
<sst xmlns="http://schemas.openxmlformats.org/spreadsheetml/2006/main" count="648" uniqueCount="277">
  <si>
    <t>ANC</t>
  </si>
  <si>
    <t>Sample (g)</t>
  </si>
  <si>
    <t>Total NaOH (ml)</t>
  </si>
  <si>
    <t>After-boil pH</t>
  </si>
  <si>
    <t>Pre-boil pH</t>
  </si>
  <si>
    <t>Sample B</t>
  </si>
  <si>
    <t>Sample A</t>
  </si>
  <si>
    <t>Sample D</t>
  </si>
  <si>
    <t>Sample C</t>
  </si>
  <si>
    <t>C</t>
  </si>
  <si>
    <t>ANC Test</t>
  </si>
  <si>
    <t>Molarity HCl</t>
  </si>
  <si>
    <t>Molarity NaOH</t>
  </si>
  <si>
    <t>-</t>
  </si>
  <si>
    <t>Parameter</t>
  </si>
  <si>
    <t>S%</t>
  </si>
  <si>
    <t>Description</t>
  </si>
  <si>
    <t>Method of estimation</t>
  </si>
  <si>
    <t>Total sulfur content of the sample</t>
  </si>
  <si>
    <t>LECO S method</t>
  </si>
  <si>
    <t>MPA</t>
  </si>
  <si>
    <t>Correction constant for molarities of HCl and NaOH used in the test</t>
  </si>
  <si>
    <t>Volume of HCl added to the ANC test flask (L)</t>
  </si>
  <si>
    <t>Volume of NaOH used to titrate the test flask (L)</t>
  </si>
  <si>
    <t>Obtained from reading the burette readings during tests</t>
  </si>
  <si>
    <t>Mass of the sample added to test flask (g)</t>
  </si>
  <si>
    <t>Weighed on a balance during the tests</t>
  </si>
  <si>
    <t>NAPP</t>
  </si>
  <si>
    <t>References:</t>
  </si>
  <si>
    <t xml:space="preserve"> (Smith et al., 1974; Sobek et al., 1978; Skousen et al., 1997; Smart et al., 2002)</t>
  </si>
  <si>
    <t>Sobek, A., Schuller, W.A., Freeman, J.R. &amp; Smith, R.M. 1978. Field and Laboratory Methods Applicable to Overburden and Minesoils.</t>
  </si>
  <si>
    <t>Skousen, J., Renton, J., Brown, H., Evans, P., Leavitt, B., Brady, K., Cohen, L. &amp; Ziemkiewicz, P. 1997. Neutralization Potential of Overburden Samples Containing Siderite. Journal of Environment Quality. 26(3):673.</t>
  </si>
  <si>
    <r>
      <t>Maximum potential acidity (kg H</t>
    </r>
    <r>
      <rPr>
        <vertAlign val="subscript"/>
        <sz val="12"/>
        <color theme="1"/>
        <rFont val="Calibri"/>
        <family val="2"/>
        <scheme val="minor"/>
      </rPr>
      <t>2</t>
    </r>
    <r>
      <rPr>
        <sz val="12"/>
        <color theme="1"/>
        <rFont val="Calibri"/>
        <family val="2"/>
        <scheme val="minor"/>
      </rPr>
      <t>SO</t>
    </r>
    <r>
      <rPr>
        <vertAlign val="subscript"/>
        <sz val="12"/>
        <color theme="1"/>
        <rFont val="Calibri"/>
        <family val="2"/>
        <scheme val="minor"/>
      </rPr>
      <t>4</t>
    </r>
    <r>
      <rPr>
        <sz val="12"/>
        <color theme="1"/>
        <rFont val="Calibri"/>
        <family val="2"/>
        <scheme val="minor"/>
      </rPr>
      <t>/t)</t>
    </r>
  </si>
  <si>
    <r>
      <t>Acid neutralising capacity (kg H</t>
    </r>
    <r>
      <rPr>
        <vertAlign val="subscript"/>
        <sz val="12"/>
        <color theme="1"/>
        <rFont val="Calibri"/>
        <family val="2"/>
        <scheme val="minor"/>
      </rPr>
      <t>2</t>
    </r>
    <r>
      <rPr>
        <sz val="12"/>
        <color theme="1"/>
        <rFont val="Calibri"/>
        <family val="2"/>
        <scheme val="minor"/>
      </rPr>
      <t>SO</t>
    </r>
    <r>
      <rPr>
        <vertAlign val="subscript"/>
        <sz val="12"/>
        <color theme="1"/>
        <rFont val="Calibri"/>
        <family val="2"/>
        <scheme val="minor"/>
      </rPr>
      <t>4</t>
    </r>
    <r>
      <rPr>
        <sz val="12"/>
        <color theme="1"/>
        <rFont val="Calibri"/>
        <family val="2"/>
        <scheme val="minor"/>
      </rPr>
      <t>/t)</t>
    </r>
  </si>
  <si>
    <r>
      <t>V</t>
    </r>
    <r>
      <rPr>
        <b/>
        <vertAlign val="subscript"/>
        <sz val="12"/>
        <color theme="1"/>
        <rFont val="Calibri"/>
        <family val="2"/>
        <scheme val="minor"/>
      </rPr>
      <t>HCl</t>
    </r>
  </si>
  <si>
    <r>
      <t>V</t>
    </r>
    <r>
      <rPr>
        <b/>
        <vertAlign val="subscript"/>
        <sz val="12"/>
        <color theme="1"/>
        <rFont val="Calibri"/>
        <family val="2"/>
        <scheme val="minor"/>
      </rPr>
      <t>NaOH</t>
    </r>
  </si>
  <si>
    <r>
      <t>W</t>
    </r>
    <r>
      <rPr>
        <b/>
        <vertAlign val="subscript"/>
        <sz val="12"/>
        <color theme="1"/>
        <rFont val="Calibri"/>
        <family val="2"/>
        <scheme val="minor"/>
      </rPr>
      <t>Sample</t>
    </r>
  </si>
  <si>
    <r>
      <t>Net acid producing potential (kg H</t>
    </r>
    <r>
      <rPr>
        <vertAlign val="subscript"/>
        <sz val="12"/>
        <color theme="1"/>
        <rFont val="Calibri"/>
        <family val="2"/>
        <scheme val="minor"/>
      </rPr>
      <t>2</t>
    </r>
    <r>
      <rPr>
        <sz val="12"/>
        <color theme="1"/>
        <rFont val="Calibri"/>
        <family val="2"/>
        <scheme val="minor"/>
      </rPr>
      <t>SO</t>
    </r>
    <r>
      <rPr>
        <vertAlign val="subscript"/>
        <sz val="12"/>
        <color theme="1"/>
        <rFont val="Calibri"/>
        <family val="2"/>
        <scheme val="minor"/>
      </rPr>
      <t>4</t>
    </r>
    <r>
      <rPr>
        <sz val="12"/>
        <color theme="1"/>
        <rFont val="Calibri"/>
        <family val="2"/>
        <scheme val="minor"/>
      </rPr>
      <t>/t)</t>
    </r>
  </si>
  <si>
    <r>
      <t xml:space="preserve">Smart, R., Skinner, B., Levay, G., Gerson, A., Thomas, J., Sobobieraj, H., Schumann, R., Weisener, C., et al. 2002. ARD test handbook: Project P387A prediction and kinetic control of acid mine drainage. </t>
    </r>
    <r>
      <rPr>
        <i/>
        <sz val="11"/>
        <color theme="1"/>
        <rFont val="Calibri"/>
        <family val="2"/>
        <scheme val="minor"/>
      </rPr>
      <t>Project P387A, Prediction and kinetic control of acid mine drainage</t>
    </r>
    <r>
      <rPr>
        <sz val="11"/>
        <color theme="1"/>
        <rFont val="Calibri"/>
        <family val="2"/>
        <scheme val="minor"/>
      </rPr>
      <t>. (May):42. Available: http://www.amira.com.au/documents/downloads/P387AProtocolBooklet.pdf [2017, March 29].</t>
    </r>
  </si>
  <si>
    <r>
      <t xml:space="preserve">Smith, R.M., Grube, W.E.J., Arkle, T.J. &amp; Sobek, A. 1974. </t>
    </r>
    <r>
      <rPr>
        <i/>
        <sz val="11"/>
        <color theme="1"/>
        <rFont val="Calibri"/>
        <family val="2"/>
        <scheme val="minor"/>
      </rPr>
      <t>Mine soil potential for soil and water quality</t>
    </r>
    <r>
      <rPr>
        <sz val="11"/>
        <color theme="1"/>
        <rFont val="Calibri"/>
        <family val="2"/>
        <scheme val="minor"/>
      </rPr>
      <t>.</t>
    </r>
  </si>
  <si>
    <t>HCl (L)</t>
  </si>
  <si>
    <t>Obtained from standardising the HCl used for the test</t>
  </si>
  <si>
    <t>Molarity of HCl used during the test based on the fizz rating</t>
  </si>
  <si>
    <r>
      <t>M</t>
    </r>
    <r>
      <rPr>
        <b/>
        <vertAlign val="subscript"/>
        <sz val="12"/>
        <color theme="1"/>
        <rFont val="Calibri (Body)"/>
      </rPr>
      <t>HCl</t>
    </r>
  </si>
  <si>
    <t>Sample Mass (g)</t>
  </si>
  <si>
    <t>NaOH (L)</t>
  </si>
  <si>
    <t xml:space="preserve">Molarity NaOH </t>
  </si>
  <si>
    <r>
      <t>H</t>
    </r>
    <r>
      <rPr>
        <b/>
        <vertAlign val="subscript"/>
        <sz val="12"/>
        <color theme="1"/>
        <rFont val="Calibri (Body)"/>
      </rPr>
      <t>2</t>
    </r>
    <r>
      <rPr>
        <b/>
        <sz val="12"/>
        <color theme="1"/>
        <rFont val="Calibri"/>
        <family val="2"/>
        <scheme val="minor"/>
      </rPr>
      <t>O (L)</t>
    </r>
  </si>
  <si>
    <r>
      <t>σ</t>
    </r>
    <r>
      <rPr>
        <b/>
        <vertAlign val="subscript"/>
        <sz val="11"/>
        <color theme="1"/>
        <rFont val="Calibri (Body)"/>
      </rPr>
      <t>ANC</t>
    </r>
  </si>
  <si>
    <t>Ave. NAG pH</t>
  </si>
  <si>
    <r>
      <t>σ</t>
    </r>
    <r>
      <rPr>
        <b/>
        <vertAlign val="subscript"/>
        <sz val="11"/>
        <color theme="1"/>
        <rFont val="Calibri (Body)"/>
      </rPr>
      <t>NAG pH</t>
    </r>
  </si>
  <si>
    <r>
      <t>σ</t>
    </r>
    <r>
      <rPr>
        <b/>
        <vertAlign val="subscript"/>
        <sz val="11"/>
        <color theme="1"/>
        <rFont val="Calibri (Body)"/>
      </rPr>
      <t xml:space="preserve">NAG </t>
    </r>
  </si>
  <si>
    <t>NAG Test</t>
  </si>
  <si>
    <r>
      <t>NAG (kg H</t>
    </r>
    <r>
      <rPr>
        <b/>
        <vertAlign val="subscript"/>
        <sz val="11"/>
        <color theme="1"/>
        <rFont val="Calibri (Body)"/>
      </rPr>
      <t>2</t>
    </r>
    <r>
      <rPr>
        <b/>
        <sz val="11"/>
        <color theme="1"/>
        <rFont val="Calibri"/>
        <family val="2"/>
        <scheme val="minor"/>
      </rPr>
      <t>SO</t>
    </r>
    <r>
      <rPr>
        <b/>
        <vertAlign val="subscript"/>
        <sz val="11"/>
        <color theme="1"/>
        <rFont val="Calibri (Body)"/>
      </rPr>
      <t>4</t>
    </r>
    <r>
      <rPr>
        <b/>
        <sz val="11"/>
        <color theme="1"/>
        <rFont val="Calibri"/>
        <family val="2"/>
        <scheme val="minor"/>
      </rPr>
      <t>/t ore)</t>
    </r>
  </si>
  <si>
    <r>
      <t>Ave. NAG  (kg H</t>
    </r>
    <r>
      <rPr>
        <b/>
        <vertAlign val="subscript"/>
        <sz val="11"/>
        <color theme="1"/>
        <rFont val="Calibri (Body)"/>
      </rPr>
      <t>2</t>
    </r>
    <r>
      <rPr>
        <b/>
        <sz val="11"/>
        <color theme="1"/>
        <rFont val="Calibri"/>
        <family val="2"/>
        <scheme val="minor"/>
      </rPr>
      <t>SO</t>
    </r>
    <r>
      <rPr>
        <b/>
        <vertAlign val="subscript"/>
        <sz val="11"/>
        <color theme="1"/>
        <rFont val="Calibri (Body)"/>
      </rPr>
      <t>4</t>
    </r>
    <r>
      <rPr>
        <b/>
        <sz val="11"/>
        <color theme="1"/>
        <rFont val="Calibri"/>
        <family val="2"/>
        <scheme val="minor"/>
      </rPr>
      <t>/t ore)</t>
    </r>
  </si>
  <si>
    <t>LECO S %</t>
  </si>
  <si>
    <r>
      <t>MPA (kg H</t>
    </r>
    <r>
      <rPr>
        <vertAlign val="subscript"/>
        <sz val="11"/>
        <color theme="1"/>
        <rFont val="Calibri (Body)"/>
      </rPr>
      <t>2</t>
    </r>
    <r>
      <rPr>
        <sz val="11"/>
        <color theme="1"/>
        <rFont val="Calibri"/>
        <family val="2"/>
        <scheme val="minor"/>
      </rPr>
      <t>SO</t>
    </r>
    <r>
      <rPr>
        <vertAlign val="subscript"/>
        <sz val="11"/>
        <color theme="1"/>
        <rFont val="Calibri (Body)"/>
      </rPr>
      <t>4</t>
    </r>
    <r>
      <rPr>
        <sz val="11"/>
        <color theme="1"/>
        <rFont val="Calibri"/>
        <family val="2"/>
        <scheme val="minor"/>
      </rPr>
      <t>/t)</t>
    </r>
  </si>
  <si>
    <r>
      <t>Ave. ANC (kg H</t>
    </r>
    <r>
      <rPr>
        <b/>
        <vertAlign val="subscript"/>
        <sz val="11"/>
        <color theme="1"/>
        <rFont val="Calibri (Body)"/>
      </rPr>
      <t>2</t>
    </r>
    <r>
      <rPr>
        <b/>
        <sz val="11"/>
        <color theme="1"/>
        <rFont val="Calibri"/>
        <family val="2"/>
        <scheme val="minor"/>
      </rPr>
      <t>SO</t>
    </r>
    <r>
      <rPr>
        <b/>
        <vertAlign val="subscript"/>
        <sz val="11"/>
        <color theme="1"/>
        <rFont val="Calibri (Body)"/>
      </rPr>
      <t>4</t>
    </r>
    <r>
      <rPr>
        <b/>
        <sz val="11"/>
        <color theme="1"/>
        <rFont val="Calibri"/>
        <family val="2"/>
        <scheme val="minor"/>
      </rPr>
      <t>/t)</t>
    </r>
  </si>
  <si>
    <r>
      <t>ANC (kg H</t>
    </r>
    <r>
      <rPr>
        <b/>
        <vertAlign val="subscript"/>
        <sz val="11"/>
        <color theme="1"/>
        <rFont val="Calibri (Body)"/>
      </rPr>
      <t>2</t>
    </r>
    <r>
      <rPr>
        <b/>
        <sz val="11"/>
        <color theme="1"/>
        <rFont val="Calibri"/>
        <family val="2"/>
        <scheme val="minor"/>
      </rPr>
      <t>SO</t>
    </r>
    <r>
      <rPr>
        <b/>
        <vertAlign val="subscript"/>
        <sz val="11"/>
        <color theme="1"/>
        <rFont val="Calibri (Body)"/>
      </rPr>
      <t>4</t>
    </r>
    <r>
      <rPr>
        <b/>
        <sz val="11"/>
        <color theme="1"/>
        <rFont val="Calibri"/>
        <family val="2"/>
        <scheme val="minor"/>
      </rPr>
      <t>/t)</t>
    </r>
  </si>
  <si>
    <r>
      <t>NAPP (kg H</t>
    </r>
    <r>
      <rPr>
        <vertAlign val="subscript"/>
        <sz val="11"/>
        <color theme="1"/>
        <rFont val="Calibri (Body)"/>
      </rPr>
      <t>2</t>
    </r>
    <r>
      <rPr>
        <sz val="11"/>
        <color theme="1"/>
        <rFont val="Calibri"/>
        <family val="2"/>
        <scheme val="minor"/>
      </rPr>
      <t>SO</t>
    </r>
    <r>
      <rPr>
        <vertAlign val="subscript"/>
        <sz val="11"/>
        <color theme="1"/>
        <rFont val="Calibri (Body)"/>
      </rPr>
      <t>4</t>
    </r>
    <r>
      <rPr>
        <sz val="11"/>
        <color theme="1"/>
        <rFont val="Calibri"/>
        <family val="2"/>
        <scheme val="minor"/>
      </rPr>
      <t>/t)</t>
    </r>
  </si>
  <si>
    <r>
      <t>σ</t>
    </r>
    <r>
      <rPr>
        <b/>
        <vertAlign val="subscript"/>
        <sz val="11"/>
        <color theme="1"/>
        <rFont val="Calibri (Body)"/>
      </rPr>
      <t>NAPP</t>
    </r>
  </si>
  <si>
    <r>
      <t>σ</t>
    </r>
    <r>
      <rPr>
        <b/>
        <vertAlign val="subscript"/>
        <sz val="11"/>
        <color theme="1"/>
        <rFont val="Calibri (Body)"/>
      </rPr>
      <t>S</t>
    </r>
  </si>
  <si>
    <r>
      <t>σ</t>
    </r>
    <r>
      <rPr>
        <b/>
        <vertAlign val="subscript"/>
        <sz val="11"/>
        <color theme="1"/>
        <rFont val="Calibri (Body)"/>
      </rPr>
      <t>MPA</t>
    </r>
  </si>
  <si>
    <r>
      <t>NAPP (kg H</t>
    </r>
    <r>
      <rPr>
        <b/>
        <vertAlign val="subscript"/>
        <sz val="11"/>
        <color theme="1"/>
        <rFont val="Calibri (Body)"/>
      </rPr>
      <t>2</t>
    </r>
    <r>
      <rPr>
        <b/>
        <sz val="11"/>
        <color theme="1"/>
        <rFont val="Calibri"/>
        <family val="2"/>
        <scheme val="minor"/>
      </rPr>
      <t>SO</t>
    </r>
    <r>
      <rPr>
        <b/>
        <vertAlign val="subscript"/>
        <sz val="11"/>
        <color theme="1"/>
        <rFont val="Calibri (Body)"/>
      </rPr>
      <t>4</t>
    </r>
    <r>
      <rPr>
        <b/>
        <sz val="11"/>
        <color theme="1"/>
        <rFont val="Calibri"/>
        <family val="2"/>
        <scheme val="minor"/>
      </rPr>
      <t>/t)</t>
    </r>
  </si>
  <si>
    <t>Pyrite</t>
  </si>
  <si>
    <t>Pyrrhotite</t>
  </si>
  <si>
    <t>Classification</t>
  </si>
  <si>
    <t>NP</t>
  </si>
  <si>
    <t>AP</t>
  </si>
  <si>
    <r>
      <t>Neutralisation potential (kg H</t>
    </r>
    <r>
      <rPr>
        <vertAlign val="subscript"/>
        <sz val="12"/>
        <color theme="1"/>
        <rFont val="Calibri (Body)"/>
      </rPr>
      <t>2</t>
    </r>
    <r>
      <rPr>
        <sz val="12"/>
        <color theme="1"/>
        <rFont val="Calibri"/>
        <family val="2"/>
        <scheme val="minor"/>
      </rPr>
      <t>SO</t>
    </r>
    <r>
      <rPr>
        <vertAlign val="subscript"/>
        <sz val="12"/>
        <color theme="1"/>
        <rFont val="Calibri (Body)"/>
      </rPr>
      <t>4</t>
    </r>
    <r>
      <rPr>
        <sz val="12"/>
        <color theme="1"/>
        <rFont val="Calibri"/>
        <family val="2"/>
        <scheme val="minor"/>
      </rPr>
      <t>/t)</t>
    </r>
  </si>
  <si>
    <r>
      <t>Acid potential (kg H</t>
    </r>
    <r>
      <rPr>
        <vertAlign val="subscript"/>
        <sz val="12"/>
        <color theme="1"/>
        <rFont val="Calibri (Body)"/>
      </rPr>
      <t>2</t>
    </r>
    <r>
      <rPr>
        <sz val="12"/>
        <color theme="1"/>
        <rFont val="Calibri"/>
        <family val="2"/>
        <scheme val="minor"/>
      </rPr>
      <t>SO</t>
    </r>
    <r>
      <rPr>
        <vertAlign val="subscript"/>
        <sz val="12"/>
        <color theme="1"/>
        <rFont val="Calibri (Body)"/>
      </rPr>
      <t>4</t>
    </r>
    <r>
      <rPr>
        <sz val="12"/>
        <color theme="1"/>
        <rFont val="Calibri"/>
        <family val="2"/>
        <scheme val="minor"/>
      </rPr>
      <t>/t)</t>
    </r>
  </si>
  <si>
    <r>
      <t>X</t>
    </r>
    <r>
      <rPr>
        <b/>
        <vertAlign val="subscript"/>
        <sz val="12"/>
        <color theme="1"/>
        <rFont val="Calibri (Body)"/>
      </rPr>
      <t>i</t>
    </r>
  </si>
  <si>
    <t>Weight % of mineral i</t>
  </si>
  <si>
    <r>
      <t>c</t>
    </r>
    <r>
      <rPr>
        <b/>
        <vertAlign val="subscript"/>
        <sz val="12"/>
        <color theme="1"/>
        <rFont val="Calibri (Body)"/>
      </rPr>
      <t>i</t>
    </r>
  </si>
  <si>
    <t>Number of non-oxidisable cations in one formula unit of i</t>
  </si>
  <si>
    <r>
      <t>n</t>
    </r>
    <r>
      <rPr>
        <b/>
        <vertAlign val="subscript"/>
        <sz val="11"/>
        <color theme="1"/>
        <rFont val="Calibri (Body)"/>
      </rPr>
      <t>S</t>
    </r>
  </si>
  <si>
    <r>
      <t>Moles of H­</t>
    </r>
    <r>
      <rPr>
        <vertAlign val="subscript"/>
        <sz val="12"/>
        <color theme="1"/>
        <rFont val="Calibri (Body)"/>
      </rPr>
      <t>2</t>
    </r>
    <r>
      <rPr>
        <sz val="12"/>
        <color theme="1"/>
        <rFont val="Calibri"/>
        <family val="2"/>
        <scheme val="minor"/>
      </rPr>
      <t>SO</t>
    </r>
    <r>
      <rPr>
        <vertAlign val="subscript"/>
        <sz val="12"/>
        <color theme="1"/>
        <rFont val="Calibri (Body)"/>
      </rPr>
      <t>4</t>
    </r>
    <r>
      <rPr>
        <sz val="12"/>
        <color theme="1"/>
        <rFont val="Calibri"/>
        <family val="2"/>
        <scheme val="minor"/>
      </rPr>
      <t xml:space="preserve"> from the oxidation of one mole of sulfide mineral s</t>
    </r>
  </si>
  <si>
    <r>
      <t>n</t>
    </r>
    <r>
      <rPr>
        <b/>
        <vertAlign val="subscript"/>
        <sz val="12"/>
        <color theme="1"/>
        <rFont val="Calibri (Body)"/>
      </rPr>
      <t>i</t>
    </r>
  </si>
  <si>
    <r>
      <t>Moles of mineral i required to consume n</t>
    </r>
    <r>
      <rPr>
        <vertAlign val="subscript"/>
        <sz val="12"/>
        <color theme="1"/>
        <rFont val="Calibri (Body)"/>
      </rPr>
      <t>s</t>
    </r>
  </si>
  <si>
    <r>
      <t>ω</t>
    </r>
    <r>
      <rPr>
        <b/>
        <vertAlign val="subscript"/>
        <sz val="12"/>
        <color theme="1"/>
        <rFont val="Calibri (Body)"/>
      </rPr>
      <t xml:space="preserve">i </t>
    </r>
  </si>
  <si>
    <t>Molecular weight of i in g/mol</t>
  </si>
  <si>
    <t>k</t>
  </si>
  <si>
    <t>Number of neutralising minerals in the sample</t>
  </si>
  <si>
    <r>
      <t>X</t>
    </r>
    <r>
      <rPr>
        <b/>
        <vertAlign val="subscript"/>
        <sz val="12"/>
        <color theme="1"/>
        <rFont val="Calibri (Body)"/>
      </rPr>
      <t>s</t>
    </r>
  </si>
  <si>
    <t>Weight % of mineral s</t>
  </si>
  <si>
    <r>
      <t>w</t>
    </r>
    <r>
      <rPr>
        <b/>
        <vertAlign val="subscript"/>
        <sz val="12"/>
        <color theme="1"/>
        <rFont val="Calibri (Body)"/>
      </rPr>
      <t>s</t>
    </r>
  </si>
  <si>
    <t>Moles of mineral s</t>
  </si>
  <si>
    <t>m</t>
  </si>
  <si>
    <t>(Paktunc, 1999)</t>
  </si>
  <si>
    <t>Obtained from XRD</t>
  </si>
  <si>
    <t>Number of sulfide minerals in the sample</t>
  </si>
  <si>
    <r>
      <t xml:space="preserve">Paktunc, A.D. 1999. Mineralogical constraints on the determination of neutralization potential and prediction of acid mine drainage. </t>
    </r>
    <r>
      <rPr>
        <i/>
        <sz val="11"/>
        <color theme="1"/>
        <rFont val="Calibri"/>
        <family val="2"/>
        <scheme val="minor"/>
      </rPr>
      <t>Environmental Geology</t>
    </r>
    <r>
      <rPr>
        <sz val="11"/>
        <color theme="1"/>
        <rFont val="Calibri"/>
        <family val="2"/>
        <scheme val="minor"/>
      </rPr>
      <t xml:space="preserve">. 39(2):103–112. </t>
    </r>
  </si>
  <si>
    <t>PAF</t>
  </si>
  <si>
    <t>Uncertain</t>
  </si>
  <si>
    <t>NAF</t>
  </si>
  <si>
    <t>Other</t>
  </si>
  <si>
    <t>Titanite</t>
  </si>
  <si>
    <t>Quartz</t>
  </si>
  <si>
    <t>Fe-Oxide</t>
  </si>
  <si>
    <t>K-Feldspar</t>
  </si>
  <si>
    <t>Plagioclase-Feldspar</t>
  </si>
  <si>
    <t>Talc</t>
  </si>
  <si>
    <t>Mica</t>
  </si>
  <si>
    <t>Amphibole</t>
  </si>
  <si>
    <t>Pyroxene</t>
  </si>
  <si>
    <t>Epidote</t>
  </si>
  <si>
    <t>Olivine</t>
  </si>
  <si>
    <t>Carbonate</t>
  </si>
  <si>
    <t>Other Sulfide</t>
  </si>
  <si>
    <t>QEMSCAN</t>
  </si>
  <si>
    <t xml:space="preserve">XRD </t>
  </si>
  <si>
    <t>Mineral</t>
  </si>
  <si>
    <t>HCT</t>
  </si>
  <si>
    <t>SCT</t>
  </si>
  <si>
    <t>Chlorite</t>
  </si>
  <si>
    <t>Bulk Mineralogy</t>
  </si>
  <si>
    <t>Al</t>
  </si>
  <si>
    <t>Ba</t>
  </si>
  <si>
    <t>Ca</t>
  </si>
  <si>
    <t>Cl</t>
  </si>
  <si>
    <t>Cr</t>
  </si>
  <si>
    <t>Cu</t>
  </si>
  <si>
    <t>F</t>
  </si>
  <si>
    <t>Fe</t>
  </si>
  <si>
    <t>K</t>
  </si>
  <si>
    <t>Mg</t>
  </si>
  <si>
    <t>Mn</t>
  </si>
  <si>
    <t>Na</t>
  </si>
  <si>
    <t>P</t>
  </si>
  <si>
    <t>S</t>
  </si>
  <si>
    <t>Si</t>
  </si>
  <si>
    <t>Ti</t>
  </si>
  <si>
    <t>Zn</t>
  </si>
  <si>
    <t xml:space="preserve">S </t>
  </si>
  <si>
    <t>% Fe-Sulfide back-calculation</t>
  </si>
  <si>
    <t>+2000/-6700</t>
  </si>
  <si>
    <t>+1000/-2000</t>
  </si>
  <si>
    <t>+425/-1000</t>
  </si>
  <si>
    <t>+150/-425</t>
  </si>
  <si>
    <t>+0/-150</t>
  </si>
  <si>
    <t>Ave. S%</t>
  </si>
  <si>
    <t>Ave. Fe-Sulfide</t>
  </si>
  <si>
    <t>Replicate 1</t>
  </si>
  <si>
    <t>Replicate 2</t>
  </si>
  <si>
    <t>Replicate 3</t>
  </si>
  <si>
    <t>Particle size distribution</t>
  </si>
  <si>
    <t xml:space="preserve">SCT Experimental </t>
  </si>
  <si>
    <t>SCT Experimental</t>
  </si>
  <si>
    <t>Total Sulfur Content (%)</t>
  </si>
  <si>
    <r>
      <t>σ</t>
    </r>
    <r>
      <rPr>
        <b/>
        <vertAlign val="subscript"/>
        <sz val="11"/>
        <color theme="1"/>
        <rFont val="Calibri (Body)"/>
      </rPr>
      <t>Fe-Sulfide</t>
    </r>
  </si>
  <si>
    <t>HCT Reconstituted</t>
  </si>
  <si>
    <t>Micro-scale</t>
  </si>
  <si>
    <t>Meso-scale</t>
  </si>
  <si>
    <t>Size fraction (μm)</t>
  </si>
  <si>
    <t>% Retained</t>
  </si>
  <si>
    <t>% Cumulative retained</t>
  </si>
  <si>
    <t>% Cumulative passing</t>
  </si>
  <si>
    <t>Aperture Size (μm)</t>
  </si>
  <si>
    <t>Ave. Particle Size (μm)</t>
  </si>
  <si>
    <t>Mass retained (g)</t>
  </si>
  <si>
    <t>Total mass (g)</t>
  </si>
  <si>
    <r>
      <t>d</t>
    </r>
    <r>
      <rPr>
        <b/>
        <vertAlign val="subscript"/>
        <sz val="12"/>
        <color theme="1"/>
        <rFont val="Calibri (Body)"/>
      </rPr>
      <t>50</t>
    </r>
  </si>
  <si>
    <r>
      <t>d</t>
    </r>
    <r>
      <rPr>
        <b/>
        <vertAlign val="subscript"/>
        <sz val="12"/>
        <color theme="1"/>
        <rFont val="Calibri (Body)"/>
      </rPr>
      <t>90</t>
    </r>
  </si>
  <si>
    <t>Fe-Sulfide</t>
  </si>
  <si>
    <t>Dissolving</t>
  </si>
  <si>
    <t>Fast Weathering</t>
  </si>
  <si>
    <t>Intermediate Weathering</t>
  </si>
  <si>
    <t>Slow Weathering</t>
  </si>
  <si>
    <t>Inert</t>
  </si>
  <si>
    <t>Mineral Grouping</t>
  </si>
  <si>
    <t>Table of Contents</t>
  </si>
  <si>
    <t>Sheet #</t>
  </si>
  <si>
    <t xml:space="preserve">This sheet provides the reference materials. These include the relevant equations and variables with descriptions. Additionally, this section provides the references used for the variables and equations. </t>
  </si>
  <si>
    <t xml:space="preserve">Particle size distribution data and charts for samples A, B, C and D. </t>
  </si>
  <si>
    <t xml:space="preserve">Total sulfur data for sized and unsized samples A, B, C and D, as well as reconstituted total sulfur of the meso-scale material. </t>
  </si>
  <si>
    <t>Chemistry by XRF</t>
  </si>
  <si>
    <t xml:space="preserve">This workbook provides the data, calculations and associated charts for the characterisation of samples A, B, C and D. Data sets include the geochemical static tests for the samples, particle size distribution, total sulfur obtained from LECO S, bulk mineralogy data for the bulk and sized samples, data reconciliation, biokinetic test data for pH-controlled and non-pH-controlled tests, as well as the associated with these data. </t>
  </si>
  <si>
    <t>Sample A - Chemical</t>
  </si>
  <si>
    <t>Sample B - Chemical</t>
  </si>
  <si>
    <t>Sample C - Chemical</t>
  </si>
  <si>
    <t>Sample D - Chemical</t>
  </si>
  <si>
    <t>Minerals of interest</t>
  </si>
  <si>
    <r>
      <t>X</t>
    </r>
    <r>
      <rPr>
        <b/>
        <vertAlign val="subscript"/>
        <sz val="12"/>
        <color theme="1"/>
        <rFont val="Calibri (Body)"/>
      </rPr>
      <t>s</t>
    </r>
    <r>
      <rPr>
        <b/>
        <sz val="12"/>
        <color theme="1"/>
        <rFont val="Calibri"/>
        <family val="2"/>
        <scheme val="minor"/>
      </rPr>
      <t xml:space="preserve"> or X</t>
    </r>
    <r>
      <rPr>
        <b/>
        <vertAlign val="subscript"/>
        <sz val="12"/>
        <color theme="1"/>
        <rFont val="Calibri (Body)"/>
      </rPr>
      <t>i</t>
    </r>
  </si>
  <si>
    <r>
      <t>n</t>
    </r>
    <r>
      <rPr>
        <b/>
        <vertAlign val="subscript"/>
        <sz val="12"/>
        <color theme="1"/>
        <rFont val="Calibri (Body)"/>
      </rPr>
      <t>s</t>
    </r>
  </si>
  <si>
    <t>c</t>
  </si>
  <si>
    <r>
      <t>AP (MPA) (kg H</t>
    </r>
    <r>
      <rPr>
        <b/>
        <vertAlign val="subscript"/>
        <sz val="11"/>
        <color theme="1"/>
        <rFont val="Calibri (Body)"/>
      </rPr>
      <t>2</t>
    </r>
    <r>
      <rPr>
        <b/>
        <sz val="11"/>
        <color theme="1"/>
        <rFont val="Calibri"/>
        <family val="2"/>
        <scheme val="minor"/>
      </rPr>
      <t>SO</t>
    </r>
    <r>
      <rPr>
        <b/>
        <vertAlign val="subscript"/>
        <sz val="11"/>
        <color theme="1"/>
        <rFont val="Calibri (Body)"/>
      </rPr>
      <t>4</t>
    </r>
    <r>
      <rPr>
        <b/>
        <sz val="11"/>
        <color theme="1"/>
        <rFont val="Calibri"/>
        <family val="2"/>
        <scheme val="minor"/>
      </rPr>
      <t>/t)</t>
    </r>
  </si>
  <si>
    <r>
      <t>NP (ANC) (kg H</t>
    </r>
    <r>
      <rPr>
        <b/>
        <vertAlign val="subscript"/>
        <sz val="11"/>
        <color theme="1"/>
        <rFont val="Calibri (Body)"/>
      </rPr>
      <t>2</t>
    </r>
    <r>
      <rPr>
        <b/>
        <sz val="11"/>
        <color theme="1"/>
        <rFont val="Calibri"/>
        <family val="2"/>
        <scheme val="minor"/>
      </rPr>
      <t>SO</t>
    </r>
    <r>
      <rPr>
        <b/>
        <vertAlign val="subscript"/>
        <sz val="11"/>
        <color theme="1"/>
        <rFont val="Calibri (Body)"/>
      </rPr>
      <t>4</t>
    </r>
    <r>
      <rPr>
        <b/>
        <sz val="11"/>
        <color theme="1"/>
        <rFont val="Calibri"/>
        <family val="2"/>
        <scheme val="minor"/>
      </rPr>
      <t>/t)</t>
    </r>
  </si>
  <si>
    <t>Sample A - Mineralogical</t>
  </si>
  <si>
    <t>Calcite</t>
  </si>
  <si>
    <t>Sample B - Mineralogical</t>
  </si>
  <si>
    <t>Sample C - Mineralogical</t>
  </si>
  <si>
    <t>Sample D - Mineralogical</t>
  </si>
  <si>
    <t>Comparison of chemical MPA and ANC against mineralogical AP and NP</t>
  </si>
  <si>
    <t>Chemical MPA</t>
  </si>
  <si>
    <t>Mineralogical AP</t>
  </si>
  <si>
    <t>Chemical ANC</t>
  </si>
  <si>
    <t>Mineralogical NP</t>
  </si>
  <si>
    <t>X = Y</t>
  </si>
  <si>
    <t>Chemical NAPP</t>
  </si>
  <si>
    <t>Mineralogical NAPP</t>
  </si>
  <si>
    <t>Simplified chemical reactions considered for mineralogical AP and NP calculations:</t>
  </si>
  <si>
    <t>Mineralogical AP and NP (Paktunc 1999)</t>
  </si>
  <si>
    <t>AP Constant</t>
  </si>
  <si>
    <r>
      <t>H</t>
    </r>
    <r>
      <rPr>
        <b/>
        <vertAlign val="subscript"/>
        <sz val="12"/>
        <color theme="1"/>
        <rFont val="Calibri (Body)"/>
      </rPr>
      <t>2</t>
    </r>
    <r>
      <rPr>
        <b/>
        <sz val="12"/>
        <color theme="1"/>
        <rFont val="Calibri"/>
        <family val="2"/>
        <scheme val="minor"/>
      </rPr>
      <t>SO</t>
    </r>
    <r>
      <rPr>
        <b/>
        <vertAlign val="subscript"/>
        <sz val="12"/>
        <color theme="1"/>
        <rFont val="Calibri (Body)"/>
      </rPr>
      <t>4</t>
    </r>
  </si>
  <si>
    <t>NP Constant</t>
  </si>
  <si>
    <t>Molecular weight</t>
  </si>
  <si>
    <r>
      <t>n</t>
    </r>
    <r>
      <rPr>
        <b/>
        <vertAlign val="subscript"/>
        <sz val="12"/>
        <color theme="1"/>
        <rFont val="Calibri (Body)"/>
      </rPr>
      <t xml:space="preserve">i </t>
    </r>
    <r>
      <rPr>
        <b/>
        <sz val="12"/>
        <color theme="1"/>
        <rFont val="Calibri (Body)"/>
      </rPr>
      <t>(Average)</t>
    </r>
  </si>
  <si>
    <t xml:space="preserve">Geochemical static test results, as well as those of the mineralogical NP and AP calculations. </t>
  </si>
  <si>
    <t>Element</t>
  </si>
  <si>
    <t>Trace</t>
  </si>
  <si>
    <r>
      <t>H</t>
    </r>
    <r>
      <rPr>
        <b/>
        <vertAlign val="subscript"/>
        <sz val="10"/>
        <color theme="1"/>
        <rFont val="Times New Roman"/>
        <family val="1"/>
      </rPr>
      <t>2</t>
    </r>
    <r>
      <rPr>
        <b/>
        <sz val="10"/>
        <color theme="1"/>
        <rFont val="Times New Roman"/>
        <family val="1"/>
      </rPr>
      <t>O</t>
    </r>
    <r>
      <rPr>
        <b/>
        <vertAlign val="superscript"/>
        <sz val="10"/>
        <color theme="1"/>
        <rFont val="Times New Roman"/>
        <family val="1"/>
      </rPr>
      <t>-</t>
    </r>
  </si>
  <si>
    <t>n.a.</t>
  </si>
  <si>
    <t>LOI</t>
  </si>
  <si>
    <t>Y</t>
  </si>
  <si>
    <t>Ni</t>
  </si>
  <si>
    <t>Mo</t>
  </si>
  <si>
    <t>Nb</t>
  </si>
  <si>
    <t>Zr</t>
  </si>
  <si>
    <t>Sr</t>
  </si>
  <si>
    <t>Rb</t>
  </si>
  <si>
    <t>U</t>
  </si>
  <si>
    <t>Th</t>
  </si>
  <si>
    <t>Pb</t>
  </si>
  <si>
    <t>Co</t>
  </si>
  <si>
    <t>V</t>
  </si>
  <si>
    <t>Sc</t>
  </si>
  <si>
    <t>Oxide/Element</t>
  </si>
  <si>
    <t>Unit</t>
  </si>
  <si>
    <r>
      <t>SiO</t>
    </r>
    <r>
      <rPr>
        <b/>
        <vertAlign val="subscript"/>
        <sz val="11"/>
        <color theme="1"/>
        <rFont val="Times New Roman"/>
        <family val="1"/>
      </rPr>
      <t>2</t>
    </r>
  </si>
  <si>
    <t>wt. %</t>
  </si>
  <si>
    <r>
      <t>TiO</t>
    </r>
    <r>
      <rPr>
        <b/>
        <vertAlign val="subscript"/>
        <sz val="11"/>
        <color theme="1"/>
        <rFont val="Times New Roman"/>
        <family val="1"/>
      </rPr>
      <t>2</t>
    </r>
  </si>
  <si>
    <r>
      <t>Al</t>
    </r>
    <r>
      <rPr>
        <b/>
        <vertAlign val="subscript"/>
        <sz val="11"/>
        <color theme="1"/>
        <rFont val="Times New Roman"/>
        <family val="1"/>
      </rPr>
      <t>2</t>
    </r>
    <r>
      <rPr>
        <b/>
        <sz val="11"/>
        <color theme="1"/>
        <rFont val="Times New Roman"/>
        <family val="1"/>
      </rPr>
      <t>O</t>
    </r>
    <r>
      <rPr>
        <b/>
        <vertAlign val="subscript"/>
        <sz val="11"/>
        <color theme="1"/>
        <rFont val="Times New Roman"/>
        <family val="1"/>
      </rPr>
      <t>3</t>
    </r>
  </si>
  <si>
    <r>
      <t>Fe</t>
    </r>
    <r>
      <rPr>
        <b/>
        <vertAlign val="subscript"/>
        <sz val="11"/>
        <color theme="1"/>
        <rFont val="Times New Roman"/>
        <family val="1"/>
      </rPr>
      <t>2</t>
    </r>
    <r>
      <rPr>
        <b/>
        <sz val="11"/>
        <color theme="1"/>
        <rFont val="Times New Roman"/>
        <family val="1"/>
      </rPr>
      <t>O</t>
    </r>
    <r>
      <rPr>
        <b/>
        <vertAlign val="subscript"/>
        <sz val="11"/>
        <color theme="1"/>
        <rFont val="Times New Roman"/>
        <family val="1"/>
      </rPr>
      <t>3</t>
    </r>
  </si>
  <si>
    <t>MnO</t>
  </si>
  <si>
    <t>MgO</t>
  </si>
  <si>
    <t>CaO</t>
  </si>
  <si>
    <r>
      <t>Na</t>
    </r>
    <r>
      <rPr>
        <b/>
        <vertAlign val="subscript"/>
        <sz val="11"/>
        <color theme="1"/>
        <rFont val="Times New Roman"/>
        <family val="1"/>
      </rPr>
      <t>2</t>
    </r>
    <r>
      <rPr>
        <b/>
        <sz val="11"/>
        <color theme="1"/>
        <rFont val="Times New Roman"/>
        <family val="1"/>
      </rPr>
      <t>O</t>
    </r>
  </si>
  <si>
    <r>
      <t>K</t>
    </r>
    <r>
      <rPr>
        <b/>
        <vertAlign val="subscript"/>
        <sz val="11"/>
        <color theme="1"/>
        <rFont val="Times New Roman"/>
        <family val="1"/>
      </rPr>
      <t>2</t>
    </r>
    <r>
      <rPr>
        <b/>
        <sz val="11"/>
        <color theme="1"/>
        <rFont val="Times New Roman"/>
        <family val="1"/>
      </rPr>
      <t>O</t>
    </r>
  </si>
  <si>
    <r>
      <t>P</t>
    </r>
    <r>
      <rPr>
        <b/>
        <vertAlign val="subscript"/>
        <sz val="11"/>
        <color theme="1"/>
        <rFont val="Times New Roman"/>
        <family val="1"/>
      </rPr>
      <t>2</t>
    </r>
    <r>
      <rPr>
        <b/>
        <sz val="11"/>
        <color theme="1"/>
        <rFont val="Times New Roman"/>
        <family val="1"/>
      </rPr>
      <t>O</t>
    </r>
    <r>
      <rPr>
        <b/>
        <vertAlign val="subscript"/>
        <sz val="11"/>
        <color theme="1"/>
        <rFont val="Times New Roman"/>
        <family val="1"/>
      </rPr>
      <t>5</t>
    </r>
  </si>
  <si>
    <r>
      <t>SO</t>
    </r>
    <r>
      <rPr>
        <b/>
        <vertAlign val="subscript"/>
        <sz val="11"/>
        <color theme="1"/>
        <rFont val="Times New Roman"/>
        <family val="1"/>
      </rPr>
      <t>3</t>
    </r>
  </si>
  <si>
    <r>
      <t>Cr</t>
    </r>
    <r>
      <rPr>
        <b/>
        <vertAlign val="subscript"/>
        <sz val="11"/>
        <color theme="1"/>
        <rFont val="Times New Roman"/>
        <family val="1"/>
      </rPr>
      <t>2</t>
    </r>
    <r>
      <rPr>
        <b/>
        <sz val="11"/>
        <color theme="1"/>
        <rFont val="Times New Roman"/>
        <family val="1"/>
      </rPr>
      <t>O</t>
    </r>
    <r>
      <rPr>
        <b/>
        <vertAlign val="subscript"/>
        <sz val="11"/>
        <color theme="1"/>
        <rFont val="Times New Roman"/>
        <family val="1"/>
      </rPr>
      <t>3</t>
    </r>
  </si>
  <si>
    <t>NiO</t>
  </si>
  <si>
    <r>
      <t>H</t>
    </r>
    <r>
      <rPr>
        <b/>
        <vertAlign val="subscript"/>
        <sz val="11"/>
        <color theme="1"/>
        <rFont val="Times New Roman"/>
        <family val="1"/>
      </rPr>
      <t>2</t>
    </r>
    <r>
      <rPr>
        <b/>
        <sz val="11"/>
        <color theme="1"/>
        <rFont val="Times New Roman"/>
        <family val="1"/>
      </rPr>
      <t>O-</t>
    </r>
  </si>
  <si>
    <t>(ppm)</t>
  </si>
  <si>
    <t>&lt;3</t>
  </si>
  <si>
    <t>b.d.</t>
  </si>
  <si>
    <t>&lt;5</t>
  </si>
  <si>
    <t>&lt;10</t>
  </si>
  <si>
    <t>Relative standard deviation %</t>
  </si>
  <si>
    <t>Li</t>
  </si>
  <si>
    <t>ppm</t>
  </si>
  <si>
    <t>La</t>
  </si>
  <si>
    <t>Ce</t>
  </si>
  <si>
    <t>Pr</t>
  </si>
  <si>
    <t>Nd</t>
  </si>
  <si>
    <t>Sm</t>
  </si>
  <si>
    <t>Eu</t>
  </si>
  <si>
    <t>Tb</t>
  </si>
  <si>
    <t>Gd</t>
  </si>
  <si>
    <t>Dy</t>
  </si>
  <si>
    <t>Ho</t>
  </si>
  <si>
    <t>Er</t>
  </si>
  <si>
    <t>Tm</t>
  </si>
  <si>
    <t>Yb</t>
  </si>
  <si>
    <t>Lu</t>
  </si>
  <si>
    <t>Hf</t>
  </si>
  <si>
    <t>Ta</t>
  </si>
  <si>
    <t>Chemistry by ICP-MS</t>
  </si>
  <si>
    <t xml:space="preserve">Bulk mineralogy from XRD and QEMSCAN, and element data from XRF and ICP-MS analyses, for samples A, B,C and D alongside appropriate charts. Bulk mineralogy data are provided for discrete minerals and reactivity groupings. </t>
  </si>
  <si>
    <t>Week</t>
  </si>
  <si>
    <t>Ave. pH</t>
  </si>
  <si>
    <r>
      <t>σ</t>
    </r>
    <r>
      <rPr>
        <b/>
        <vertAlign val="subscript"/>
        <sz val="12"/>
        <color theme="1"/>
        <rFont val="Calibri (Body)"/>
      </rPr>
      <t>pH</t>
    </r>
  </si>
  <si>
    <t>pH data for humidity cell tests of samples C and D.</t>
  </si>
  <si>
    <r>
      <t>H</t>
    </r>
    <r>
      <rPr>
        <b/>
        <vertAlign val="subscript"/>
        <sz val="12"/>
        <color theme="1"/>
        <rFont val="Calibri (Body)"/>
      </rPr>
      <t>2</t>
    </r>
    <r>
      <rPr>
        <b/>
        <sz val="12"/>
        <color theme="1"/>
        <rFont val="Calibri"/>
        <family val="2"/>
        <scheme val="minor"/>
      </rPr>
      <t>O pH</t>
    </r>
  </si>
  <si>
    <t>Acid pH</t>
  </si>
  <si>
    <t>XRF elemental compositions for samples A, B, C and D given in wt.%. Sulfur content represented as that obtained from LECO (in wt.%). For major elements, the relative analytical uncertainty of the XRF analyses is commonly assumed to be around 0.5-1% (Rousseau, 2001)</t>
  </si>
  <si>
    <t>Rousseau, R.M., 2001. Detection Limit and Estimate of Uncertainty of Analytical XRF Results. RIGAKU J. 18, 33–47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</si>
</sst>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00%"/>
    <numFmt numFmtId="167" formatCode="0.000"/>
  </numFmts>
  <fonts count="26" x14ac:knownFonts="1">
    <font>
      <sz val="12"/>
      <color theme="1"/>
      <name val="Calibri"/>
      <family val="2"/>
      <scheme val="minor"/>
    </font>
    <font>
      <b/>
      <sz val="12"/>
      <color theme="1"/>
      <name val="Calibri"/>
      <family val="2"/>
      <scheme val="minor"/>
    </font>
    <font>
      <sz val="11"/>
      <color theme="1"/>
      <name val="Calibri"/>
      <family val="2"/>
      <scheme val="minor"/>
    </font>
    <font>
      <vertAlign val="subscript"/>
      <sz val="12"/>
      <color theme="1"/>
      <name val="Calibri (Body)"/>
    </font>
    <font>
      <b/>
      <vertAlign val="subscript"/>
      <sz val="12"/>
      <color theme="1"/>
      <name val="Calibri (Body)"/>
    </font>
    <font>
      <vertAlign val="subscript"/>
      <sz val="12"/>
      <color theme="1"/>
      <name val="Calibri"/>
      <family val="2"/>
      <scheme val="minor"/>
    </font>
    <font>
      <b/>
      <vertAlign val="subscript"/>
      <sz val="12"/>
      <color theme="1"/>
      <name val="Calibri"/>
      <family val="2"/>
      <scheme val="minor"/>
    </font>
    <font>
      <i/>
      <sz val="11"/>
      <color theme="1"/>
      <name val="Calibri"/>
      <family val="2"/>
      <scheme val="minor"/>
    </font>
    <font>
      <b/>
      <sz val="11"/>
      <color theme="1"/>
      <name val="Calibri"/>
      <family val="2"/>
      <scheme val="minor"/>
    </font>
    <font>
      <vertAlign val="subscript"/>
      <sz val="11"/>
      <color theme="1"/>
      <name val="Calibri (Body)"/>
    </font>
    <font>
      <sz val="11"/>
      <color rgb="FF000000"/>
      <name val="Calibri"/>
      <family val="2"/>
      <scheme val="minor"/>
    </font>
    <font>
      <b/>
      <vertAlign val="subscript"/>
      <sz val="11"/>
      <color theme="1"/>
      <name val="Calibri (Body)"/>
    </font>
    <font>
      <sz val="9"/>
      <color theme="1"/>
      <name val="Times New Roman"/>
      <family val="1"/>
    </font>
    <font>
      <sz val="12"/>
      <color theme="1"/>
      <name val="Calibri"/>
      <family val="2"/>
      <scheme val="minor"/>
    </font>
    <font>
      <sz val="10"/>
      <color indexed="8"/>
      <name val="Arial"/>
      <family val="2"/>
    </font>
    <font>
      <b/>
      <sz val="10"/>
      <color indexed="8"/>
      <name val="Arial"/>
      <family val="2"/>
    </font>
    <font>
      <sz val="11"/>
      <color theme="1"/>
      <name val="Calibri"/>
      <family val="2"/>
    </font>
    <font>
      <b/>
      <sz val="12"/>
      <color theme="1"/>
      <name val="Calibri (Body)"/>
    </font>
    <font>
      <sz val="11"/>
      <color theme="1"/>
      <name val="Times New Roman"/>
      <family val="1"/>
    </font>
    <font>
      <b/>
      <sz val="11"/>
      <color theme="1"/>
      <name val="Times New Roman"/>
      <family val="1"/>
    </font>
    <font>
      <b/>
      <sz val="10"/>
      <color theme="1"/>
      <name val="Times New Roman"/>
      <family val="1"/>
    </font>
    <font>
      <b/>
      <sz val="10"/>
      <color rgb="FF000000"/>
      <name val="Times New Roman"/>
      <family val="1"/>
    </font>
    <font>
      <sz val="10"/>
      <color theme="1"/>
      <name val="Times New Roman"/>
      <family val="1"/>
    </font>
    <font>
      <b/>
      <vertAlign val="subscript"/>
      <sz val="10"/>
      <color theme="1"/>
      <name val="Times New Roman"/>
      <family val="1"/>
    </font>
    <font>
      <b/>
      <vertAlign val="superscript"/>
      <sz val="10"/>
      <color theme="1"/>
      <name val="Times New Roman"/>
      <family val="1"/>
    </font>
    <font>
      <b/>
      <vertAlign val="subscript"/>
      <sz val="11"/>
      <color theme="1"/>
      <name val="Times New Roman"/>
      <family val="1"/>
    </font>
  </fonts>
  <fills count="3">
    <fill>
      <patternFill patternType="none"/>
    </fill>
    <fill>
      <patternFill patternType="gray125"/>
    </fill>
    <fill>
      <patternFill patternType="solid">
        <fgColor rgb="FFF2F2F2"/>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4">
    <xf numFmtId="0" fontId="0" fillId="0" borderId="0"/>
    <xf numFmtId="0" fontId="2" fillId="0" borderId="0"/>
    <xf numFmtId="9" fontId="13" fillId="0" borderId="0" applyFont="0" applyFill="0" applyBorder="0" applyAlignment="0" applyProtection="0"/>
    <xf numFmtId="9" fontId="2" fillId="0" borderId="0" applyFont="0" applyFill="0" applyBorder="0" applyAlignment="0" applyProtection="0"/>
  </cellStyleXfs>
  <cellXfs count="341">
    <xf numFmtId="0" fontId="0" fillId="0" borderId="0" xfId="0"/>
    <xf numFmtId="0" fontId="0" fillId="0" borderId="0" xfId="0" applyAlignment="1">
      <alignment horizontal="center"/>
    </xf>
    <xf numFmtId="0" fontId="1" fillId="0" borderId="0" xfId="0" applyFont="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1" fillId="0" borderId="10" xfId="0" applyFont="1" applyBorder="1" applyAlignment="1">
      <alignment horizontal="center" vertical="center"/>
    </xf>
    <xf numFmtId="0" fontId="1" fillId="0" borderId="1" xfId="0" applyFont="1" applyBorder="1" applyAlignment="1">
      <alignment horizontal="center" vertical="center" wrapText="1"/>
    </xf>
    <xf numFmtId="0" fontId="0" fillId="0" borderId="0" xfId="0" applyFont="1" applyAlignment="1">
      <alignment horizontal="center" vertical="center"/>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0" fontId="2" fillId="0" borderId="0" xfId="0" applyFont="1" applyAlignment="1">
      <alignment horizontal="left" vertical="center"/>
    </xf>
    <xf numFmtId="0" fontId="2" fillId="0" borderId="0" xfId="0" applyFont="1"/>
    <xf numFmtId="0" fontId="0" fillId="0" borderId="14" xfId="0" applyFont="1" applyBorder="1" applyAlignment="1">
      <alignment horizontal="center" vertical="center" wrapText="1"/>
    </xf>
    <xf numFmtId="0" fontId="1" fillId="0" borderId="1" xfId="0" applyFont="1" applyBorder="1" applyAlignment="1">
      <alignment horizontal="center" vertical="center"/>
    </xf>
    <xf numFmtId="0" fontId="2" fillId="0" borderId="0" xfId="1" applyAlignment="1">
      <alignment horizontal="center" vertical="center"/>
    </xf>
    <xf numFmtId="2" fontId="0" fillId="0" borderId="3" xfId="0" applyNumberFormat="1" applyBorder="1" applyAlignment="1">
      <alignment horizontal="center" vertical="center"/>
    </xf>
    <xf numFmtId="2" fontId="10" fillId="0" borderId="3" xfId="0" applyNumberFormat="1" applyFont="1" applyBorder="1" applyAlignment="1">
      <alignment horizontal="center" vertical="center"/>
    </xf>
    <xf numFmtId="2" fontId="10" fillId="0" borderId="8" xfId="0" applyNumberFormat="1" applyFont="1" applyBorder="1" applyAlignment="1">
      <alignment horizontal="center" vertical="center"/>
    </xf>
    <xf numFmtId="0" fontId="2" fillId="0" borderId="3" xfId="1" applyBorder="1" applyAlignment="1">
      <alignment horizontal="center" vertical="center"/>
    </xf>
    <xf numFmtId="0" fontId="8" fillId="0" borderId="0" xfId="1" applyFont="1" applyBorder="1" applyAlignment="1">
      <alignment horizontal="center" vertical="center"/>
    </xf>
    <xf numFmtId="2" fontId="2" fillId="0" borderId="3" xfId="1" quotePrefix="1" applyNumberFormat="1" applyBorder="1" applyAlignment="1">
      <alignment horizontal="center" vertical="center"/>
    </xf>
    <xf numFmtId="2" fontId="2" fillId="0" borderId="0" xfId="1" quotePrefix="1" applyNumberFormat="1" applyBorder="1" applyAlignment="1">
      <alignment horizontal="center" vertical="center"/>
    </xf>
    <xf numFmtId="2" fontId="2" fillId="0" borderId="8" xfId="1" quotePrefix="1" applyNumberFormat="1" applyBorder="1" applyAlignment="1">
      <alignment horizontal="center" vertical="center"/>
    </xf>
    <xf numFmtId="0" fontId="8" fillId="0" borderId="8" xfId="1" applyFont="1" applyBorder="1" applyAlignment="1">
      <alignment horizontal="center" vertical="center"/>
    </xf>
    <xf numFmtId="0" fontId="2" fillId="0" borderId="11" xfId="1" applyBorder="1" applyAlignment="1">
      <alignment horizontal="center" vertical="center"/>
    </xf>
    <xf numFmtId="0" fontId="12" fillId="0" borderId="0" xfId="0" applyFont="1" applyAlignment="1">
      <alignment horizontal="left" vertical="center"/>
    </xf>
    <xf numFmtId="0" fontId="8" fillId="0" borderId="0" xfId="1" applyFont="1" applyBorder="1" applyAlignment="1">
      <alignment vertical="center"/>
    </xf>
    <xf numFmtId="0" fontId="1" fillId="0" borderId="0" xfId="0" applyFont="1" applyAlignment="1">
      <alignment horizontal="center"/>
    </xf>
    <xf numFmtId="2" fontId="0" fillId="0" borderId="0" xfId="0" applyNumberFormat="1" applyAlignment="1">
      <alignment horizontal="center"/>
    </xf>
    <xf numFmtId="2" fontId="1" fillId="0" borderId="0" xfId="0" applyNumberFormat="1" applyFont="1" applyAlignment="1">
      <alignment horizontal="center"/>
    </xf>
    <xf numFmtId="0" fontId="2" fillId="0" borderId="0" xfId="1" applyAlignment="1">
      <alignment horizontal="center"/>
    </xf>
    <xf numFmtId="0" fontId="14" fillId="0" borderId="0" xfId="1" applyFont="1" applyAlignment="1">
      <alignment horizontal="center" vertical="center"/>
    </xf>
    <xf numFmtId="10" fontId="15" fillId="0" borderId="0" xfId="1" applyNumberFormat="1" applyFont="1" applyAlignment="1">
      <alignment horizontal="center" vertical="center"/>
    </xf>
    <xf numFmtId="10" fontId="2" fillId="0" borderId="0" xfId="1" applyNumberFormat="1" applyAlignment="1">
      <alignment horizontal="center" vertical="center"/>
    </xf>
    <xf numFmtId="10" fontId="2" fillId="0" borderId="0" xfId="2" applyNumberFormat="1" applyFont="1" applyAlignment="1">
      <alignment horizontal="center" vertical="center"/>
    </xf>
    <xf numFmtId="10" fontId="14" fillId="0" borderId="0" xfId="2" applyNumberFormat="1" applyFont="1" applyFill="1" applyBorder="1" applyAlignment="1" applyProtection="1">
      <alignment horizontal="center" vertical="center"/>
    </xf>
    <xf numFmtId="10" fontId="14" fillId="0" borderId="0" xfId="2" applyNumberFormat="1" applyFont="1" applyAlignment="1">
      <alignment horizontal="center"/>
    </xf>
    <xf numFmtId="10" fontId="2" fillId="0" borderId="0" xfId="2" applyNumberFormat="1" applyFont="1" applyAlignment="1">
      <alignment horizontal="center"/>
    </xf>
    <xf numFmtId="10" fontId="14" fillId="0" borderId="0" xfId="2" applyNumberFormat="1" applyFont="1" applyFill="1" applyBorder="1" applyAlignment="1" applyProtection="1">
      <alignment horizontal="center"/>
    </xf>
    <xf numFmtId="0" fontId="2" fillId="0" borderId="0" xfId="1" applyAlignment="1">
      <alignment horizontal="center" vertical="center" wrapText="1"/>
    </xf>
    <xf numFmtId="0" fontId="2" fillId="0" borderId="0" xfId="1" applyFill="1" applyBorder="1" applyAlignment="1">
      <alignment horizontal="center" vertical="center"/>
    </xf>
    <xf numFmtId="10" fontId="2" fillId="0" borderId="0" xfId="2" quotePrefix="1" applyNumberFormat="1" applyFont="1" applyAlignment="1">
      <alignment horizontal="center"/>
    </xf>
    <xf numFmtId="2" fontId="0" fillId="0" borderId="0" xfId="0" applyNumberFormat="1" applyAlignment="1">
      <alignment horizontal="center" vertical="center"/>
    </xf>
    <xf numFmtId="164" fontId="0" fillId="0" borderId="0" xfId="0" applyNumberFormat="1" applyBorder="1" applyAlignment="1">
      <alignment horizontal="center" vertical="center"/>
    </xf>
    <xf numFmtId="0" fontId="0" fillId="0" borderId="9" xfId="0"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2" fontId="0" fillId="0" borderId="0" xfId="0" applyNumberFormat="1" applyBorder="1" applyAlignment="1">
      <alignment horizontal="center" vertical="center"/>
    </xf>
    <xf numFmtId="2" fontId="0" fillId="0" borderId="8" xfId="0" applyNumberFormat="1" applyBorder="1" applyAlignment="1">
      <alignment horizontal="center" vertical="center"/>
    </xf>
    <xf numFmtId="0" fontId="8" fillId="0" borderId="3" xfId="1" applyFont="1" applyBorder="1" applyAlignment="1">
      <alignment horizontal="center" vertical="center"/>
    </xf>
    <xf numFmtId="2" fontId="2" fillId="0" borderId="3" xfId="1" applyNumberFormat="1" applyBorder="1" applyAlignment="1">
      <alignment horizontal="center" vertical="center"/>
    </xf>
    <xf numFmtId="2" fontId="2" fillId="0" borderId="0" xfId="1" applyNumberFormat="1" applyBorder="1" applyAlignment="1">
      <alignment horizontal="center" vertical="center"/>
    </xf>
    <xf numFmtId="2" fontId="2" fillId="0" borderId="8" xfId="1" applyNumberFormat="1" applyBorder="1" applyAlignment="1">
      <alignment horizontal="center" vertical="center"/>
    </xf>
    <xf numFmtId="0" fontId="8" fillId="0" borderId="2"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2" fillId="0" borderId="0" xfId="1" applyBorder="1" applyAlignment="1">
      <alignment horizontal="center" vertical="center"/>
    </xf>
    <xf numFmtId="0" fontId="2" fillId="0" borderId="8" xfId="1" applyBorder="1" applyAlignment="1">
      <alignment horizontal="center" vertical="center"/>
    </xf>
    <xf numFmtId="0" fontId="8" fillId="0" borderId="10" xfId="1" applyFont="1" applyBorder="1" applyAlignment="1">
      <alignment horizontal="center" vertical="center"/>
    </xf>
    <xf numFmtId="0" fontId="8" fillId="0" borderId="0" xfId="1" applyFont="1" applyAlignment="1">
      <alignment horizontal="center" vertical="center"/>
    </xf>
    <xf numFmtId="0" fontId="15" fillId="0" borderId="0" xfId="1" applyFont="1" applyAlignment="1">
      <alignment horizontal="center" vertical="center"/>
    </xf>
    <xf numFmtId="0" fontId="0" fillId="0" borderId="0" xfId="0" applyAlignment="1">
      <alignment horizontal="center" vertical="center"/>
    </xf>
    <xf numFmtId="0" fontId="0" fillId="0" borderId="0" xfId="0" applyBorder="1" applyAlignment="1">
      <alignment horizont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2" fillId="0" borderId="28" xfId="1" applyBorder="1" applyAlignment="1">
      <alignment horizontal="center" vertical="center"/>
    </xf>
    <xf numFmtId="0" fontId="2" fillId="0" borderId="25" xfId="1" applyBorder="1" applyAlignment="1">
      <alignment horizontal="center" vertical="center"/>
    </xf>
    <xf numFmtId="2" fontId="2" fillId="0" borderId="25" xfId="1" quotePrefix="1" applyNumberFormat="1" applyBorder="1" applyAlignment="1">
      <alignment horizontal="center" vertical="center"/>
    </xf>
    <xf numFmtId="0" fontId="2" fillId="0" borderId="7" xfId="1" applyBorder="1" applyAlignment="1">
      <alignment horizontal="center" vertical="center"/>
    </xf>
    <xf numFmtId="0" fontId="2" fillId="0" borderId="2" xfId="1" applyBorder="1" applyAlignment="1">
      <alignment horizontal="center" vertical="center"/>
    </xf>
    <xf numFmtId="10" fontId="2" fillId="0" borderId="0" xfId="1" applyNumberFormat="1" applyBorder="1" applyAlignment="1">
      <alignment horizontal="center" vertical="center"/>
    </xf>
    <xf numFmtId="0" fontId="2" fillId="0" borderId="0" xfId="1" quotePrefix="1" applyBorder="1" applyAlignment="1">
      <alignment horizontal="center" vertical="center"/>
    </xf>
    <xf numFmtId="2" fontId="2" fillId="0" borderId="0" xfId="1" applyNumberFormat="1" applyBorder="1" applyAlignment="1">
      <alignment horizontal="center"/>
    </xf>
    <xf numFmtId="2" fontId="2" fillId="0" borderId="25" xfId="1" applyNumberFormat="1" applyBorder="1" applyAlignment="1">
      <alignment horizontal="center" vertical="center"/>
    </xf>
    <xf numFmtId="2" fontId="2" fillId="0" borderId="6" xfId="1" applyNumberFormat="1" applyBorder="1" applyAlignment="1">
      <alignment horizontal="center" vertical="center"/>
    </xf>
    <xf numFmtId="2" fontId="2" fillId="0" borderId="26" xfId="1" applyNumberFormat="1" applyBorder="1" applyAlignment="1">
      <alignment horizontal="center" vertical="center"/>
    </xf>
    <xf numFmtId="0" fontId="8" fillId="0" borderId="6" xfId="1" applyFont="1" applyBorder="1" applyAlignment="1">
      <alignment horizontal="center" vertical="center"/>
    </xf>
    <xf numFmtId="0" fontId="8" fillId="0" borderId="18" xfId="1" applyFont="1" applyBorder="1" applyAlignment="1">
      <alignment horizontal="center" vertical="center"/>
    </xf>
    <xf numFmtId="165" fontId="2" fillId="0" borderId="18" xfId="1" applyNumberFormat="1" applyBorder="1" applyAlignment="1">
      <alignment horizontal="center" vertical="center"/>
    </xf>
    <xf numFmtId="0" fontId="8" fillId="0" borderId="0" xfId="1" quotePrefix="1" applyFont="1" applyBorder="1" applyAlignment="1">
      <alignment horizontal="center" vertical="center"/>
    </xf>
    <xf numFmtId="0" fontId="8" fillId="0" borderId="25" xfId="1" applyFont="1" applyBorder="1" applyAlignment="1">
      <alignment horizontal="center" vertical="center"/>
    </xf>
    <xf numFmtId="0" fontId="8" fillId="0" borderId="25" xfId="1" quotePrefix="1" applyFont="1" applyBorder="1" applyAlignment="1">
      <alignment horizontal="center" vertical="center"/>
    </xf>
    <xf numFmtId="165" fontId="2" fillId="0" borderId="17" xfId="1" applyNumberFormat="1" applyBorder="1" applyAlignment="1">
      <alignment horizontal="center" vertical="center"/>
    </xf>
    <xf numFmtId="0" fontId="8" fillId="0" borderId="3" xfId="1" quotePrefix="1" applyFont="1" applyBorder="1" applyAlignment="1">
      <alignment horizontal="center" vertical="center"/>
    </xf>
    <xf numFmtId="165" fontId="2" fillId="0" borderId="22" xfId="1" applyNumberFormat="1" applyBorder="1" applyAlignment="1">
      <alignment horizontal="center" vertical="center"/>
    </xf>
    <xf numFmtId="2" fontId="2" fillId="0" borderId="4" xfId="1" applyNumberFormat="1" applyBorder="1" applyAlignment="1">
      <alignment horizontal="center" vertical="center"/>
    </xf>
    <xf numFmtId="0" fontId="2" fillId="0" borderId="8" xfId="1" quotePrefix="1" applyBorder="1" applyAlignment="1">
      <alignment horizontal="center" vertical="center"/>
    </xf>
    <xf numFmtId="0" fontId="2" fillId="0" borderId="37" xfId="1" quotePrefix="1" applyBorder="1" applyAlignment="1">
      <alignment horizontal="center" vertical="center"/>
    </xf>
    <xf numFmtId="2" fontId="2" fillId="0" borderId="9" xfId="1" applyNumberFormat="1" applyBorder="1" applyAlignment="1">
      <alignment horizontal="center" vertical="center"/>
    </xf>
    <xf numFmtId="0" fontId="8" fillId="0" borderId="8" xfId="1" quotePrefix="1" applyFont="1" applyBorder="1" applyAlignment="1">
      <alignment horizontal="center" vertical="center"/>
    </xf>
    <xf numFmtId="0" fontId="8" fillId="0" borderId="3" xfId="1" applyFont="1" applyBorder="1" applyAlignment="1">
      <alignment vertical="center"/>
    </xf>
    <xf numFmtId="0" fontId="8" fillId="0" borderId="37" xfId="1" applyFont="1" applyBorder="1" applyAlignment="1">
      <alignment horizontal="center" vertical="center"/>
    </xf>
    <xf numFmtId="0" fontId="8" fillId="0" borderId="9" xfId="1" applyFont="1" applyBorder="1" applyAlignment="1">
      <alignment horizontal="center" vertical="center"/>
    </xf>
    <xf numFmtId="0" fontId="2" fillId="0" borderId="18" xfId="1" quotePrefix="1" applyBorder="1" applyAlignment="1">
      <alignment horizontal="center" vertical="center"/>
    </xf>
    <xf numFmtId="0" fontId="8" fillId="0" borderId="11" xfId="1" quotePrefix="1" applyFont="1" applyBorder="1" applyAlignment="1">
      <alignment horizontal="center" vertical="center"/>
    </xf>
    <xf numFmtId="0" fontId="2" fillId="0" borderId="11" xfId="1" applyFont="1" applyBorder="1" applyAlignment="1">
      <alignment horizontal="center" vertical="center"/>
    </xf>
    <xf numFmtId="2" fontId="2" fillId="0" borderId="11" xfId="1" quotePrefix="1" applyNumberFormat="1" applyFont="1" applyBorder="1" applyAlignment="1">
      <alignment horizontal="center" vertical="center"/>
    </xf>
    <xf numFmtId="2" fontId="2" fillId="0" borderId="11" xfId="1" applyNumberFormat="1" applyFont="1" applyBorder="1" applyAlignment="1">
      <alignment horizontal="center" vertical="center"/>
    </xf>
    <xf numFmtId="0" fontId="2" fillId="0" borderId="16" xfId="1" quotePrefix="1" applyFont="1" applyBorder="1" applyAlignment="1">
      <alignment horizontal="center" vertical="center"/>
    </xf>
    <xf numFmtId="2" fontId="2" fillId="0" borderId="12" xfId="1" applyNumberFormat="1" applyFont="1" applyBorder="1" applyAlignment="1">
      <alignment horizontal="center" vertical="center"/>
    </xf>
    <xf numFmtId="10" fontId="2" fillId="0" borderId="6" xfId="1" applyNumberFormat="1" applyBorder="1" applyAlignment="1">
      <alignment horizontal="center" vertical="center"/>
    </xf>
    <xf numFmtId="10" fontId="2" fillId="0" borderId="8" xfId="1" applyNumberFormat="1" applyBorder="1" applyAlignment="1">
      <alignment horizontal="center" vertical="center"/>
    </xf>
    <xf numFmtId="10" fontId="2" fillId="0" borderId="9" xfId="1" applyNumberFormat="1" applyBorder="1" applyAlignment="1">
      <alignment horizontal="center" vertical="center"/>
    </xf>
    <xf numFmtId="0" fontId="8" fillId="0" borderId="4" xfId="1" applyFont="1" applyBorder="1" applyAlignment="1">
      <alignment horizontal="center" vertical="center"/>
    </xf>
    <xf numFmtId="2" fontId="2" fillId="0" borderId="0" xfId="2" applyNumberFormat="1" applyFont="1" applyAlignment="1">
      <alignment horizontal="center"/>
    </xf>
    <xf numFmtId="2" fontId="14" fillId="0" borderId="0" xfId="2" applyNumberFormat="1" applyFont="1" applyFill="1" applyBorder="1" applyAlignment="1" applyProtection="1">
      <alignment horizontal="center"/>
    </xf>
    <xf numFmtId="0" fontId="2" fillId="0" borderId="5" xfId="1" applyFill="1" applyBorder="1" applyAlignment="1">
      <alignment horizontal="center" vertical="center" wrapText="1"/>
    </xf>
    <xf numFmtId="2" fontId="15" fillId="0" borderId="5" xfId="1" applyNumberFormat="1" applyFont="1" applyFill="1" applyBorder="1" applyAlignment="1">
      <alignment horizontal="center" vertical="center"/>
    </xf>
    <xf numFmtId="10" fontId="14" fillId="0" borderId="0" xfId="2" applyNumberFormat="1" applyFont="1" applyBorder="1" applyAlignment="1">
      <alignment horizontal="center" vertical="center"/>
    </xf>
    <xf numFmtId="10" fontId="2" fillId="0" borderId="0" xfId="2" applyNumberFormat="1" applyFont="1" applyBorder="1" applyAlignment="1">
      <alignment horizontal="center" vertical="center"/>
    </xf>
    <xf numFmtId="10" fontId="14" fillId="0" borderId="6" xfId="2" applyNumberFormat="1" applyFont="1" applyBorder="1" applyAlignment="1">
      <alignment horizontal="center" vertical="center"/>
    </xf>
    <xf numFmtId="2" fontId="15" fillId="0" borderId="7" xfId="1" applyNumberFormat="1" applyFont="1" applyFill="1" applyBorder="1" applyAlignment="1">
      <alignment horizontal="center" vertical="center"/>
    </xf>
    <xf numFmtId="10" fontId="2" fillId="0" borderId="8" xfId="2" applyNumberFormat="1" applyFont="1" applyBorder="1" applyAlignment="1">
      <alignment horizontal="center" vertical="center"/>
    </xf>
    <xf numFmtId="10" fontId="14" fillId="0" borderId="8" xfId="2" applyNumberFormat="1" applyFont="1" applyBorder="1" applyAlignment="1">
      <alignment horizontal="center" vertical="center"/>
    </xf>
    <xf numFmtId="10" fontId="14" fillId="0" borderId="8" xfId="2" applyNumberFormat="1" applyFont="1" applyFill="1" applyBorder="1" applyAlignment="1" applyProtection="1">
      <alignment horizontal="center" vertical="center"/>
    </xf>
    <xf numFmtId="10" fontId="2" fillId="0" borderId="9" xfId="2" applyNumberFormat="1" applyFont="1" applyBorder="1" applyAlignment="1">
      <alignment horizontal="center" vertical="center"/>
    </xf>
    <xf numFmtId="0" fontId="2" fillId="0" borderId="27" xfId="1" applyFill="1" applyBorder="1" applyAlignment="1">
      <alignment horizontal="center" vertical="center"/>
    </xf>
    <xf numFmtId="0" fontId="8" fillId="0" borderId="28" xfId="1" applyFont="1" applyBorder="1" applyAlignment="1">
      <alignment horizontal="center" vertical="center"/>
    </xf>
    <xf numFmtId="2" fontId="15" fillId="0" borderId="24" xfId="1" applyNumberFormat="1" applyFont="1" applyFill="1" applyBorder="1" applyAlignment="1">
      <alignment horizontal="center" vertical="center"/>
    </xf>
    <xf numFmtId="0" fontId="15" fillId="0" borderId="25" xfId="1" applyFont="1" applyBorder="1" applyAlignment="1">
      <alignment horizontal="center" vertical="center"/>
    </xf>
    <xf numFmtId="0" fontId="8" fillId="0" borderId="26" xfId="1" applyFont="1" applyBorder="1" applyAlignment="1">
      <alignment horizontal="center" vertical="center"/>
    </xf>
    <xf numFmtId="10" fontId="14" fillId="0" borderId="34" xfId="2" applyNumberFormat="1" applyFont="1" applyBorder="1" applyAlignment="1">
      <alignment horizontal="center" vertical="center"/>
    </xf>
    <xf numFmtId="10" fontId="2" fillId="0" borderId="34" xfId="2" applyNumberFormat="1" applyFont="1" applyBorder="1" applyAlignment="1">
      <alignment horizontal="center" vertical="center"/>
    </xf>
    <xf numFmtId="10" fontId="2" fillId="0" borderId="33" xfId="2" applyNumberFormat="1" applyFont="1" applyBorder="1" applyAlignment="1">
      <alignment horizontal="center" vertical="center"/>
    </xf>
    <xf numFmtId="0" fontId="8" fillId="0" borderId="20" xfId="1" applyFont="1" applyBorder="1" applyAlignment="1">
      <alignment horizontal="center" vertical="center"/>
    </xf>
    <xf numFmtId="0" fontId="8" fillId="0" borderId="19" xfId="1" applyFont="1" applyBorder="1" applyAlignment="1">
      <alignment horizontal="center" vertical="center"/>
    </xf>
    <xf numFmtId="10" fontId="14" fillId="0" borderId="20" xfId="2" applyNumberFormat="1" applyFont="1" applyBorder="1" applyAlignment="1">
      <alignment horizontal="center" vertical="center"/>
    </xf>
    <xf numFmtId="10" fontId="14" fillId="0" borderId="38" xfId="2" applyNumberFormat="1" applyFont="1" applyBorder="1" applyAlignment="1">
      <alignment horizontal="center" vertical="center"/>
    </xf>
    <xf numFmtId="0" fontId="0" fillId="0" borderId="0" xfId="0" applyAlignment="1">
      <alignment horizontal="center"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0" xfId="0" applyFont="1" applyBorder="1" applyAlignment="1">
      <alignment horizontal="center" vertical="center"/>
    </xf>
    <xf numFmtId="9" fontId="0" fillId="0" borderId="0" xfId="2" applyFont="1" applyBorder="1" applyAlignment="1">
      <alignment horizontal="center" vertical="center"/>
    </xf>
    <xf numFmtId="9" fontId="0" fillId="0" borderId="0" xfId="0" applyNumberFormat="1" applyBorder="1" applyAlignment="1">
      <alignment horizontal="center" vertical="center"/>
    </xf>
    <xf numFmtId="9" fontId="0" fillId="0" borderId="6" xfId="0" applyNumberFormat="1" applyBorder="1" applyAlignment="1">
      <alignment horizontal="center" vertical="center"/>
    </xf>
    <xf numFmtId="0" fontId="0" fillId="0" borderId="6" xfId="0" applyBorder="1" applyAlignment="1">
      <alignment horizontal="center" vertical="center"/>
    </xf>
    <xf numFmtId="0" fontId="1" fillId="0" borderId="24" xfId="0" applyFont="1" applyBorder="1" applyAlignment="1">
      <alignment horizontal="center" vertical="center"/>
    </xf>
    <xf numFmtId="0" fontId="0" fillId="0" borderId="28" xfId="0" applyBorder="1" applyAlignment="1">
      <alignment horizontal="center" vertical="center"/>
    </xf>
    <xf numFmtId="9" fontId="0" fillId="0" borderId="28" xfId="2" applyFont="1" applyBorder="1" applyAlignment="1">
      <alignment horizontal="center" vertical="center"/>
    </xf>
    <xf numFmtId="9" fontId="0" fillId="0" borderId="28" xfId="0" applyNumberFormat="1" applyBorder="1" applyAlignment="1">
      <alignment horizontal="center" vertical="center"/>
    </xf>
    <xf numFmtId="9" fontId="0" fillId="0" borderId="29" xfId="0" applyNumberFormat="1" applyBorder="1" applyAlignment="1">
      <alignment horizontal="center" vertical="center"/>
    </xf>
    <xf numFmtId="0" fontId="1" fillId="0" borderId="24" xfId="0" applyFont="1" applyBorder="1" applyAlignment="1">
      <alignment horizontal="center" vertical="center"/>
    </xf>
    <xf numFmtId="0" fontId="1" fillId="0" borderId="23" xfId="0" applyFont="1" applyBorder="1" applyAlignment="1">
      <alignment horizontal="center" vertical="center"/>
    </xf>
    <xf numFmtId="0" fontId="1" fillId="0" borderId="39" xfId="0" applyFont="1" applyBorder="1" applyAlignment="1">
      <alignment horizontal="center" vertical="center"/>
    </xf>
    <xf numFmtId="0" fontId="1" fillId="0" borderId="41" xfId="0" applyFont="1" applyBorder="1" applyAlignment="1">
      <alignment horizontal="center" vertical="center"/>
    </xf>
    <xf numFmtId="0" fontId="1" fillId="0" borderId="40" xfId="0" applyFont="1" applyBorder="1" applyAlignment="1">
      <alignment horizontal="center" vertical="center"/>
    </xf>
    <xf numFmtId="164" fontId="0" fillId="0" borderId="28" xfId="0" applyNumberFormat="1" applyBorder="1" applyAlignment="1">
      <alignment horizontal="center" vertical="center"/>
    </xf>
    <xf numFmtId="2" fontId="2" fillId="0" borderId="28" xfId="1" applyNumberFormat="1" applyBorder="1" applyAlignment="1">
      <alignment horizontal="center"/>
    </xf>
    <xf numFmtId="9" fontId="0" fillId="0" borderId="8" xfId="0" applyNumberFormat="1" applyBorder="1" applyAlignment="1">
      <alignment horizontal="center" vertical="center"/>
    </xf>
    <xf numFmtId="0" fontId="8" fillId="0" borderId="28" xfId="1" applyFont="1" applyBorder="1" applyAlignment="1">
      <alignment horizontal="center" vertical="center"/>
    </xf>
    <xf numFmtId="0" fontId="8" fillId="0" borderId="0" xfId="1" applyFont="1" applyBorder="1" applyAlignment="1">
      <alignment horizontal="center" vertical="center"/>
    </xf>
    <xf numFmtId="0" fontId="8" fillId="0" borderId="25" xfId="1" applyFont="1" applyBorder="1" applyAlignment="1">
      <alignment horizontal="center" vertical="center"/>
    </xf>
    <xf numFmtId="0" fontId="8" fillId="0" borderId="26" xfId="1" applyFont="1" applyBorder="1" applyAlignment="1">
      <alignment horizontal="center" vertical="center"/>
    </xf>
    <xf numFmtId="2" fontId="14" fillId="0" borderId="34" xfId="2" applyNumberFormat="1" applyFont="1" applyBorder="1" applyAlignment="1">
      <alignment horizontal="center" vertical="center"/>
    </xf>
    <xf numFmtId="2" fontId="14" fillId="0" borderId="20" xfId="2" applyNumberFormat="1" applyFont="1" applyBorder="1" applyAlignment="1">
      <alignment horizontal="center" vertical="center"/>
    </xf>
    <xf numFmtId="2" fontId="2" fillId="0" borderId="33" xfId="2" applyNumberFormat="1" applyFont="1" applyBorder="1" applyAlignment="1">
      <alignment horizontal="center" vertical="center"/>
    </xf>
    <xf numFmtId="2" fontId="14" fillId="0" borderId="38" xfId="2" applyNumberFormat="1" applyFont="1" applyBorder="1" applyAlignment="1">
      <alignment horizontal="center" vertical="center"/>
    </xf>
    <xf numFmtId="2" fontId="2" fillId="0" borderId="0" xfId="2" applyNumberFormat="1" applyFont="1" applyBorder="1" applyAlignment="1">
      <alignment horizontal="center" vertical="center"/>
    </xf>
    <xf numFmtId="2" fontId="14" fillId="0" borderId="6" xfId="2" applyNumberFormat="1" applyFont="1" applyBorder="1" applyAlignment="1">
      <alignment horizontal="center" vertical="center"/>
    </xf>
    <xf numFmtId="2" fontId="2" fillId="0" borderId="8" xfId="2" applyNumberFormat="1" applyFont="1" applyBorder="1" applyAlignment="1">
      <alignment horizontal="center" vertical="center"/>
    </xf>
    <xf numFmtId="2" fontId="2" fillId="0" borderId="9" xfId="2" applyNumberFormat="1" applyFont="1" applyBorder="1" applyAlignment="1">
      <alignment horizontal="center" vertical="center"/>
    </xf>
    <xf numFmtId="0" fontId="15" fillId="0" borderId="0" xfId="1" applyFont="1" applyAlignment="1">
      <alignment horizontal="center"/>
    </xf>
    <xf numFmtId="0" fontId="8" fillId="0" borderId="43" xfId="0" applyFont="1" applyBorder="1" applyAlignment="1">
      <alignment horizontal="center" vertical="center"/>
    </xf>
    <xf numFmtId="0" fontId="0" fillId="0" borderId="5" xfId="0" applyBorder="1" applyAlignment="1">
      <alignment horizontal="left" vertical="center" wrapText="1"/>
    </xf>
    <xf numFmtId="0" fontId="0" fillId="0" borderId="44" xfId="0" applyBorder="1" applyAlignment="1">
      <alignment horizontal="center" vertical="center"/>
    </xf>
    <xf numFmtId="0" fontId="0" fillId="0" borderId="7" xfId="0" applyBorder="1" applyAlignment="1">
      <alignment horizontal="left" vertical="center" wrapText="1"/>
    </xf>
    <xf numFmtId="0" fontId="0" fillId="0" borderId="45" xfId="0" applyBorder="1" applyAlignment="1">
      <alignment horizontal="center" vertical="center"/>
    </xf>
    <xf numFmtId="0" fontId="2" fillId="0" borderId="0" xfId="1" applyBorder="1" applyAlignment="1">
      <alignment horizontal="center" vertical="center"/>
    </xf>
    <xf numFmtId="0" fontId="1" fillId="0" borderId="11" xfId="0" applyFont="1" applyBorder="1" applyAlignment="1">
      <alignment horizontal="center" vertical="center"/>
    </xf>
    <xf numFmtId="2" fontId="2" fillId="0" borderId="3" xfId="1" applyNumberFormat="1" applyBorder="1" applyAlignment="1">
      <alignment horizontal="center" vertical="center"/>
    </xf>
    <xf numFmtId="2" fontId="2" fillId="0" borderId="8" xfId="1" applyNumberForma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2" fillId="0" borderId="8" xfId="1" applyBorder="1" applyAlignment="1">
      <alignment horizontal="center" vertical="center"/>
    </xf>
    <xf numFmtId="2" fontId="2" fillId="0" borderId="0" xfId="1" applyNumberFormat="1" applyAlignment="1">
      <alignment horizontal="center" vertical="center"/>
    </xf>
    <xf numFmtId="2" fontId="10" fillId="0" borderId="0" xfId="0" applyNumberFormat="1" applyFont="1" applyAlignment="1">
      <alignment horizontal="center" vertical="center"/>
    </xf>
    <xf numFmtId="2" fontId="2" fillId="0" borderId="0" xfId="1" quotePrefix="1" applyNumberFormat="1" applyAlignment="1">
      <alignment horizontal="center" vertical="center"/>
    </xf>
    <xf numFmtId="0" fontId="8" fillId="0" borderId="0" xfId="1" applyFont="1" applyAlignment="1">
      <alignment vertical="center"/>
    </xf>
    <xf numFmtId="0" fontId="0" fillId="0" borderId="8" xfId="0" applyBorder="1" applyAlignment="1">
      <alignment horizontal="center"/>
    </xf>
    <xf numFmtId="0" fontId="1" fillId="0" borderId="11" xfId="0" applyFont="1" applyBorder="1" applyAlignment="1">
      <alignment horizontal="center"/>
    </xf>
    <xf numFmtId="0" fontId="0" fillId="0" borderId="3" xfId="0" applyBorder="1" applyAlignment="1">
      <alignment horizontal="center"/>
    </xf>
    <xf numFmtId="0" fontId="0" fillId="0" borderId="3" xfId="0" applyBorder="1" applyAlignment="1">
      <alignment horizontal="center" vertical="center"/>
    </xf>
    <xf numFmtId="0" fontId="16" fillId="0" borderId="0" xfId="0" applyFont="1" applyAlignment="1">
      <alignment horizontal="center"/>
    </xf>
    <xf numFmtId="0" fontId="1" fillId="0" borderId="0" xfId="0" applyFont="1" applyBorder="1" applyAlignment="1">
      <alignment horizontal="center"/>
    </xf>
    <xf numFmtId="2" fontId="0" fillId="0" borderId="0" xfId="0" applyNumberFormat="1" applyBorder="1" applyAlignment="1">
      <alignment horizontal="center"/>
    </xf>
    <xf numFmtId="2" fontId="2" fillId="0" borderId="8" xfId="1" applyNumberForma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3" xfId="1" applyFont="1" applyBorder="1" applyAlignment="1">
      <alignment horizontal="center" vertical="center"/>
    </xf>
    <xf numFmtId="0" fontId="2" fillId="0" borderId="0" xfId="1" applyAlignment="1">
      <alignment horizontal="center" vertical="center"/>
    </xf>
    <xf numFmtId="0" fontId="2" fillId="0" borderId="8" xfId="1" applyBorder="1" applyAlignment="1">
      <alignment horizontal="center" vertical="center"/>
    </xf>
    <xf numFmtId="2" fontId="0" fillId="0" borderId="3" xfId="0" applyNumberFormat="1" applyBorder="1" applyAlignment="1">
      <alignment horizontal="center" vertical="center"/>
    </xf>
    <xf numFmtId="2" fontId="0" fillId="0" borderId="0" xfId="0" applyNumberFormat="1" applyBorder="1" applyAlignment="1">
      <alignment horizontal="center" vertical="center"/>
    </xf>
    <xf numFmtId="2" fontId="0" fillId="0" borderId="8" xfId="0" applyNumberFormat="1" applyBorder="1" applyAlignment="1">
      <alignment horizontal="center" vertical="center"/>
    </xf>
    <xf numFmtId="0" fontId="1" fillId="0" borderId="8" xfId="0" applyFont="1" applyBorder="1" applyAlignment="1">
      <alignment horizontal="center"/>
    </xf>
    <xf numFmtId="0" fontId="8" fillId="0" borderId="0" xfId="1" applyFont="1" applyBorder="1" applyAlignment="1">
      <alignment horizontal="center" vertical="center"/>
    </xf>
    <xf numFmtId="2" fontId="0" fillId="0" borderId="0" xfId="0" applyNumberFormat="1" applyBorder="1" applyAlignment="1">
      <alignment vertical="center"/>
    </xf>
    <xf numFmtId="0" fontId="1" fillId="0" borderId="5" xfId="0" applyFont="1" applyBorder="1" applyAlignment="1">
      <alignment horizontal="center"/>
    </xf>
    <xf numFmtId="0" fontId="0" fillId="0" borderId="5" xfId="0" applyBorder="1" applyAlignment="1">
      <alignment horizontal="center"/>
    </xf>
    <xf numFmtId="0" fontId="0" fillId="0" borderId="10" xfId="0" applyBorder="1" applyAlignment="1">
      <alignment horizontal="center"/>
    </xf>
    <xf numFmtId="2" fontId="0" fillId="0" borderId="5" xfId="0" applyNumberFormat="1" applyBorder="1" applyAlignment="1">
      <alignment horizontal="center"/>
    </xf>
    <xf numFmtId="2" fontId="0" fillId="0" borderId="7" xfId="0" applyNumberFormat="1" applyBorder="1" applyAlignment="1">
      <alignment horizontal="center"/>
    </xf>
    <xf numFmtId="0" fontId="0" fillId="0" borderId="0" xfId="0" quotePrefix="1" applyBorder="1" applyAlignment="1">
      <alignment horizontal="center"/>
    </xf>
    <xf numFmtId="0" fontId="0" fillId="0" borderId="8" xfId="0" quotePrefix="1" applyBorder="1" applyAlignment="1">
      <alignment horizontal="center"/>
    </xf>
    <xf numFmtId="0" fontId="1" fillId="0" borderId="0" xfId="0" applyFont="1" applyAlignment="1">
      <alignment horizontal="left" vertical="center"/>
    </xf>
    <xf numFmtId="0" fontId="8" fillId="0" borderId="11" xfId="1" applyFont="1" applyBorder="1" applyAlignment="1">
      <alignment horizontal="center" vertical="center"/>
    </xf>
    <xf numFmtId="2" fontId="2" fillId="0" borderId="0" xfId="1" applyNumberFormat="1" applyAlignment="1">
      <alignment horizontal="center" vertical="center"/>
    </xf>
    <xf numFmtId="2" fontId="2" fillId="0" borderId="8" xfId="1" applyNumberFormat="1" applyBorder="1" applyAlignment="1">
      <alignment horizontal="center" vertical="center"/>
    </xf>
    <xf numFmtId="0" fontId="2" fillId="0" borderId="8" xfId="1" applyBorder="1" applyAlignment="1">
      <alignment horizontal="center" vertical="center"/>
    </xf>
    <xf numFmtId="9" fontId="0" fillId="0" borderId="0" xfId="0" applyNumberFormat="1" applyAlignment="1">
      <alignment horizontal="center"/>
    </xf>
    <xf numFmtId="166" fontId="0" fillId="0" borderId="0" xfId="0" applyNumberFormat="1" applyAlignment="1">
      <alignment horizontal="center"/>
    </xf>
    <xf numFmtId="2" fontId="0" fillId="0" borderId="0" xfId="0" applyNumberFormat="1" applyBorder="1" applyAlignment="1">
      <alignment horizontal="center" vertical="center"/>
    </xf>
    <xf numFmtId="0" fontId="8" fillId="0" borderId="42" xfId="0" applyFont="1" applyBorder="1" applyAlignment="1">
      <alignment horizontal="center" vertical="center" wrapText="1"/>
    </xf>
    <xf numFmtId="165" fontId="2" fillId="0" borderId="0" xfId="1" applyNumberFormat="1" applyAlignment="1">
      <alignment horizontal="center" vertical="center"/>
    </xf>
    <xf numFmtId="0" fontId="2" fillId="0" borderId="2" xfId="1" applyBorder="1" applyAlignment="1">
      <alignment vertical="center"/>
    </xf>
    <xf numFmtId="2" fontId="15" fillId="0" borderId="0" xfId="1" applyNumberFormat="1" applyFont="1" applyFill="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0" xfId="0" quotePrefix="1" applyFont="1" applyBorder="1" applyAlignment="1">
      <alignment vertical="center"/>
    </xf>
    <xf numFmtId="164" fontId="14" fillId="0" borderId="0" xfId="2" applyNumberFormat="1" applyFont="1" applyBorder="1" applyAlignment="1">
      <alignment horizontal="center" vertical="center"/>
    </xf>
    <xf numFmtId="164" fontId="14" fillId="0" borderId="8" xfId="2" applyNumberFormat="1" applyFont="1" applyBorder="1" applyAlignment="1">
      <alignment horizontal="center" vertical="center"/>
    </xf>
    <xf numFmtId="0" fontId="2" fillId="0" borderId="0" xfId="1" applyAlignment="1">
      <alignment horizontal="center" vertical="center"/>
    </xf>
    <xf numFmtId="0" fontId="8" fillId="0" borderId="0" xfId="1" applyFont="1" applyAlignment="1">
      <alignment horizontal="center"/>
    </xf>
    <xf numFmtId="0" fontId="20" fillId="2" borderId="1"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0" fillId="0" borderId="15" xfId="0" applyFont="1" applyBorder="1" applyAlignment="1">
      <alignment horizontal="center" vertical="center" wrapText="1"/>
    </xf>
    <xf numFmtId="10" fontId="22" fillId="0" borderId="9" xfId="0" applyNumberFormat="1" applyFont="1" applyBorder="1" applyAlignment="1">
      <alignment horizontal="center" vertical="center" wrapText="1"/>
    </xf>
    <xf numFmtId="0" fontId="22" fillId="0" borderId="9" xfId="0" applyFont="1" applyBorder="1" applyAlignment="1">
      <alignment horizontal="center" vertical="center" wrapText="1"/>
    </xf>
    <xf numFmtId="0" fontId="19" fillId="0" borderId="12" xfId="0" applyFont="1" applyBorder="1" applyAlignment="1">
      <alignment horizontal="center" vertical="center"/>
    </xf>
    <xf numFmtId="0" fontId="19" fillId="0" borderId="12"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9" xfId="0" applyFont="1" applyBorder="1" applyAlignment="1">
      <alignment horizontal="center" vertical="center"/>
    </xf>
    <xf numFmtId="0" fontId="18" fillId="0" borderId="9" xfId="0" applyFont="1" applyBorder="1" applyAlignment="1">
      <alignment horizontal="center" vertical="center"/>
    </xf>
    <xf numFmtId="0" fontId="18" fillId="0" borderId="9"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8" xfId="0" applyFont="1" applyBorder="1" applyAlignment="1">
      <alignment horizontal="center" vertical="center"/>
    </xf>
    <xf numFmtId="0" fontId="15" fillId="0" borderId="0" xfId="1" applyFont="1" applyAlignment="1">
      <alignment wrapText="1"/>
    </xf>
    <xf numFmtId="0" fontId="8" fillId="0" borderId="0" xfId="1" applyFont="1" applyAlignment="1"/>
    <xf numFmtId="0" fontId="19" fillId="0" borderId="11" xfId="0" applyFont="1" applyBorder="1" applyAlignment="1">
      <alignment horizontal="center" vertical="center"/>
    </xf>
    <xf numFmtId="0" fontId="0" fillId="0" borderId="5" xfId="0" applyBorder="1" applyAlignment="1">
      <alignment horizontal="center" vertical="center"/>
    </xf>
    <xf numFmtId="2" fontId="0" fillId="0" borderId="34" xfId="0" applyNumberFormat="1" applyBorder="1" applyAlignment="1">
      <alignment horizontal="center" vertical="center"/>
    </xf>
    <xf numFmtId="0" fontId="0" fillId="0" borderId="7" xfId="0" applyBorder="1" applyAlignment="1">
      <alignment horizontal="center" vertical="center"/>
    </xf>
    <xf numFmtId="2" fontId="0" fillId="0" borderId="33" xfId="0" applyNumberFormat="1" applyBorder="1" applyAlignment="1">
      <alignment horizontal="center" vertical="center"/>
    </xf>
    <xf numFmtId="0" fontId="0" fillId="0" borderId="34" xfId="0" applyBorder="1" applyAlignment="1">
      <alignment horizontal="center" vertical="center"/>
    </xf>
    <xf numFmtId="2" fontId="0" fillId="0" borderId="0" xfId="0" applyNumberFormat="1"/>
    <xf numFmtId="167" fontId="0" fillId="0" borderId="0" xfId="0" applyNumberFormat="1"/>
    <xf numFmtId="0" fontId="1" fillId="0" borderId="25" xfId="0" applyFont="1" applyBorder="1"/>
    <xf numFmtId="0" fontId="1" fillId="0" borderId="36" xfId="0" applyFont="1" applyBorder="1"/>
    <xf numFmtId="0" fontId="1" fillId="0" borderId="19" xfId="0" applyFont="1" applyBorder="1"/>
    <xf numFmtId="2" fontId="0" fillId="0" borderId="0" xfId="0" applyNumberFormat="1" applyBorder="1"/>
    <xf numFmtId="167" fontId="0" fillId="0" borderId="20" xfId="0" applyNumberFormat="1" applyBorder="1"/>
    <xf numFmtId="2" fontId="0" fillId="0" borderId="8" xfId="0" applyNumberFormat="1" applyBorder="1"/>
    <xf numFmtId="167" fontId="0" fillId="0" borderId="8" xfId="0" applyNumberFormat="1" applyBorder="1"/>
    <xf numFmtId="167" fontId="0" fillId="0" borderId="38" xfId="0" applyNumberFormat="1" applyBorder="1"/>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30" xfId="0" applyFont="1" applyBorder="1" applyAlignment="1">
      <alignment horizontal="center" vertical="center" wrapText="1"/>
    </xf>
    <xf numFmtId="0" fontId="8" fillId="0" borderId="32" xfId="0" applyFont="1" applyBorder="1" applyAlignment="1">
      <alignment horizontal="center"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7" xfId="0" applyFont="1" applyBorder="1" applyAlignment="1">
      <alignment horizontal="center" vertical="center"/>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7" xfId="0" applyFont="1" applyBorder="1" applyAlignment="1">
      <alignment horizontal="center" vertical="center"/>
    </xf>
    <xf numFmtId="0" fontId="8" fillId="0" borderId="0" xfId="1"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2" fontId="0" fillId="0" borderId="3" xfId="0" applyNumberFormat="1" applyBorder="1" applyAlignment="1">
      <alignment horizontal="center" vertical="center"/>
    </xf>
    <xf numFmtId="2" fontId="0" fillId="0" borderId="0" xfId="0" applyNumberFormat="1" applyBorder="1" applyAlignment="1">
      <alignment horizontal="center" vertical="center"/>
    </xf>
    <xf numFmtId="2" fontId="0" fillId="0" borderId="8" xfId="0" applyNumberFormat="1" applyBorder="1" applyAlignment="1">
      <alignment horizontal="center" vertical="center"/>
    </xf>
    <xf numFmtId="0" fontId="1" fillId="0" borderId="7" xfId="0" applyFont="1" applyBorder="1" applyAlignment="1">
      <alignment horizontal="center"/>
    </xf>
    <xf numFmtId="0" fontId="1" fillId="0" borderId="8" xfId="0" applyFont="1" applyBorder="1" applyAlignment="1">
      <alignment horizontal="center"/>
    </xf>
    <xf numFmtId="0" fontId="8" fillId="0" borderId="8" xfId="1" applyFont="1" applyBorder="1" applyAlignment="1">
      <alignment horizontal="center" vertical="center"/>
    </xf>
    <xf numFmtId="0" fontId="8" fillId="0" borderId="10" xfId="1" applyFont="1" applyBorder="1" applyAlignment="1">
      <alignment horizontal="center" vertical="center"/>
    </xf>
    <xf numFmtId="0" fontId="8" fillId="0" borderId="11" xfId="1" applyFont="1" applyBorder="1" applyAlignment="1">
      <alignment horizontal="center" vertical="center"/>
    </xf>
    <xf numFmtId="2" fontId="2" fillId="0" borderId="3" xfId="1" applyNumberFormat="1" applyBorder="1" applyAlignment="1">
      <alignment horizontal="center" vertical="center"/>
    </xf>
    <xf numFmtId="2" fontId="2" fillId="0" borderId="0" xfId="1" applyNumberFormat="1" applyAlignment="1">
      <alignment horizontal="center" vertical="center"/>
    </xf>
    <xf numFmtId="2" fontId="2" fillId="0" borderId="8" xfId="1" applyNumberFormat="1" applyBorder="1" applyAlignment="1">
      <alignment horizontal="center" vertical="center"/>
    </xf>
    <xf numFmtId="0" fontId="8" fillId="0" borderId="2" xfId="1" applyFont="1" applyBorder="1" applyAlignment="1">
      <alignment horizontal="center" vertical="center"/>
    </xf>
    <xf numFmtId="0" fontId="8" fillId="0" borderId="5" xfId="1" applyFont="1" applyBorder="1" applyAlignment="1">
      <alignment horizontal="center" vertical="center"/>
    </xf>
    <xf numFmtId="0" fontId="8" fillId="0" borderId="7" xfId="1" applyFont="1" applyBorder="1" applyAlignment="1">
      <alignment horizontal="center" vertical="center"/>
    </xf>
    <xf numFmtId="0" fontId="8" fillId="0" borderId="3" xfId="1" applyFont="1" applyBorder="1" applyAlignment="1">
      <alignment horizontal="center" vertical="center"/>
    </xf>
    <xf numFmtId="0" fontId="2" fillId="0" borderId="0" xfId="1" applyAlignment="1">
      <alignment horizontal="center" vertical="center"/>
    </xf>
    <xf numFmtId="0" fontId="2" fillId="0" borderId="8" xfId="1" applyBorder="1" applyAlignment="1">
      <alignment horizontal="center" vertical="center"/>
    </xf>
    <xf numFmtId="0" fontId="1" fillId="0" borderId="27" xfId="0" applyFont="1" applyBorder="1" applyAlignment="1">
      <alignment horizontal="center" vertical="center"/>
    </xf>
    <xf numFmtId="0" fontId="1" fillId="0" borderId="24" xfId="0" applyFont="1" applyBorder="1" applyAlignment="1">
      <alignment horizontal="center" vertical="center"/>
    </xf>
    <xf numFmtId="0" fontId="1" fillId="0" borderId="41"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8" fillId="0" borderId="28" xfId="1" applyFont="1" applyBorder="1" applyAlignment="1">
      <alignment horizontal="center" vertical="center"/>
    </xf>
    <xf numFmtId="0" fontId="8" fillId="0" borderId="29" xfId="1" applyFont="1" applyBorder="1" applyAlignment="1">
      <alignment horizontal="center" vertical="center"/>
    </xf>
    <xf numFmtId="0" fontId="8" fillId="0" borderId="4" xfId="1" applyFont="1" applyBorder="1" applyAlignment="1">
      <alignment horizontal="center" vertical="center"/>
    </xf>
    <xf numFmtId="0" fontId="8" fillId="0" borderId="30" xfId="1" quotePrefix="1" applyFont="1" applyBorder="1" applyAlignment="1">
      <alignment horizontal="center" vertical="center"/>
    </xf>
    <xf numFmtId="0" fontId="8" fillId="0" borderId="31" xfId="1" quotePrefix="1" applyFont="1" applyBorder="1" applyAlignment="1">
      <alignment horizontal="center" vertical="center"/>
    </xf>
    <xf numFmtId="0" fontId="8" fillId="0" borderId="32" xfId="1" quotePrefix="1" applyFont="1" applyBorder="1" applyAlignment="1">
      <alignment horizontal="center" vertical="center"/>
    </xf>
    <xf numFmtId="0" fontId="8" fillId="0" borderId="8" xfId="1" applyFont="1" applyBorder="1" applyAlignment="1">
      <alignment horizontal="center"/>
    </xf>
    <xf numFmtId="0" fontId="15" fillId="0" borderId="34" xfId="1" applyFont="1" applyBorder="1" applyAlignment="1">
      <alignment horizontal="center" vertical="center"/>
    </xf>
    <xf numFmtId="0" fontId="15" fillId="0" borderId="36" xfId="1" applyFont="1" applyBorder="1" applyAlignment="1">
      <alignment horizontal="center" vertical="center"/>
    </xf>
    <xf numFmtId="0" fontId="8" fillId="0" borderId="30" xfId="1" applyFont="1" applyFill="1" applyBorder="1" applyAlignment="1">
      <alignment horizontal="center" vertical="center"/>
    </xf>
    <xf numFmtId="0" fontId="8" fillId="0" borderId="31" xfId="1" applyFont="1" applyFill="1" applyBorder="1" applyAlignment="1">
      <alignment horizontal="center" vertical="center"/>
    </xf>
    <xf numFmtId="0" fontId="8" fillId="0" borderId="32" xfId="1" applyFont="1" applyFill="1" applyBorder="1" applyAlignment="1">
      <alignment horizontal="center" vertical="center"/>
    </xf>
    <xf numFmtId="0" fontId="8" fillId="0" borderId="35" xfId="1" applyFont="1" applyBorder="1" applyAlignment="1">
      <alignment horizontal="center" vertical="center"/>
    </xf>
    <xf numFmtId="0" fontId="8" fillId="0" borderId="21" xfId="1" applyFont="1" applyBorder="1" applyAlignment="1">
      <alignment horizontal="center" vertical="center"/>
    </xf>
    <xf numFmtId="0" fontId="8" fillId="0" borderId="0" xfId="0" applyFont="1" applyBorder="1" applyAlignment="1">
      <alignment horizontal="center" vertical="center" wrapText="1"/>
    </xf>
    <xf numFmtId="0" fontId="8" fillId="0" borderId="25" xfId="0" applyFont="1" applyBorder="1" applyAlignment="1">
      <alignment horizontal="center" vertical="center" wrapText="1"/>
    </xf>
    <xf numFmtId="0" fontId="1" fillId="0" borderId="34" xfId="0" applyFont="1" applyBorder="1" applyAlignment="1">
      <alignment horizontal="center"/>
    </xf>
    <xf numFmtId="0" fontId="1" fillId="0" borderId="20" xfId="0" applyFont="1" applyBorder="1" applyAlignment="1">
      <alignment horizontal="center"/>
    </xf>
    <xf numFmtId="0" fontId="1" fillId="0" borderId="0" xfId="0" applyFont="1" applyBorder="1" applyAlignment="1">
      <alignment horizontal="center"/>
    </xf>
    <xf numFmtId="0" fontId="1" fillId="0" borderId="18" xfId="0" applyFont="1" applyBorder="1" applyAlignment="1">
      <alignment horizontal="center" vertical="center"/>
    </xf>
    <xf numFmtId="0" fontId="1" fillId="0" borderId="17" xfId="0" applyFont="1" applyBorder="1" applyAlignment="1">
      <alignment horizontal="center" vertical="center"/>
    </xf>
    <xf numFmtId="2" fontId="22" fillId="0" borderId="9" xfId="0" applyNumberFormat="1" applyFont="1" applyBorder="1" applyAlignment="1">
      <alignment horizontal="center" vertical="center" wrapText="1"/>
    </xf>
    <xf numFmtId="0" fontId="18" fillId="0" borderId="8" xfId="0" applyFont="1" applyBorder="1" applyAlignment="1">
      <alignment horizontal="left" vertical="center" wrapText="1"/>
    </xf>
    <xf numFmtId="0" fontId="0" fillId="0" borderId="0" xfId="0" applyFont="1" applyAlignment="1">
      <alignment horizontal="left" vertical="center"/>
    </xf>
  </cellXfs>
  <cellStyles count="4">
    <cellStyle name="Normal" xfId="0" builtinId="0"/>
    <cellStyle name="Normal 2" xfId="1" xr:uid="{A1041956-6A95-864B-BB79-419013E34881}"/>
    <cellStyle name="Per cent" xfId="2" builtinId="5"/>
    <cellStyle name="Per cent 2" xfId="3" xr:uid="{A07AB444-1D6B-1349-9965-BC0965A89AEE}"/>
  </cellStyles>
  <dxfs count="0"/>
  <tableStyles count="0" defaultTableStyle="TableStyleMedium2" defaultPivotStyle="PivotStyleLight16"/>
  <colors>
    <mruColors>
      <color rgb="FFED3832"/>
      <color rgb="FFFAF54F"/>
      <color rgb="FF6DFBFC"/>
      <color rgb="FF2F6C16"/>
      <color rgb="FF8FEA76"/>
      <color rgb="FF9A99F9"/>
      <color rgb="FFECA8DE"/>
      <color rgb="FFA6A6A6"/>
      <color rgb="FFA5A5A5"/>
      <color rgb="FFFFFD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692613347636"/>
          <c:y val="3.6781563942438228E-2"/>
          <c:w val="0.84902403351859024"/>
          <c:h val="0.66445118523153546"/>
        </c:manualLayout>
      </c:layout>
      <c:scatterChart>
        <c:scatterStyle val="lineMarker"/>
        <c:varyColors val="0"/>
        <c:ser>
          <c:idx val="1"/>
          <c:order val="0"/>
          <c:tx>
            <c:strRef>
              <c:f>'2. Geochemical Static Tests'!$A$42</c:f>
              <c:strCache>
                <c:ptCount val="1"/>
                <c:pt idx="0">
                  <c:v>Sample A - Chemical</c:v>
                </c:pt>
              </c:strCache>
            </c:strRef>
          </c:tx>
          <c:spPr>
            <a:ln w="25400" cap="rnd">
              <a:noFill/>
              <a:round/>
            </a:ln>
            <a:effectLst/>
          </c:spPr>
          <c:marker>
            <c:symbol val="triangle"/>
            <c:size val="10"/>
            <c:spPr>
              <a:solidFill>
                <a:schemeClr val="accent1">
                  <a:lumMod val="50000"/>
                </a:schemeClr>
              </a:solidFill>
              <a:ln w="9525">
                <a:noFill/>
              </a:ln>
              <a:effectLst/>
            </c:spPr>
          </c:marker>
          <c:errBars>
            <c:errDir val="x"/>
            <c:errBarType val="both"/>
            <c:errValType val="cust"/>
            <c:noEndCap val="0"/>
            <c:plus>
              <c:numRef>
                <c:f>'2. Geochemical Static Tests'!$I$42</c:f>
                <c:numCache>
                  <c:formatCode>General</c:formatCode>
                  <c:ptCount val="1"/>
                  <c:pt idx="0">
                    <c:v>0.7003731678369115</c:v>
                  </c:pt>
                </c:numCache>
              </c:numRef>
            </c:plus>
            <c:minus>
              <c:numRef>
                <c:f>'2. Geochemical Static Tests'!$I$42</c:f>
                <c:numCache>
                  <c:formatCode>General</c:formatCode>
                  <c:ptCount val="1"/>
                  <c:pt idx="0">
                    <c:v>0.7003731678369115</c:v>
                  </c:pt>
                </c:numCache>
              </c:numRef>
            </c:minus>
            <c:spPr>
              <a:noFill/>
              <a:ln w="9525" cap="flat" cmpd="sng" algn="ctr">
                <a:solidFill>
                  <a:schemeClr val="tx1">
                    <a:lumMod val="65000"/>
                    <a:lumOff val="35000"/>
                  </a:schemeClr>
                </a:solidFill>
                <a:round/>
              </a:ln>
              <a:effectLst/>
            </c:spPr>
          </c:errBars>
          <c:errBars>
            <c:errDir val="y"/>
            <c:errBarType val="both"/>
            <c:errValType val="cust"/>
            <c:noEndCap val="0"/>
            <c:plus>
              <c:numRef>
                <c:f>'2. Geochemical Static Tests'!$K$23:$K$26</c:f>
                <c:numCache>
                  <c:formatCode>General</c:formatCode>
                  <c:ptCount val="4"/>
                  <c:pt idx="0">
                    <c:v>1.9999999999999796E-2</c:v>
                  </c:pt>
                </c:numCache>
              </c:numRef>
            </c:plus>
            <c:minus>
              <c:numRef>
                <c:f>'2. Geochemical Static Tests'!$K$23:$K$26</c:f>
                <c:numCache>
                  <c:formatCode>General</c:formatCode>
                  <c:ptCount val="4"/>
                  <c:pt idx="0">
                    <c:v>1.9999999999999796E-2</c:v>
                  </c:pt>
                </c:numCache>
              </c:numRef>
            </c:minus>
            <c:spPr>
              <a:noFill/>
              <a:ln w="9525" cap="flat" cmpd="sng" algn="ctr">
                <a:solidFill>
                  <a:schemeClr val="tx1">
                    <a:lumMod val="65000"/>
                    <a:lumOff val="35000"/>
                  </a:schemeClr>
                </a:solidFill>
                <a:round/>
              </a:ln>
              <a:effectLst/>
            </c:spPr>
          </c:errBars>
          <c:xVal>
            <c:numRef>
              <c:f>'2. Geochemical Static Tests'!$H$42</c:f>
              <c:numCache>
                <c:formatCode>0.00</c:formatCode>
                <c:ptCount val="1"/>
                <c:pt idx="0">
                  <c:v>7.6469698399154495</c:v>
                </c:pt>
              </c:numCache>
            </c:numRef>
          </c:xVal>
          <c:yVal>
            <c:numRef>
              <c:f>'2. Geochemical Static Tests'!$J$42</c:f>
              <c:numCache>
                <c:formatCode>0.00</c:formatCode>
                <c:ptCount val="1"/>
                <c:pt idx="0">
                  <c:v>2.5</c:v>
                </c:pt>
              </c:numCache>
            </c:numRef>
          </c:yVal>
          <c:smooth val="0"/>
          <c:extLst xmlns:c15="http://schemas.microsoft.com/office/drawing/2012/chart">
            <c:ext xmlns:c16="http://schemas.microsoft.com/office/drawing/2014/chart" uri="{C3380CC4-5D6E-409C-BE32-E72D297353CC}">
              <c16:uniqueId val="{00000000-C0B9-C14C-A0DB-CC8610DBF083}"/>
            </c:ext>
          </c:extLst>
        </c:ser>
        <c:ser>
          <c:idx val="3"/>
          <c:order val="1"/>
          <c:tx>
            <c:strRef>
              <c:f>'2. Geochemical Static Tests'!$A$55:$A$57</c:f>
              <c:strCache>
                <c:ptCount val="3"/>
                <c:pt idx="0">
                  <c:v>Sample A - Mineralogical</c:v>
                </c:pt>
              </c:strCache>
            </c:strRef>
          </c:tx>
          <c:spPr>
            <a:ln w="25400" cap="rnd">
              <a:noFill/>
              <a:round/>
            </a:ln>
            <a:effectLst/>
          </c:spPr>
          <c:marker>
            <c:symbol val="triangle"/>
            <c:size val="10"/>
            <c:spPr>
              <a:solidFill>
                <a:schemeClr val="accent1">
                  <a:lumMod val="50000"/>
                </a:schemeClr>
              </a:solidFill>
              <a:ln w="9525">
                <a:noFill/>
              </a:ln>
              <a:effectLst/>
            </c:spPr>
          </c:marker>
          <c:xVal>
            <c:numRef>
              <c:f>'2. Geochemical Static Tests'!$G$55:$G$57</c:f>
              <c:numCache>
                <c:formatCode>0.00</c:formatCode>
                <c:ptCount val="3"/>
                <c:pt idx="0">
                  <c:v>76.048344054308231</c:v>
                </c:pt>
              </c:numCache>
            </c:numRef>
          </c:xVal>
          <c:yVal>
            <c:numRef>
              <c:f>'2. Geochemical Static Tests'!$J$23:$J$26</c:f>
              <c:numCache>
                <c:formatCode>0.00</c:formatCode>
                <c:ptCount val="4"/>
                <c:pt idx="0">
                  <c:v>2.5</c:v>
                </c:pt>
              </c:numCache>
            </c:numRef>
          </c:yVal>
          <c:smooth val="0"/>
          <c:extLst xmlns:c15="http://schemas.microsoft.com/office/drawing/2012/chart">
            <c:ext xmlns:c16="http://schemas.microsoft.com/office/drawing/2014/chart" uri="{C3380CC4-5D6E-409C-BE32-E72D297353CC}">
              <c16:uniqueId val="{00000001-C0B9-C14C-A0DB-CC8610DBF083}"/>
            </c:ext>
          </c:extLst>
        </c:ser>
        <c:ser>
          <c:idx val="2"/>
          <c:order val="2"/>
          <c:tx>
            <c:strRef>
              <c:f>'2. Geochemical Static Tests'!$A$43</c:f>
              <c:strCache>
                <c:ptCount val="1"/>
                <c:pt idx="0">
                  <c:v>Sample B - Chemical</c:v>
                </c:pt>
              </c:strCache>
            </c:strRef>
          </c:tx>
          <c:spPr>
            <a:ln w="25400" cap="rnd">
              <a:noFill/>
              <a:round/>
            </a:ln>
            <a:effectLst/>
          </c:spPr>
          <c:marker>
            <c:symbol val="square"/>
            <c:size val="10"/>
            <c:spPr>
              <a:solidFill>
                <a:schemeClr val="accent4">
                  <a:lumMod val="50000"/>
                </a:schemeClr>
              </a:solidFill>
              <a:ln w="9525">
                <a:noFill/>
              </a:ln>
              <a:effectLst/>
            </c:spPr>
          </c:marker>
          <c:dPt>
            <c:idx val="0"/>
            <c:marker>
              <c:symbol val="circle"/>
              <c:size val="10"/>
              <c:spPr>
                <a:solidFill>
                  <a:schemeClr val="accent2"/>
                </a:solidFill>
                <a:ln w="9525">
                  <a:noFill/>
                </a:ln>
                <a:effectLst/>
              </c:spPr>
            </c:marker>
            <c:bubble3D val="0"/>
            <c:extLst>
              <c:ext xmlns:c16="http://schemas.microsoft.com/office/drawing/2014/chart" uri="{C3380CC4-5D6E-409C-BE32-E72D297353CC}">
                <c16:uniqueId val="{00000001-1762-5B4B-88B1-46AA6D988165}"/>
              </c:ext>
            </c:extLst>
          </c:dPt>
          <c:errBars>
            <c:errDir val="x"/>
            <c:errBarType val="both"/>
            <c:errValType val="cust"/>
            <c:noEndCap val="0"/>
            <c:plus>
              <c:numRef>
                <c:f>'2. Geochemical Static Tests'!$I$43</c:f>
                <c:numCache>
                  <c:formatCode>General</c:formatCode>
                  <c:ptCount val="1"/>
                  <c:pt idx="0">
                    <c:v>1.4007279658725176</c:v>
                  </c:pt>
                </c:numCache>
              </c:numRef>
            </c:plus>
            <c:minus>
              <c:numRef>
                <c:f>'2. Geochemical Static Tests'!$I$43</c:f>
                <c:numCache>
                  <c:formatCode>General</c:formatCode>
                  <c:ptCount val="1"/>
                  <c:pt idx="0">
                    <c:v>1.4007279658725176</c:v>
                  </c:pt>
                </c:numCache>
              </c:numRef>
            </c:minus>
            <c:spPr>
              <a:noFill/>
              <a:ln w="9525" cap="flat" cmpd="sng" algn="ctr">
                <a:solidFill>
                  <a:schemeClr val="tx1">
                    <a:lumMod val="65000"/>
                    <a:lumOff val="35000"/>
                  </a:schemeClr>
                </a:solidFill>
                <a:round/>
              </a:ln>
              <a:effectLst/>
            </c:spPr>
          </c:errBars>
          <c:errBars>
            <c:errDir val="y"/>
            <c:errBarType val="both"/>
            <c:errValType val="cust"/>
            <c:noEndCap val="0"/>
            <c:plus>
              <c:numRef>
                <c:f>'2. Geochemical Static Tests'!$K$27:$K$30</c:f>
                <c:numCache>
                  <c:formatCode>General</c:formatCode>
                  <c:ptCount val="4"/>
                  <c:pt idx="0">
                    <c:v>1.4142135623731067E-2</c:v>
                  </c:pt>
                </c:numCache>
              </c:numRef>
            </c:plus>
            <c:minus>
              <c:numRef>
                <c:f>'2. Geochemical Static Tests'!$K$27:$K$30</c:f>
                <c:numCache>
                  <c:formatCode>General</c:formatCode>
                  <c:ptCount val="4"/>
                  <c:pt idx="0">
                    <c:v>1.4142135623731067E-2</c:v>
                  </c:pt>
                </c:numCache>
              </c:numRef>
            </c:minus>
            <c:spPr>
              <a:noFill/>
              <a:ln w="9525" cap="flat" cmpd="sng" algn="ctr">
                <a:solidFill>
                  <a:schemeClr val="tx1">
                    <a:lumMod val="65000"/>
                    <a:lumOff val="35000"/>
                  </a:schemeClr>
                </a:solidFill>
                <a:round/>
              </a:ln>
              <a:effectLst/>
            </c:spPr>
          </c:errBars>
          <c:xVal>
            <c:numRef>
              <c:f>'2. Geochemical Static Tests'!$H$43</c:f>
              <c:numCache>
                <c:formatCode>0.00</c:formatCode>
                <c:ptCount val="1"/>
                <c:pt idx="0">
                  <c:v>6.0057607039306191</c:v>
                </c:pt>
              </c:numCache>
            </c:numRef>
          </c:xVal>
          <c:yVal>
            <c:numRef>
              <c:f>'2. Geochemical Static Tests'!$J$43</c:f>
              <c:numCache>
                <c:formatCode>0.00</c:formatCode>
                <c:ptCount val="1"/>
                <c:pt idx="0">
                  <c:v>2.41</c:v>
                </c:pt>
              </c:numCache>
            </c:numRef>
          </c:yVal>
          <c:smooth val="0"/>
          <c:extLst xmlns:c15="http://schemas.microsoft.com/office/drawing/2012/chart">
            <c:ext xmlns:c16="http://schemas.microsoft.com/office/drawing/2014/chart" uri="{C3380CC4-5D6E-409C-BE32-E72D297353CC}">
              <c16:uniqueId val="{00000002-C0B9-C14C-A0DB-CC8610DBF083}"/>
            </c:ext>
          </c:extLst>
        </c:ser>
        <c:ser>
          <c:idx val="5"/>
          <c:order val="3"/>
          <c:tx>
            <c:strRef>
              <c:f>'2. Geochemical Static Tests'!$A$58:$A$60</c:f>
              <c:strCache>
                <c:ptCount val="3"/>
                <c:pt idx="0">
                  <c:v>Sample B - Mineralogical</c:v>
                </c:pt>
              </c:strCache>
            </c:strRef>
          </c:tx>
          <c:spPr>
            <a:ln w="25400" cap="rnd">
              <a:noFill/>
              <a:round/>
            </a:ln>
            <a:effectLst/>
          </c:spPr>
          <c:marker>
            <c:symbol val="circle"/>
            <c:size val="10"/>
            <c:spPr>
              <a:solidFill>
                <a:schemeClr val="accent2">
                  <a:lumMod val="50000"/>
                </a:schemeClr>
              </a:solidFill>
              <a:ln w="9525">
                <a:noFill/>
              </a:ln>
              <a:effectLst/>
            </c:spPr>
          </c:marker>
          <c:xVal>
            <c:numRef>
              <c:f>'2. Geochemical Static Tests'!$G$58:$G$60</c:f>
              <c:numCache>
                <c:formatCode>0.00</c:formatCode>
                <c:ptCount val="3"/>
                <c:pt idx="0">
                  <c:v>115.00951857198771</c:v>
                </c:pt>
              </c:numCache>
            </c:numRef>
          </c:xVal>
          <c:yVal>
            <c:numRef>
              <c:f>'2. Geochemical Static Tests'!$J$27:$J$30</c:f>
              <c:numCache>
                <c:formatCode>0.00</c:formatCode>
                <c:ptCount val="4"/>
                <c:pt idx="0">
                  <c:v>2.41</c:v>
                </c:pt>
              </c:numCache>
            </c:numRef>
          </c:yVal>
          <c:smooth val="0"/>
          <c:extLst xmlns:c15="http://schemas.microsoft.com/office/drawing/2012/chart">
            <c:ext xmlns:c16="http://schemas.microsoft.com/office/drawing/2014/chart" uri="{C3380CC4-5D6E-409C-BE32-E72D297353CC}">
              <c16:uniqueId val="{00000003-C0B9-C14C-A0DB-CC8610DBF083}"/>
            </c:ext>
          </c:extLst>
        </c:ser>
        <c:ser>
          <c:idx val="4"/>
          <c:order val="4"/>
          <c:tx>
            <c:strRef>
              <c:f>'2. Geochemical Static Tests'!$A$44</c:f>
              <c:strCache>
                <c:ptCount val="1"/>
                <c:pt idx="0">
                  <c:v>Sample C - Chemical</c:v>
                </c:pt>
              </c:strCache>
            </c:strRef>
          </c:tx>
          <c:spPr>
            <a:ln w="25400" cap="rnd">
              <a:noFill/>
              <a:round/>
            </a:ln>
            <a:effectLst/>
          </c:spPr>
          <c:marker>
            <c:symbol val="diamond"/>
            <c:size val="10"/>
            <c:spPr>
              <a:solidFill>
                <a:schemeClr val="accent3"/>
              </a:solidFill>
              <a:ln w="9525">
                <a:noFill/>
              </a:ln>
              <a:effectLst/>
            </c:spPr>
          </c:marker>
          <c:errBars>
            <c:errDir val="x"/>
            <c:errBarType val="both"/>
            <c:errValType val="cust"/>
            <c:noEndCap val="0"/>
            <c:plus>
              <c:numRef>
                <c:f>'2. Geochemical Static Tests'!$I$44</c:f>
                <c:numCache>
                  <c:formatCode>General</c:formatCode>
                  <c:ptCount val="1"/>
                  <c:pt idx="0">
                    <c:v>3.142216627372036</c:v>
                  </c:pt>
                </c:numCache>
              </c:numRef>
            </c:plus>
            <c:minus>
              <c:numRef>
                <c:f>'2. Geochemical Static Tests'!$I$44</c:f>
                <c:numCache>
                  <c:formatCode>General</c:formatCode>
                  <c:ptCount val="1"/>
                  <c:pt idx="0">
                    <c:v>3.142216627372036</c:v>
                  </c:pt>
                </c:numCache>
              </c:numRef>
            </c:minus>
            <c:spPr>
              <a:noFill/>
              <a:ln w="9525" cap="flat" cmpd="sng" algn="ctr">
                <a:solidFill>
                  <a:schemeClr val="tx1">
                    <a:lumMod val="65000"/>
                    <a:lumOff val="35000"/>
                  </a:schemeClr>
                </a:solidFill>
                <a:round/>
              </a:ln>
              <a:effectLst/>
            </c:spPr>
          </c:errBars>
          <c:errBars>
            <c:errDir val="y"/>
            <c:errBarType val="both"/>
            <c:errValType val="cust"/>
            <c:noEndCap val="0"/>
            <c:plus>
              <c:numRef>
                <c:f>'2. Geochemical Static Tests'!$K$31:$K$34</c:f>
                <c:numCache>
                  <c:formatCode>General</c:formatCode>
                  <c:ptCount val="4"/>
                  <c:pt idx="0">
                    <c:v>6.1913918736688951E-2</c:v>
                  </c:pt>
                </c:numCache>
              </c:numRef>
            </c:plus>
            <c:minus>
              <c:numRef>
                <c:f>'2. Geochemical Static Tests'!$K$31:$K$34</c:f>
                <c:numCache>
                  <c:formatCode>General</c:formatCode>
                  <c:ptCount val="4"/>
                  <c:pt idx="0">
                    <c:v>6.1913918736688951E-2</c:v>
                  </c:pt>
                </c:numCache>
              </c:numRef>
            </c:minus>
            <c:spPr>
              <a:noFill/>
              <a:ln w="9525" cap="flat" cmpd="sng" algn="ctr">
                <a:solidFill>
                  <a:schemeClr val="tx1">
                    <a:lumMod val="65000"/>
                    <a:lumOff val="35000"/>
                  </a:schemeClr>
                </a:solidFill>
                <a:round/>
              </a:ln>
              <a:effectLst/>
            </c:spPr>
          </c:errBars>
          <c:xVal>
            <c:numRef>
              <c:f>'2. Geochemical Static Tests'!$H$44</c:f>
              <c:numCache>
                <c:formatCode>0.00</c:formatCode>
                <c:ptCount val="1"/>
                <c:pt idx="0">
                  <c:v>102.42278619412895</c:v>
                </c:pt>
              </c:numCache>
            </c:numRef>
          </c:xVal>
          <c:yVal>
            <c:numRef>
              <c:f>'2. Geochemical Static Tests'!$J$44</c:f>
              <c:numCache>
                <c:formatCode>0.00</c:formatCode>
                <c:ptCount val="1"/>
                <c:pt idx="0">
                  <c:v>6.4450000000000003</c:v>
                </c:pt>
              </c:numCache>
            </c:numRef>
          </c:yVal>
          <c:smooth val="0"/>
          <c:extLst xmlns:c15="http://schemas.microsoft.com/office/drawing/2012/chart">
            <c:ext xmlns:c16="http://schemas.microsoft.com/office/drawing/2014/chart" uri="{C3380CC4-5D6E-409C-BE32-E72D297353CC}">
              <c16:uniqueId val="{00000004-C0B9-C14C-A0DB-CC8610DBF083}"/>
            </c:ext>
          </c:extLst>
        </c:ser>
        <c:ser>
          <c:idx val="6"/>
          <c:order val="5"/>
          <c:tx>
            <c:strRef>
              <c:f>'2. Geochemical Static Tests'!$A$61:$A$63</c:f>
              <c:strCache>
                <c:ptCount val="3"/>
                <c:pt idx="0">
                  <c:v>Sample C - Mineralogical</c:v>
                </c:pt>
              </c:strCache>
            </c:strRef>
          </c:tx>
          <c:spPr>
            <a:ln w="25400" cap="rnd">
              <a:noFill/>
              <a:round/>
            </a:ln>
            <a:effectLst/>
          </c:spPr>
          <c:marker>
            <c:symbol val="diamond"/>
            <c:size val="10"/>
            <c:spPr>
              <a:solidFill>
                <a:schemeClr val="tx1"/>
              </a:solidFill>
              <a:ln w="9525">
                <a:noFill/>
              </a:ln>
              <a:effectLst/>
            </c:spPr>
          </c:marker>
          <c:xVal>
            <c:numRef>
              <c:f>'2. Geochemical Static Tests'!$G$61:$G$63</c:f>
              <c:numCache>
                <c:formatCode>0.00</c:formatCode>
                <c:ptCount val="3"/>
                <c:pt idx="0">
                  <c:v>258.24768519719203</c:v>
                </c:pt>
              </c:numCache>
            </c:numRef>
          </c:xVal>
          <c:yVal>
            <c:numRef>
              <c:f>'2. Geochemical Static Tests'!$J$31:$J$34</c:f>
              <c:numCache>
                <c:formatCode>0.00</c:formatCode>
                <c:ptCount val="4"/>
                <c:pt idx="0">
                  <c:v>6.4450000000000003</c:v>
                </c:pt>
              </c:numCache>
            </c:numRef>
          </c:yVal>
          <c:smooth val="0"/>
          <c:extLst xmlns:c15="http://schemas.microsoft.com/office/drawing/2012/chart">
            <c:ext xmlns:c16="http://schemas.microsoft.com/office/drawing/2014/chart" uri="{C3380CC4-5D6E-409C-BE32-E72D297353CC}">
              <c16:uniqueId val="{00000005-C0B9-C14C-A0DB-CC8610DBF083}"/>
            </c:ext>
          </c:extLst>
        </c:ser>
        <c:ser>
          <c:idx val="0"/>
          <c:order val="6"/>
          <c:tx>
            <c:strRef>
              <c:f>'2. Geochemical Static Tests'!$A$45</c:f>
              <c:strCache>
                <c:ptCount val="1"/>
                <c:pt idx="0">
                  <c:v>Sample D - Chemical</c:v>
                </c:pt>
              </c:strCache>
            </c:strRef>
          </c:tx>
          <c:spPr>
            <a:ln w="25400" cap="rnd">
              <a:noFill/>
              <a:round/>
            </a:ln>
            <a:effectLst/>
          </c:spPr>
          <c:marker>
            <c:symbol val="square"/>
            <c:size val="10"/>
            <c:spPr>
              <a:solidFill>
                <a:schemeClr val="accent4"/>
              </a:solidFill>
              <a:ln w="9525">
                <a:noFill/>
              </a:ln>
              <a:effectLst/>
            </c:spPr>
          </c:marker>
          <c:errBars>
            <c:errDir val="x"/>
            <c:errBarType val="both"/>
            <c:errValType val="cust"/>
            <c:noEndCap val="0"/>
            <c:plus>
              <c:numRef>
                <c:f>'2. Geochemical Static Tests'!$I$45</c:f>
                <c:numCache>
                  <c:formatCode>General</c:formatCode>
                  <c:ptCount val="1"/>
                  <c:pt idx="0">
                    <c:v>1.4030167497218284</c:v>
                  </c:pt>
                </c:numCache>
              </c:numRef>
            </c:plus>
            <c:minus>
              <c:numRef>
                <c:f>'2. Geochemical Static Tests'!$I$45</c:f>
                <c:numCache>
                  <c:formatCode>General</c:formatCode>
                  <c:ptCount val="1"/>
                  <c:pt idx="0">
                    <c:v>1.4030167497218284</c:v>
                  </c:pt>
                </c:numCache>
              </c:numRef>
            </c:minus>
            <c:spPr>
              <a:noFill/>
              <a:ln w="9525" cap="flat" cmpd="sng" algn="ctr">
                <a:solidFill>
                  <a:schemeClr val="tx1">
                    <a:lumMod val="65000"/>
                    <a:lumOff val="35000"/>
                  </a:schemeClr>
                </a:solidFill>
                <a:round/>
              </a:ln>
              <a:effectLst/>
            </c:spPr>
          </c:errBars>
          <c:errBars>
            <c:errDir val="y"/>
            <c:errBarType val="both"/>
            <c:errValType val="cust"/>
            <c:noEndCap val="0"/>
            <c:plus>
              <c:numRef>
                <c:f>'2. Geochemical Static Tests'!$K$35:$K$38</c:f>
                <c:numCache>
                  <c:formatCode>General</c:formatCode>
                  <c:ptCount val="4"/>
                  <c:pt idx="0">
                    <c:v>2.0000000000000018E-2</c:v>
                  </c:pt>
                </c:numCache>
              </c:numRef>
            </c:plus>
            <c:minus>
              <c:numRef>
                <c:f>'2. Geochemical Static Tests'!$K$35:$K$38</c:f>
                <c:numCache>
                  <c:formatCode>General</c:formatCode>
                  <c:ptCount val="4"/>
                  <c:pt idx="0">
                    <c:v>2.0000000000000018E-2</c:v>
                  </c:pt>
                </c:numCache>
              </c:numRef>
            </c:minus>
            <c:spPr>
              <a:noFill/>
              <a:ln w="9525" cap="flat" cmpd="sng" algn="ctr">
                <a:solidFill>
                  <a:schemeClr val="tx1">
                    <a:lumMod val="65000"/>
                    <a:lumOff val="35000"/>
                  </a:schemeClr>
                </a:solidFill>
                <a:round/>
              </a:ln>
              <a:effectLst/>
            </c:spPr>
          </c:errBars>
          <c:xVal>
            <c:numRef>
              <c:f>'2. Geochemical Static Tests'!$H$45</c:f>
              <c:numCache>
                <c:formatCode>0.00</c:formatCode>
                <c:ptCount val="1"/>
                <c:pt idx="0">
                  <c:v>-16.50954829903899</c:v>
                </c:pt>
              </c:numCache>
            </c:numRef>
          </c:xVal>
          <c:yVal>
            <c:numRef>
              <c:f>'2. Geochemical Static Tests'!$J$45</c:f>
              <c:numCache>
                <c:formatCode>0.00</c:formatCode>
                <c:ptCount val="1"/>
                <c:pt idx="0">
                  <c:v>5.7299999999999995</c:v>
                </c:pt>
              </c:numCache>
            </c:numRef>
          </c:yVal>
          <c:smooth val="0"/>
          <c:extLst xmlns:c15="http://schemas.microsoft.com/office/drawing/2012/chart">
            <c:ext xmlns:c16="http://schemas.microsoft.com/office/drawing/2014/chart" uri="{C3380CC4-5D6E-409C-BE32-E72D297353CC}">
              <c16:uniqueId val="{00000006-C0B9-C14C-A0DB-CC8610DBF083}"/>
            </c:ext>
          </c:extLst>
        </c:ser>
        <c:ser>
          <c:idx val="7"/>
          <c:order val="7"/>
          <c:tx>
            <c:strRef>
              <c:f>'2. Geochemical Static Tests'!$A$64:$A$66</c:f>
              <c:strCache>
                <c:ptCount val="3"/>
                <c:pt idx="0">
                  <c:v>Sample D - Mineralogical</c:v>
                </c:pt>
              </c:strCache>
            </c:strRef>
          </c:tx>
          <c:spPr>
            <a:ln w="25400" cap="rnd">
              <a:noFill/>
              <a:round/>
            </a:ln>
            <a:effectLst/>
          </c:spPr>
          <c:marker>
            <c:symbol val="square"/>
            <c:size val="10"/>
            <c:spPr>
              <a:solidFill>
                <a:schemeClr val="accent4">
                  <a:lumMod val="50000"/>
                </a:schemeClr>
              </a:solidFill>
              <a:ln w="9525">
                <a:noFill/>
              </a:ln>
              <a:effectLst/>
            </c:spPr>
          </c:marker>
          <c:xVal>
            <c:numRef>
              <c:f>'2. Geochemical Static Tests'!$G$64:$G$66</c:f>
              <c:numCache>
                <c:formatCode>0.00</c:formatCode>
                <c:ptCount val="3"/>
                <c:pt idx="0">
                  <c:v>23.253778742507745</c:v>
                </c:pt>
              </c:numCache>
            </c:numRef>
          </c:xVal>
          <c:yVal>
            <c:numRef>
              <c:f>'2. Geochemical Static Tests'!$J$35:$J$38</c:f>
              <c:numCache>
                <c:formatCode>0.00</c:formatCode>
                <c:ptCount val="4"/>
                <c:pt idx="0">
                  <c:v>5.7299999999999995</c:v>
                </c:pt>
              </c:numCache>
            </c:numRef>
          </c:yVal>
          <c:smooth val="0"/>
          <c:extLst xmlns:c15="http://schemas.microsoft.com/office/drawing/2012/chart">
            <c:ext xmlns:c16="http://schemas.microsoft.com/office/drawing/2014/chart" uri="{C3380CC4-5D6E-409C-BE32-E72D297353CC}">
              <c16:uniqueId val="{00000007-C0B9-C14C-A0DB-CC8610DBF083}"/>
            </c:ext>
          </c:extLst>
        </c:ser>
        <c:dLbls>
          <c:showLegendKey val="0"/>
          <c:showVal val="0"/>
          <c:showCatName val="0"/>
          <c:showSerName val="0"/>
          <c:showPercent val="0"/>
          <c:showBubbleSize val="0"/>
        </c:dLbls>
        <c:axId val="259569727"/>
        <c:axId val="201143567"/>
        <c:extLst/>
      </c:scatterChart>
      <c:valAx>
        <c:axId val="259569727"/>
        <c:scaling>
          <c:orientation val="minMax"/>
          <c:max val="260"/>
          <c:min val="-5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NAPP (kg H</a:t>
                </a:r>
                <a:r>
                  <a:rPr lang="en-US" baseline="-25000"/>
                  <a:t>2</a:t>
                </a:r>
                <a:r>
                  <a:rPr lang="en-US"/>
                  <a:t>SO</a:t>
                </a:r>
                <a:r>
                  <a:rPr lang="en-US" baseline="-25000"/>
                  <a:t>4</a:t>
                </a:r>
                <a:r>
                  <a:rPr lang="en-US"/>
                  <a:t>/t)</a:t>
                </a:r>
              </a:p>
            </c:rich>
          </c:tx>
          <c:layout>
            <c:manualLayout>
              <c:xMode val="edge"/>
              <c:yMode val="edge"/>
              <c:x val="0.44310767453099281"/>
              <c:y val="0.76213548135043019"/>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1143567"/>
        <c:crossesAt val="4.5"/>
        <c:crossBetween val="midCat"/>
      </c:valAx>
      <c:valAx>
        <c:axId val="201143567"/>
        <c:scaling>
          <c:orientation val="minMax"/>
          <c:max val="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NAG pH</a:t>
                </a:r>
              </a:p>
            </c:rich>
          </c:tx>
          <c:layout>
            <c:manualLayout>
              <c:xMode val="edge"/>
              <c:yMode val="edge"/>
              <c:x val="1.5575382677165352E-2"/>
              <c:y val="0.3148830015135603"/>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00" sourceLinked="1"/>
        <c:majorTickMark val="none"/>
        <c:minorTickMark val="none"/>
        <c:tickLblPos val="low"/>
        <c:spPr>
          <a:noFill/>
          <a:ln w="12700" cap="flat" cmpd="sng" algn="ctr">
            <a:solidFill>
              <a:schemeClr val="tx1"/>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59569727"/>
        <c:crossesAt val="0"/>
        <c:crossBetween val="midCat"/>
      </c:valAx>
      <c:spPr>
        <a:noFill/>
        <a:ln>
          <a:solidFill>
            <a:schemeClr val="lt1">
              <a:shade val="50000"/>
            </a:schemeClr>
          </a:solidFill>
        </a:ln>
        <a:effectLst/>
      </c:spPr>
    </c:plotArea>
    <c:legend>
      <c:legendPos val="b"/>
      <c:layout>
        <c:manualLayout>
          <c:xMode val="edge"/>
          <c:yMode val="edge"/>
          <c:x val="0.21518126442354435"/>
          <c:y val="0.85078787571095293"/>
          <c:w val="0.64542462703400849"/>
          <c:h val="0.12751314021156143"/>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692613347636"/>
          <c:y val="3.6781563942438228E-2"/>
          <c:w val="0.84902403351859024"/>
          <c:h val="0.67698091995715226"/>
        </c:manualLayout>
      </c:layout>
      <c:scatterChart>
        <c:scatterStyle val="lineMarker"/>
        <c:varyColors val="0"/>
        <c:ser>
          <c:idx val="1"/>
          <c:order val="0"/>
          <c:tx>
            <c:v>Sample A - MPA vs. AP</c:v>
          </c:tx>
          <c:spPr>
            <a:ln w="25400" cap="rnd">
              <a:noFill/>
              <a:round/>
            </a:ln>
            <a:effectLst/>
          </c:spPr>
          <c:marker>
            <c:symbol val="triangle"/>
            <c:size val="10"/>
            <c:spPr>
              <a:solidFill>
                <a:schemeClr val="accent1"/>
              </a:solidFill>
              <a:ln w="9525">
                <a:solidFill>
                  <a:schemeClr val="accent1"/>
                </a:solidFill>
              </a:ln>
              <a:effectLst/>
            </c:spPr>
          </c:marker>
          <c:dPt>
            <c:idx val="0"/>
            <c:marker>
              <c:symbol val="triangle"/>
              <c:size val="10"/>
              <c:spPr>
                <a:solidFill>
                  <a:schemeClr val="accent1"/>
                </a:solidFill>
                <a:ln w="9525">
                  <a:solidFill>
                    <a:schemeClr val="accent1"/>
                  </a:solidFill>
                </a:ln>
                <a:effectLst/>
              </c:spPr>
            </c:marker>
            <c:bubble3D val="0"/>
            <c:extLst>
              <c:ext xmlns:c16="http://schemas.microsoft.com/office/drawing/2014/chart" uri="{C3380CC4-5D6E-409C-BE32-E72D297353CC}">
                <c16:uniqueId val="{00000000-0987-A44B-8497-D2B1FEDC83B5}"/>
              </c:ext>
            </c:extLst>
          </c:dPt>
          <c:xVal>
            <c:numRef>
              <c:f>'2. Geochemical Static Tests'!$B$70</c:f>
              <c:numCache>
                <c:formatCode>0.00</c:formatCode>
                <c:ptCount val="1"/>
                <c:pt idx="0">
                  <c:v>88.59444673637671</c:v>
                </c:pt>
              </c:numCache>
            </c:numRef>
          </c:xVal>
          <c:yVal>
            <c:numRef>
              <c:f>'2. Geochemical Static Tests'!$A$70</c:f>
              <c:numCache>
                <c:formatCode>0.00</c:formatCode>
                <c:ptCount val="1"/>
                <c:pt idx="0">
                  <c:v>70.38</c:v>
                </c:pt>
              </c:numCache>
            </c:numRef>
          </c:yVal>
          <c:smooth val="0"/>
          <c:extLst xmlns:c15="http://schemas.microsoft.com/office/drawing/2012/chart">
            <c:ext xmlns:c16="http://schemas.microsoft.com/office/drawing/2014/chart" uri="{C3380CC4-5D6E-409C-BE32-E72D297353CC}">
              <c16:uniqueId val="{00000000-C959-B744-B230-10732BE1AFED}"/>
            </c:ext>
          </c:extLst>
        </c:ser>
        <c:ser>
          <c:idx val="4"/>
          <c:order val="1"/>
          <c:tx>
            <c:v>Sample A - ANC vs. NP</c:v>
          </c:tx>
          <c:spPr>
            <a:ln w="25400" cap="rnd">
              <a:noFill/>
              <a:round/>
            </a:ln>
            <a:effectLst/>
          </c:spPr>
          <c:marker>
            <c:symbol val="triangle"/>
            <c:size val="10"/>
            <c:spPr>
              <a:solidFill>
                <a:srgbClr val="002060"/>
              </a:solidFill>
              <a:ln w="9525">
                <a:solidFill>
                  <a:schemeClr val="tx1"/>
                </a:solidFill>
              </a:ln>
              <a:effectLst/>
            </c:spPr>
          </c:marker>
          <c:xVal>
            <c:numRef>
              <c:f>'2. Geochemical Static Tests'!$D$70</c:f>
              <c:numCache>
                <c:formatCode>0.00</c:formatCode>
                <c:ptCount val="1"/>
                <c:pt idx="0">
                  <c:v>12.546102682068485</c:v>
                </c:pt>
              </c:numCache>
            </c:numRef>
          </c:xVal>
          <c:yVal>
            <c:numRef>
              <c:f>'2. Geochemical Static Tests'!$C$70</c:f>
              <c:numCache>
                <c:formatCode>0.00</c:formatCode>
                <c:ptCount val="1"/>
                <c:pt idx="0">
                  <c:v>62.733030160084546</c:v>
                </c:pt>
              </c:numCache>
            </c:numRef>
          </c:yVal>
          <c:smooth val="0"/>
          <c:extLst xmlns:c15="http://schemas.microsoft.com/office/drawing/2012/chart">
            <c:ext xmlns:c16="http://schemas.microsoft.com/office/drawing/2014/chart" uri="{C3380CC4-5D6E-409C-BE32-E72D297353CC}">
              <c16:uniqueId val="{00000004-C959-B744-B230-10732BE1AFED}"/>
            </c:ext>
          </c:extLst>
        </c:ser>
        <c:ser>
          <c:idx val="9"/>
          <c:order val="2"/>
          <c:tx>
            <c:v>Sample A - NAPP (C) vs. NAPP (M)</c:v>
          </c:tx>
          <c:spPr>
            <a:ln w="25400" cap="rnd">
              <a:noFill/>
              <a:round/>
            </a:ln>
            <a:effectLst/>
          </c:spPr>
          <c:marker>
            <c:symbol val="triangle"/>
            <c:size val="10"/>
            <c:spPr>
              <a:noFill/>
              <a:ln w="9525">
                <a:solidFill>
                  <a:schemeClr val="accent4"/>
                </a:solidFill>
              </a:ln>
              <a:effectLst/>
            </c:spPr>
          </c:marker>
          <c:xVal>
            <c:numRef>
              <c:f>'2. Geochemical Static Tests'!$F$70</c:f>
              <c:numCache>
                <c:formatCode>0.00</c:formatCode>
                <c:ptCount val="1"/>
                <c:pt idx="0">
                  <c:v>76.048344054308231</c:v>
                </c:pt>
              </c:numCache>
            </c:numRef>
          </c:xVal>
          <c:yVal>
            <c:numRef>
              <c:f>'2. Geochemical Static Tests'!$E$70</c:f>
              <c:numCache>
                <c:formatCode>0.00</c:formatCode>
                <c:ptCount val="1"/>
                <c:pt idx="0">
                  <c:v>7.6469698399154495</c:v>
                </c:pt>
              </c:numCache>
            </c:numRef>
          </c:yVal>
          <c:smooth val="0"/>
          <c:extLst>
            <c:ext xmlns:c16="http://schemas.microsoft.com/office/drawing/2014/chart" uri="{C3380CC4-5D6E-409C-BE32-E72D297353CC}">
              <c16:uniqueId val="{00000002-6DB7-644D-A0FA-6B6126225F5C}"/>
            </c:ext>
          </c:extLst>
        </c:ser>
        <c:ser>
          <c:idx val="3"/>
          <c:order val="3"/>
          <c:tx>
            <c:v>Sample B - MPA vs. AP</c:v>
          </c:tx>
          <c:spPr>
            <a:ln w="25400" cap="rnd">
              <a:noFill/>
              <a:round/>
            </a:ln>
            <a:effectLst/>
          </c:spPr>
          <c:marker>
            <c:symbol val="circle"/>
            <c:size val="10"/>
            <c:spPr>
              <a:solidFill>
                <a:schemeClr val="accent2"/>
              </a:solidFill>
              <a:ln w="9525">
                <a:noFill/>
              </a:ln>
              <a:effectLst/>
            </c:spPr>
          </c:marker>
          <c:xVal>
            <c:numRef>
              <c:f>'2. Geochemical Static Tests'!$B$71</c:f>
              <c:numCache>
                <c:formatCode>0.00</c:formatCode>
                <c:ptCount val="1"/>
                <c:pt idx="0">
                  <c:v>136.49548854699145</c:v>
                </c:pt>
              </c:numCache>
            </c:numRef>
          </c:xVal>
          <c:yVal>
            <c:numRef>
              <c:f>'2. Geochemical Static Tests'!$A$71</c:f>
              <c:numCache>
                <c:formatCode>0.00</c:formatCode>
                <c:ptCount val="1"/>
                <c:pt idx="0">
                  <c:v>97.920000000000016</c:v>
                </c:pt>
              </c:numCache>
            </c:numRef>
          </c:yVal>
          <c:smooth val="0"/>
          <c:extLst xmlns:c15="http://schemas.microsoft.com/office/drawing/2012/chart">
            <c:ext xmlns:c16="http://schemas.microsoft.com/office/drawing/2014/chart" uri="{C3380CC4-5D6E-409C-BE32-E72D297353CC}">
              <c16:uniqueId val="{00000001-C959-B744-B230-10732BE1AFED}"/>
            </c:ext>
          </c:extLst>
        </c:ser>
        <c:ser>
          <c:idx val="6"/>
          <c:order val="4"/>
          <c:tx>
            <c:v>Sample B - ANC vs. NP</c:v>
          </c:tx>
          <c:spPr>
            <a:ln w="25400" cap="rnd">
              <a:noFill/>
              <a:round/>
            </a:ln>
            <a:effectLst/>
          </c:spPr>
          <c:marker>
            <c:symbol val="circle"/>
            <c:size val="10"/>
            <c:spPr>
              <a:solidFill>
                <a:srgbClr val="ED3832"/>
              </a:solidFill>
              <a:ln w="9525">
                <a:noFill/>
              </a:ln>
              <a:effectLst/>
            </c:spPr>
          </c:marker>
          <c:xVal>
            <c:numRef>
              <c:f>'2. Geochemical Static Tests'!$D$71</c:f>
              <c:numCache>
                <c:formatCode>0.00</c:formatCode>
                <c:ptCount val="1"/>
                <c:pt idx="0">
                  <c:v>21.485969975003748</c:v>
                </c:pt>
              </c:numCache>
            </c:numRef>
          </c:xVal>
          <c:yVal>
            <c:numRef>
              <c:f>'2. Geochemical Static Tests'!$C$71</c:f>
              <c:numCache>
                <c:formatCode>0.00</c:formatCode>
                <c:ptCount val="1"/>
                <c:pt idx="0">
                  <c:v>91.914239296069397</c:v>
                </c:pt>
              </c:numCache>
            </c:numRef>
          </c:yVal>
          <c:smooth val="0"/>
          <c:extLst xmlns:c15="http://schemas.microsoft.com/office/drawing/2012/chart">
            <c:ext xmlns:c16="http://schemas.microsoft.com/office/drawing/2014/chart" uri="{C3380CC4-5D6E-409C-BE32-E72D297353CC}">
              <c16:uniqueId val="{00000005-C959-B744-B230-10732BE1AFED}"/>
            </c:ext>
          </c:extLst>
        </c:ser>
        <c:ser>
          <c:idx val="10"/>
          <c:order val="5"/>
          <c:tx>
            <c:v>Sample B - NAPP (C) vs. NAPP (M)</c:v>
          </c:tx>
          <c:spPr>
            <a:ln w="25400" cap="rnd">
              <a:noFill/>
              <a:round/>
            </a:ln>
            <a:effectLst/>
          </c:spPr>
          <c:marker>
            <c:symbol val="circle"/>
            <c:size val="10"/>
            <c:spPr>
              <a:noFill/>
              <a:ln w="9525">
                <a:solidFill>
                  <a:schemeClr val="accent2"/>
                </a:solidFill>
              </a:ln>
              <a:effectLst/>
            </c:spPr>
          </c:marker>
          <c:xVal>
            <c:numRef>
              <c:f>'2. Geochemical Static Tests'!$F$71</c:f>
              <c:numCache>
                <c:formatCode>0.00</c:formatCode>
                <c:ptCount val="1"/>
                <c:pt idx="0">
                  <c:v>115.00951857198771</c:v>
                </c:pt>
              </c:numCache>
            </c:numRef>
          </c:xVal>
          <c:yVal>
            <c:numRef>
              <c:f>'2. Geochemical Static Tests'!$E$71</c:f>
              <c:numCache>
                <c:formatCode>0.00</c:formatCode>
                <c:ptCount val="1"/>
                <c:pt idx="0">
                  <c:v>6.0057607039306191</c:v>
                </c:pt>
              </c:numCache>
            </c:numRef>
          </c:yVal>
          <c:smooth val="0"/>
          <c:extLst>
            <c:ext xmlns:c16="http://schemas.microsoft.com/office/drawing/2014/chart" uri="{C3380CC4-5D6E-409C-BE32-E72D297353CC}">
              <c16:uniqueId val="{00000003-6DB7-644D-A0FA-6B6126225F5C}"/>
            </c:ext>
          </c:extLst>
        </c:ser>
        <c:ser>
          <c:idx val="2"/>
          <c:order val="6"/>
          <c:tx>
            <c:v>Sample C - MPA vs. AP</c:v>
          </c:tx>
          <c:spPr>
            <a:ln w="25400" cap="rnd">
              <a:noFill/>
              <a:round/>
            </a:ln>
            <a:effectLst/>
          </c:spPr>
          <c:marker>
            <c:symbol val="diamond"/>
            <c:size val="10"/>
            <c:spPr>
              <a:solidFill>
                <a:schemeClr val="accent3"/>
              </a:solidFill>
              <a:ln w="9525">
                <a:noFill/>
              </a:ln>
              <a:effectLst/>
            </c:spPr>
          </c:marker>
          <c:xVal>
            <c:numRef>
              <c:f>'2. Geochemical Static Tests'!$B$72</c:f>
              <c:numCache>
                <c:formatCode>0.00</c:formatCode>
                <c:ptCount val="1"/>
                <c:pt idx="0">
                  <c:v>381.21094096522143</c:v>
                </c:pt>
              </c:numCache>
            </c:numRef>
          </c:xVal>
          <c:yVal>
            <c:numRef>
              <c:f>'2. Geochemical Static Tests'!$A$72</c:f>
              <c:numCache>
                <c:formatCode>0.00</c:formatCode>
                <c:ptCount val="1"/>
                <c:pt idx="0">
                  <c:v>289.68</c:v>
                </c:pt>
              </c:numCache>
            </c:numRef>
          </c:yVal>
          <c:smooth val="0"/>
          <c:extLst xmlns:c15="http://schemas.microsoft.com/office/drawing/2012/chart">
            <c:ext xmlns:c16="http://schemas.microsoft.com/office/drawing/2014/chart" uri="{C3380CC4-5D6E-409C-BE32-E72D297353CC}">
              <c16:uniqueId val="{00000002-C959-B744-B230-10732BE1AFED}"/>
            </c:ext>
          </c:extLst>
        </c:ser>
        <c:ser>
          <c:idx val="0"/>
          <c:order val="7"/>
          <c:tx>
            <c:v>Sample C - ANC vs. NP</c:v>
          </c:tx>
          <c:spPr>
            <a:ln w="25400" cap="rnd">
              <a:noFill/>
              <a:round/>
            </a:ln>
            <a:effectLst/>
          </c:spPr>
          <c:marker>
            <c:symbol val="diamond"/>
            <c:size val="10"/>
            <c:spPr>
              <a:solidFill>
                <a:schemeClr val="tx1"/>
              </a:solidFill>
              <a:ln w="9525">
                <a:noFill/>
              </a:ln>
              <a:effectLst/>
            </c:spPr>
          </c:marker>
          <c:xVal>
            <c:numRef>
              <c:f>'2. Geochemical Static Tests'!$D$72</c:f>
              <c:numCache>
                <c:formatCode>0.00</c:formatCode>
                <c:ptCount val="1"/>
                <c:pt idx="0">
                  <c:v>122.96325576802937</c:v>
                </c:pt>
              </c:numCache>
            </c:numRef>
          </c:xVal>
          <c:yVal>
            <c:numRef>
              <c:f>'2. Geochemical Static Tests'!$C$72</c:f>
              <c:numCache>
                <c:formatCode>0.00</c:formatCode>
                <c:ptCount val="1"/>
                <c:pt idx="0">
                  <c:v>187.25721380587106</c:v>
                </c:pt>
              </c:numCache>
            </c:numRef>
          </c:yVal>
          <c:smooth val="0"/>
          <c:extLst xmlns:c15="http://schemas.microsoft.com/office/drawing/2012/chart">
            <c:ext xmlns:c16="http://schemas.microsoft.com/office/drawing/2014/chart" uri="{C3380CC4-5D6E-409C-BE32-E72D297353CC}">
              <c16:uniqueId val="{00000006-C959-B744-B230-10732BE1AFED}"/>
            </c:ext>
          </c:extLst>
        </c:ser>
        <c:ser>
          <c:idx val="11"/>
          <c:order val="8"/>
          <c:tx>
            <c:v>Sample C - NAPP (C) vs. NAPP (M)</c:v>
          </c:tx>
          <c:spPr>
            <a:ln w="25400" cap="rnd">
              <a:noFill/>
              <a:round/>
            </a:ln>
            <a:effectLst/>
          </c:spPr>
          <c:marker>
            <c:symbol val="diamond"/>
            <c:size val="10"/>
            <c:spPr>
              <a:noFill/>
              <a:ln w="9525">
                <a:solidFill>
                  <a:schemeClr val="accent3"/>
                </a:solidFill>
              </a:ln>
              <a:effectLst/>
            </c:spPr>
          </c:marker>
          <c:xVal>
            <c:numRef>
              <c:f>'2. Geochemical Static Tests'!$F$72</c:f>
              <c:numCache>
                <c:formatCode>0.00</c:formatCode>
                <c:ptCount val="1"/>
                <c:pt idx="0">
                  <c:v>258.24768519719203</c:v>
                </c:pt>
              </c:numCache>
            </c:numRef>
          </c:xVal>
          <c:yVal>
            <c:numRef>
              <c:f>'2. Geochemical Static Tests'!$E$72</c:f>
              <c:numCache>
                <c:formatCode>0.00</c:formatCode>
                <c:ptCount val="1"/>
                <c:pt idx="0">
                  <c:v>102.42278619412895</c:v>
                </c:pt>
              </c:numCache>
            </c:numRef>
          </c:yVal>
          <c:smooth val="0"/>
          <c:extLst>
            <c:ext xmlns:c16="http://schemas.microsoft.com/office/drawing/2014/chart" uri="{C3380CC4-5D6E-409C-BE32-E72D297353CC}">
              <c16:uniqueId val="{00000004-6DB7-644D-A0FA-6B6126225F5C}"/>
            </c:ext>
          </c:extLst>
        </c:ser>
        <c:ser>
          <c:idx val="5"/>
          <c:order val="9"/>
          <c:tx>
            <c:v>Sample D - MPA vs. AP</c:v>
          </c:tx>
          <c:spPr>
            <a:ln w="25400" cap="rnd">
              <a:noFill/>
              <a:round/>
            </a:ln>
            <a:effectLst/>
          </c:spPr>
          <c:marker>
            <c:symbol val="square"/>
            <c:size val="10"/>
            <c:spPr>
              <a:solidFill>
                <a:schemeClr val="accent4"/>
              </a:solidFill>
              <a:ln w="9525">
                <a:noFill/>
              </a:ln>
              <a:effectLst/>
            </c:spPr>
          </c:marker>
          <c:xVal>
            <c:numRef>
              <c:f>'2. Geochemical Static Tests'!$B$73</c:f>
              <c:numCache>
                <c:formatCode>0.00</c:formatCode>
                <c:ptCount val="1"/>
                <c:pt idx="0">
                  <c:v>51.756106031426256</c:v>
                </c:pt>
              </c:numCache>
            </c:numRef>
          </c:xVal>
          <c:yVal>
            <c:numRef>
              <c:f>'2. Geochemical Static Tests'!$A$73</c:f>
              <c:numCache>
                <c:formatCode>0.00</c:formatCode>
                <c:ptCount val="1"/>
                <c:pt idx="0">
                  <c:v>61.506000000000007</c:v>
                </c:pt>
              </c:numCache>
            </c:numRef>
          </c:yVal>
          <c:smooth val="0"/>
          <c:extLst xmlns:c15="http://schemas.microsoft.com/office/drawing/2012/chart">
            <c:ext xmlns:c16="http://schemas.microsoft.com/office/drawing/2014/chart" uri="{C3380CC4-5D6E-409C-BE32-E72D297353CC}">
              <c16:uniqueId val="{00000003-C959-B744-B230-10732BE1AFED}"/>
            </c:ext>
          </c:extLst>
        </c:ser>
        <c:ser>
          <c:idx val="7"/>
          <c:order val="10"/>
          <c:tx>
            <c:v>Sample D - ANC vs. NP</c:v>
          </c:tx>
          <c:spPr>
            <a:ln w="25400" cap="rnd">
              <a:noFill/>
              <a:round/>
            </a:ln>
            <a:effectLst/>
          </c:spPr>
          <c:marker>
            <c:symbol val="square"/>
            <c:size val="10"/>
            <c:spPr>
              <a:solidFill>
                <a:schemeClr val="accent4">
                  <a:lumMod val="50000"/>
                </a:schemeClr>
              </a:solidFill>
              <a:ln w="9525">
                <a:noFill/>
              </a:ln>
              <a:effectLst/>
            </c:spPr>
          </c:marker>
          <c:xVal>
            <c:numRef>
              <c:f>'2. Geochemical Static Tests'!$D$73</c:f>
              <c:numCache>
                <c:formatCode>0.00</c:formatCode>
                <c:ptCount val="1"/>
                <c:pt idx="0">
                  <c:v>28.502327288918512</c:v>
                </c:pt>
              </c:numCache>
            </c:numRef>
          </c:xVal>
          <c:yVal>
            <c:numRef>
              <c:f>'2. Geochemical Static Tests'!$C$73</c:f>
              <c:numCache>
                <c:formatCode>0.00</c:formatCode>
                <c:ptCount val="1"/>
                <c:pt idx="0">
                  <c:v>78.015548299038997</c:v>
                </c:pt>
              </c:numCache>
            </c:numRef>
          </c:yVal>
          <c:smooth val="0"/>
          <c:extLst xmlns:c15="http://schemas.microsoft.com/office/drawing/2012/chart">
            <c:ext xmlns:c16="http://schemas.microsoft.com/office/drawing/2014/chart" uri="{C3380CC4-5D6E-409C-BE32-E72D297353CC}">
              <c16:uniqueId val="{00000007-C959-B744-B230-10732BE1AFED}"/>
            </c:ext>
          </c:extLst>
        </c:ser>
        <c:ser>
          <c:idx val="12"/>
          <c:order val="11"/>
          <c:tx>
            <c:v>Sample D - NAPP (C) vs. NAPP (M)</c:v>
          </c:tx>
          <c:spPr>
            <a:ln w="25400" cap="rnd">
              <a:noFill/>
              <a:round/>
            </a:ln>
            <a:effectLst/>
          </c:spPr>
          <c:marker>
            <c:symbol val="square"/>
            <c:size val="10"/>
            <c:spPr>
              <a:noFill/>
              <a:ln w="9525">
                <a:solidFill>
                  <a:schemeClr val="accent4"/>
                </a:solidFill>
              </a:ln>
              <a:effectLst/>
            </c:spPr>
          </c:marker>
          <c:xVal>
            <c:numRef>
              <c:f>'2. Geochemical Static Tests'!$F$73</c:f>
              <c:numCache>
                <c:formatCode>0.00</c:formatCode>
                <c:ptCount val="1"/>
                <c:pt idx="0">
                  <c:v>23.253778742507745</c:v>
                </c:pt>
              </c:numCache>
            </c:numRef>
          </c:xVal>
          <c:yVal>
            <c:numRef>
              <c:f>'2. Geochemical Static Tests'!$E$73</c:f>
              <c:numCache>
                <c:formatCode>0.00</c:formatCode>
                <c:ptCount val="1"/>
                <c:pt idx="0">
                  <c:v>-16.50954829903899</c:v>
                </c:pt>
              </c:numCache>
            </c:numRef>
          </c:yVal>
          <c:smooth val="0"/>
          <c:extLst>
            <c:ext xmlns:c16="http://schemas.microsoft.com/office/drawing/2014/chart" uri="{C3380CC4-5D6E-409C-BE32-E72D297353CC}">
              <c16:uniqueId val="{00000005-6DB7-644D-A0FA-6B6126225F5C}"/>
            </c:ext>
          </c:extLst>
        </c:ser>
        <c:ser>
          <c:idx val="8"/>
          <c:order val="12"/>
          <c:tx>
            <c:v>X = Y</c:v>
          </c:tx>
          <c:spPr>
            <a:ln w="25400" cap="rnd">
              <a:solidFill>
                <a:schemeClr val="tx1"/>
              </a:solidFill>
              <a:round/>
            </a:ln>
            <a:effectLst/>
          </c:spPr>
          <c:marker>
            <c:symbol val="none"/>
          </c:marker>
          <c:xVal>
            <c:numRef>
              <c:f>'2. Geochemical Static Tests'!$G$70:$G$71</c:f>
              <c:numCache>
                <c:formatCode>General</c:formatCode>
                <c:ptCount val="2"/>
                <c:pt idx="0">
                  <c:v>0</c:v>
                </c:pt>
                <c:pt idx="1">
                  <c:v>390</c:v>
                </c:pt>
              </c:numCache>
            </c:numRef>
          </c:xVal>
          <c:yVal>
            <c:numRef>
              <c:f>'2. Geochemical Static Tests'!$H$70:$H$71</c:f>
              <c:numCache>
                <c:formatCode>General</c:formatCode>
                <c:ptCount val="2"/>
                <c:pt idx="0">
                  <c:v>0</c:v>
                </c:pt>
                <c:pt idx="1">
                  <c:v>390</c:v>
                </c:pt>
              </c:numCache>
            </c:numRef>
          </c:yVal>
          <c:smooth val="0"/>
          <c:extLst>
            <c:ext xmlns:c16="http://schemas.microsoft.com/office/drawing/2014/chart" uri="{C3380CC4-5D6E-409C-BE32-E72D297353CC}">
              <c16:uniqueId val="{00000009-C959-B744-B230-10732BE1AFED}"/>
            </c:ext>
          </c:extLst>
        </c:ser>
        <c:dLbls>
          <c:showLegendKey val="0"/>
          <c:showVal val="0"/>
          <c:showCatName val="0"/>
          <c:showSerName val="0"/>
          <c:showPercent val="0"/>
          <c:showBubbleSize val="0"/>
        </c:dLbls>
        <c:axId val="259569727"/>
        <c:axId val="201143567"/>
        <c:extLst/>
      </c:scatterChart>
      <c:valAx>
        <c:axId val="259569727"/>
        <c:scaling>
          <c:orientation val="minMax"/>
          <c:max val="390"/>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Mineralogical </a:t>
                </a:r>
              </a:p>
            </c:rich>
          </c:tx>
          <c:layout>
            <c:manualLayout>
              <c:xMode val="edge"/>
              <c:yMode val="edge"/>
              <c:x val="0.45357488984908229"/>
              <c:y val="0.77153278424286464"/>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none"/>
        <c:minorTickMark val="none"/>
        <c:tickLblPos val="low"/>
        <c:spPr>
          <a:noFill/>
          <a:ln w="12700" cap="flat" cmpd="sng" algn="ctr">
            <a:no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01143567"/>
        <c:crossesAt val="4.5"/>
        <c:crossBetween val="midCat"/>
      </c:valAx>
      <c:valAx>
        <c:axId val="201143567"/>
        <c:scaling>
          <c:orientation val="minMax"/>
          <c:max val="39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US"/>
                  <a:t>Chemical</a:t>
                </a:r>
              </a:p>
            </c:rich>
          </c:tx>
          <c:layout>
            <c:manualLayout>
              <c:xMode val="edge"/>
              <c:yMode val="edge"/>
              <c:x val="1.5575382677165352E-2"/>
              <c:y val="0.3148830015135603"/>
            </c:manualLayout>
          </c:layout>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none"/>
        <c:minorTickMark val="none"/>
        <c:tickLblPos val="low"/>
        <c:spPr>
          <a:noFill/>
          <a:ln w="12700" cap="flat" cmpd="sng" algn="ctr">
            <a:no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259569727"/>
        <c:crossesAt val="0"/>
        <c:crossBetween val="midCat"/>
      </c:valAx>
      <c:spPr>
        <a:noFill/>
        <a:ln>
          <a:solidFill>
            <a:schemeClr val="lt1">
              <a:shade val="50000"/>
            </a:schemeClr>
          </a:solidFill>
        </a:ln>
        <a:effectLst/>
      </c:spPr>
    </c:plotArea>
    <c:legend>
      <c:legendPos val="r"/>
      <c:legendEntry>
        <c:idx val="12"/>
        <c:delete val="1"/>
      </c:legendEntry>
      <c:layout>
        <c:manualLayout>
          <c:xMode val="edge"/>
          <c:yMode val="edge"/>
          <c:x val="1.244217657700036E-2"/>
          <c:y val="0.838928243556886"/>
          <c:w val="0.98674372475177841"/>
          <c:h val="0.13938901999884878"/>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20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en-GB"/>
              <a:t>Micro-scale particle size distribution</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lineMarker"/>
        <c:varyColors val="0"/>
        <c:ser>
          <c:idx val="0"/>
          <c:order val="0"/>
          <c:tx>
            <c:strRef>
              <c:f>'3. Particle Size Distribution'!$A$4:$A$13</c:f>
              <c:strCache>
                <c:ptCount val="10"/>
                <c:pt idx="0">
                  <c:v>Sample A</c:v>
                </c:pt>
              </c:strCache>
            </c:strRef>
          </c:tx>
          <c:spPr>
            <a:ln w="25400" cap="rnd">
              <a:noFill/>
              <a:round/>
            </a:ln>
            <a:effectLst/>
          </c:spPr>
          <c:marker>
            <c:symbol val="triangle"/>
            <c:size val="10"/>
            <c:spPr>
              <a:solidFill>
                <a:schemeClr val="accent1"/>
              </a:solidFill>
              <a:ln w="9525">
                <a:solidFill>
                  <a:schemeClr val="accent1"/>
                </a:solidFill>
              </a:ln>
              <a:effectLst/>
            </c:spPr>
          </c:marker>
          <c:xVal>
            <c:numRef>
              <c:f>'3. Particle Size Distribution'!$B$4:$B$11</c:f>
              <c:numCache>
                <c:formatCode>General</c:formatCode>
                <c:ptCount val="8"/>
                <c:pt idx="0">
                  <c:v>212</c:v>
                </c:pt>
                <c:pt idx="1">
                  <c:v>150</c:v>
                </c:pt>
                <c:pt idx="2">
                  <c:v>106</c:v>
                </c:pt>
                <c:pt idx="3">
                  <c:v>75</c:v>
                </c:pt>
                <c:pt idx="4">
                  <c:v>53</c:v>
                </c:pt>
                <c:pt idx="5">
                  <c:v>38</c:v>
                </c:pt>
                <c:pt idx="6">
                  <c:v>25</c:v>
                </c:pt>
                <c:pt idx="7">
                  <c:v>0</c:v>
                </c:pt>
              </c:numCache>
            </c:numRef>
          </c:xVal>
          <c:yVal>
            <c:numRef>
              <c:f>'3. Particle Size Distribution'!$G$4:$G$11</c:f>
              <c:numCache>
                <c:formatCode>0%</c:formatCode>
                <c:ptCount val="8"/>
                <c:pt idx="0">
                  <c:v>1</c:v>
                </c:pt>
                <c:pt idx="1">
                  <c:v>0.99011463698288749</c:v>
                </c:pt>
                <c:pt idx="2">
                  <c:v>0.88893503904303039</c:v>
                </c:pt>
                <c:pt idx="3">
                  <c:v>0.79622860940355544</c:v>
                </c:pt>
                <c:pt idx="4">
                  <c:v>0.70917095863100177</c:v>
                </c:pt>
                <c:pt idx="5">
                  <c:v>0.62826050839009806</c:v>
                </c:pt>
                <c:pt idx="6">
                  <c:v>0.56388104336268485</c:v>
                </c:pt>
                <c:pt idx="7">
                  <c:v>0</c:v>
                </c:pt>
              </c:numCache>
            </c:numRef>
          </c:yVal>
          <c:smooth val="0"/>
          <c:extLst>
            <c:ext xmlns:c16="http://schemas.microsoft.com/office/drawing/2014/chart" uri="{C3380CC4-5D6E-409C-BE32-E72D297353CC}">
              <c16:uniqueId val="{00000000-CBF2-D748-9B6A-44F8CD2E64CC}"/>
            </c:ext>
          </c:extLst>
        </c:ser>
        <c:ser>
          <c:idx val="1"/>
          <c:order val="1"/>
          <c:tx>
            <c:strRef>
              <c:f>'3. Particle Size Distribution'!$A$14:$A$23</c:f>
              <c:strCache>
                <c:ptCount val="10"/>
                <c:pt idx="0">
                  <c:v>Sample B</c:v>
                </c:pt>
              </c:strCache>
            </c:strRef>
          </c:tx>
          <c:spPr>
            <a:ln w="25400" cap="rnd">
              <a:noFill/>
              <a:round/>
            </a:ln>
            <a:effectLst/>
          </c:spPr>
          <c:marker>
            <c:symbol val="circle"/>
            <c:size val="10"/>
            <c:spPr>
              <a:solidFill>
                <a:schemeClr val="accent2"/>
              </a:solidFill>
              <a:ln w="9525">
                <a:solidFill>
                  <a:schemeClr val="accent2"/>
                </a:solidFill>
              </a:ln>
              <a:effectLst/>
            </c:spPr>
          </c:marker>
          <c:xVal>
            <c:numRef>
              <c:f>'3. Particle Size Distribution'!$B$14:$B$21</c:f>
              <c:numCache>
                <c:formatCode>General</c:formatCode>
                <c:ptCount val="8"/>
                <c:pt idx="0">
                  <c:v>212</c:v>
                </c:pt>
                <c:pt idx="1">
                  <c:v>150</c:v>
                </c:pt>
                <c:pt idx="2">
                  <c:v>106</c:v>
                </c:pt>
                <c:pt idx="3">
                  <c:v>75</c:v>
                </c:pt>
                <c:pt idx="4">
                  <c:v>53</c:v>
                </c:pt>
                <c:pt idx="5">
                  <c:v>38</c:v>
                </c:pt>
                <c:pt idx="6">
                  <c:v>25</c:v>
                </c:pt>
                <c:pt idx="7">
                  <c:v>0</c:v>
                </c:pt>
              </c:numCache>
            </c:numRef>
          </c:xVal>
          <c:yVal>
            <c:numRef>
              <c:f>'3. Particle Size Distribution'!$G$14:$G$21</c:f>
              <c:numCache>
                <c:formatCode>0%</c:formatCode>
                <c:ptCount val="8"/>
                <c:pt idx="0">
                  <c:v>1</c:v>
                </c:pt>
                <c:pt idx="1">
                  <c:v>0.99086358941765318</c:v>
                </c:pt>
                <c:pt idx="2">
                  <c:v>0.89497100182728206</c:v>
                </c:pt>
                <c:pt idx="3">
                  <c:v>0.79605942639230953</c:v>
                </c:pt>
                <c:pt idx="4">
                  <c:v>0.70350361484070867</c:v>
                </c:pt>
                <c:pt idx="5">
                  <c:v>0.63049177723047589</c:v>
                </c:pt>
                <c:pt idx="6">
                  <c:v>0.57344879637721458</c:v>
                </c:pt>
                <c:pt idx="7">
                  <c:v>0</c:v>
                </c:pt>
              </c:numCache>
            </c:numRef>
          </c:yVal>
          <c:smooth val="0"/>
          <c:extLst>
            <c:ext xmlns:c16="http://schemas.microsoft.com/office/drawing/2014/chart" uri="{C3380CC4-5D6E-409C-BE32-E72D297353CC}">
              <c16:uniqueId val="{00000001-CBF2-D748-9B6A-44F8CD2E64CC}"/>
            </c:ext>
          </c:extLst>
        </c:ser>
        <c:ser>
          <c:idx val="2"/>
          <c:order val="2"/>
          <c:tx>
            <c:strRef>
              <c:f>'3. Particle Size Distribution'!$A$24:$A$31</c:f>
              <c:strCache>
                <c:ptCount val="8"/>
                <c:pt idx="0">
                  <c:v>Sample C</c:v>
                </c:pt>
              </c:strCache>
            </c:strRef>
          </c:tx>
          <c:spPr>
            <a:ln w="25400" cap="rnd">
              <a:noFill/>
              <a:round/>
            </a:ln>
            <a:effectLst/>
          </c:spPr>
          <c:marker>
            <c:symbol val="diamond"/>
            <c:size val="10"/>
            <c:spPr>
              <a:solidFill>
                <a:schemeClr val="accent3"/>
              </a:solidFill>
              <a:ln w="9525">
                <a:solidFill>
                  <a:schemeClr val="accent3"/>
                </a:solidFill>
              </a:ln>
              <a:effectLst/>
            </c:spPr>
          </c:marker>
          <c:xVal>
            <c:numRef>
              <c:f>'3. Particle Size Distribution'!$B$24:$B$29</c:f>
              <c:numCache>
                <c:formatCode>General</c:formatCode>
                <c:ptCount val="6"/>
                <c:pt idx="0">
                  <c:v>212</c:v>
                </c:pt>
                <c:pt idx="1">
                  <c:v>75</c:v>
                </c:pt>
                <c:pt idx="2">
                  <c:v>53</c:v>
                </c:pt>
                <c:pt idx="3">
                  <c:v>38</c:v>
                </c:pt>
                <c:pt idx="4">
                  <c:v>25</c:v>
                </c:pt>
                <c:pt idx="5">
                  <c:v>0</c:v>
                </c:pt>
              </c:numCache>
            </c:numRef>
          </c:xVal>
          <c:yVal>
            <c:numRef>
              <c:f>'3. Particle Size Distribution'!$G$24:$G$29</c:f>
              <c:numCache>
                <c:formatCode>0%</c:formatCode>
                <c:ptCount val="6"/>
                <c:pt idx="0">
                  <c:v>1</c:v>
                </c:pt>
                <c:pt idx="1">
                  <c:v>0.86904761904761907</c:v>
                </c:pt>
                <c:pt idx="2">
                  <c:v>0.71195846759756531</c:v>
                </c:pt>
                <c:pt idx="3">
                  <c:v>0.60060866451843897</c:v>
                </c:pt>
                <c:pt idx="4">
                  <c:v>0.53088077336197637</c:v>
                </c:pt>
                <c:pt idx="5">
                  <c:v>0</c:v>
                </c:pt>
              </c:numCache>
            </c:numRef>
          </c:yVal>
          <c:smooth val="0"/>
          <c:extLst>
            <c:ext xmlns:c16="http://schemas.microsoft.com/office/drawing/2014/chart" uri="{C3380CC4-5D6E-409C-BE32-E72D297353CC}">
              <c16:uniqueId val="{00000002-CBF2-D748-9B6A-44F8CD2E64CC}"/>
            </c:ext>
          </c:extLst>
        </c:ser>
        <c:ser>
          <c:idx val="3"/>
          <c:order val="3"/>
          <c:tx>
            <c:strRef>
              <c:f>'3. Particle Size Distribution'!$A$32:$A$39</c:f>
              <c:strCache>
                <c:ptCount val="8"/>
                <c:pt idx="0">
                  <c:v>Sample D</c:v>
                </c:pt>
              </c:strCache>
            </c:strRef>
          </c:tx>
          <c:spPr>
            <a:ln w="25400" cap="rnd">
              <a:noFill/>
              <a:round/>
            </a:ln>
            <a:effectLst/>
          </c:spPr>
          <c:marker>
            <c:symbol val="square"/>
            <c:size val="10"/>
            <c:spPr>
              <a:solidFill>
                <a:schemeClr val="accent4"/>
              </a:solidFill>
              <a:ln w="9525">
                <a:solidFill>
                  <a:schemeClr val="accent4"/>
                </a:solidFill>
              </a:ln>
              <a:effectLst/>
            </c:spPr>
          </c:marker>
          <c:xVal>
            <c:numRef>
              <c:f>'3. Particle Size Distribution'!$B$32:$B$37</c:f>
              <c:numCache>
                <c:formatCode>General</c:formatCode>
                <c:ptCount val="6"/>
                <c:pt idx="0">
                  <c:v>212</c:v>
                </c:pt>
                <c:pt idx="1">
                  <c:v>75</c:v>
                </c:pt>
                <c:pt idx="2">
                  <c:v>53</c:v>
                </c:pt>
                <c:pt idx="3">
                  <c:v>38</c:v>
                </c:pt>
                <c:pt idx="4">
                  <c:v>25</c:v>
                </c:pt>
                <c:pt idx="5">
                  <c:v>0</c:v>
                </c:pt>
              </c:numCache>
            </c:numRef>
          </c:xVal>
          <c:yVal>
            <c:numRef>
              <c:f>'3. Particle Size Distribution'!$G$32:$G$37</c:f>
              <c:numCache>
                <c:formatCode>0%</c:formatCode>
                <c:ptCount val="6"/>
                <c:pt idx="0">
                  <c:v>1</c:v>
                </c:pt>
                <c:pt idx="1">
                  <c:v>0.87705942506533341</c:v>
                </c:pt>
                <c:pt idx="2">
                  <c:v>0.74707419611407788</c:v>
                </c:pt>
                <c:pt idx="3">
                  <c:v>0.62901942961027146</c:v>
                </c:pt>
                <c:pt idx="4">
                  <c:v>0.54834677877513904</c:v>
                </c:pt>
                <c:pt idx="5">
                  <c:v>0</c:v>
                </c:pt>
              </c:numCache>
            </c:numRef>
          </c:yVal>
          <c:smooth val="0"/>
          <c:extLst>
            <c:ext xmlns:c16="http://schemas.microsoft.com/office/drawing/2014/chart" uri="{C3380CC4-5D6E-409C-BE32-E72D297353CC}">
              <c16:uniqueId val="{00000003-CBF2-D748-9B6A-44F8CD2E64CC}"/>
            </c:ext>
          </c:extLst>
        </c:ser>
        <c:ser>
          <c:idx val="4"/>
          <c:order val="4"/>
          <c:tx>
            <c:v>d50</c:v>
          </c:tx>
          <c:spPr>
            <a:ln w="19050" cap="rnd">
              <a:noFill/>
              <a:round/>
            </a:ln>
            <a:effectLst/>
          </c:spPr>
          <c:marker>
            <c:symbol val="circle"/>
            <c:size val="5"/>
            <c:spPr>
              <a:solidFill>
                <a:schemeClr val="accent5"/>
              </a:solidFill>
              <a:ln w="9525">
                <a:solidFill>
                  <a:schemeClr val="accent5"/>
                </a:solidFill>
              </a:ln>
              <a:effectLst/>
            </c:spPr>
          </c:marker>
          <c:dPt>
            <c:idx val="1"/>
            <c:marker>
              <c:symbol val="circle"/>
              <c:size val="5"/>
              <c:spPr>
                <a:solidFill>
                  <a:schemeClr val="accent5"/>
                </a:solidFill>
                <a:ln w="9525">
                  <a:solidFill>
                    <a:schemeClr val="accent5"/>
                  </a:solidFill>
                </a:ln>
                <a:effectLst/>
              </c:spPr>
            </c:marker>
            <c:bubble3D val="0"/>
            <c:extLst>
              <c:ext xmlns:c16="http://schemas.microsoft.com/office/drawing/2014/chart" uri="{C3380CC4-5D6E-409C-BE32-E72D297353CC}">
                <c16:uniqueId val="{00000000-C8EF-004D-B583-7A29F68E9506}"/>
              </c:ext>
            </c:extLst>
          </c:dPt>
          <c:dPt>
            <c:idx val="2"/>
            <c:marker>
              <c:symbol val="circle"/>
              <c:size val="5"/>
              <c:spPr>
                <a:solidFill>
                  <a:schemeClr val="accent5"/>
                </a:solidFill>
                <a:ln w="9525">
                  <a:solidFill>
                    <a:schemeClr val="accent5"/>
                  </a:solidFill>
                </a:ln>
                <a:effectLst/>
              </c:spPr>
            </c:marker>
            <c:bubble3D val="0"/>
            <c:extLst>
              <c:ext xmlns:c16="http://schemas.microsoft.com/office/drawing/2014/chart" uri="{C3380CC4-5D6E-409C-BE32-E72D297353CC}">
                <c16:uniqueId val="{00000001-C8EF-004D-B583-7A29F68E9506}"/>
              </c:ext>
            </c:extLst>
          </c:dPt>
          <c:dPt>
            <c:idx val="3"/>
            <c:marker>
              <c:symbol val="circle"/>
              <c:size val="5"/>
              <c:spPr>
                <a:solidFill>
                  <a:schemeClr val="accent5"/>
                </a:solidFill>
                <a:ln w="9525">
                  <a:solidFill>
                    <a:schemeClr val="accent5"/>
                  </a:solidFill>
                </a:ln>
                <a:effectLst/>
              </c:spPr>
            </c:marker>
            <c:bubble3D val="0"/>
            <c:extLst>
              <c:ext xmlns:c16="http://schemas.microsoft.com/office/drawing/2014/chart" uri="{C3380CC4-5D6E-409C-BE32-E72D297353CC}">
                <c16:uniqueId val="{00000002-C8EF-004D-B583-7A29F68E9506}"/>
              </c:ext>
            </c:extLst>
          </c:dPt>
          <c:xVal>
            <c:numRef>
              <c:f>'3. Particle Size Distribution'!$D$67:$D$70</c:f>
              <c:numCache>
                <c:formatCode>General</c:formatCode>
                <c:ptCount val="4"/>
                <c:pt idx="0">
                  <c:v>21</c:v>
                </c:pt>
                <c:pt idx="1">
                  <c:v>20</c:v>
                </c:pt>
                <c:pt idx="2">
                  <c:v>22</c:v>
                </c:pt>
                <c:pt idx="3">
                  <c:v>22</c:v>
                </c:pt>
              </c:numCache>
            </c:numRef>
          </c:xVal>
          <c:yVal>
            <c:numRef>
              <c:f>'3. Particle Size Distribution'!$C$67:$C$70</c:f>
              <c:numCache>
                <c:formatCode>0%</c:formatCode>
                <c:ptCount val="4"/>
                <c:pt idx="0">
                  <c:v>0.5</c:v>
                </c:pt>
                <c:pt idx="1">
                  <c:v>0.5</c:v>
                </c:pt>
                <c:pt idx="2">
                  <c:v>0.5</c:v>
                </c:pt>
                <c:pt idx="3">
                  <c:v>0.5</c:v>
                </c:pt>
              </c:numCache>
            </c:numRef>
          </c:yVal>
          <c:smooth val="0"/>
          <c:extLst>
            <c:ext xmlns:c16="http://schemas.microsoft.com/office/drawing/2014/chart" uri="{C3380CC4-5D6E-409C-BE32-E72D297353CC}">
              <c16:uniqueId val="{00000004-CBF2-D748-9B6A-44F8CD2E64CC}"/>
            </c:ext>
          </c:extLst>
        </c:ser>
        <c:ser>
          <c:idx val="8"/>
          <c:order val="5"/>
          <c:tx>
            <c:v>d90</c:v>
          </c:tx>
          <c:spPr>
            <a:ln w="1905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'3. Particle Size Distribution'!$F$67:$F$70</c:f>
              <c:numCache>
                <c:formatCode>General</c:formatCode>
                <c:ptCount val="4"/>
                <c:pt idx="0">
                  <c:v>110</c:v>
                </c:pt>
                <c:pt idx="1">
                  <c:v>105</c:v>
                </c:pt>
                <c:pt idx="2">
                  <c:v>90</c:v>
                </c:pt>
                <c:pt idx="3">
                  <c:v>85</c:v>
                </c:pt>
              </c:numCache>
            </c:numRef>
          </c:xVal>
          <c:yVal>
            <c:numRef>
              <c:f>'3. Particle Size Distribution'!$E$67:$E$70</c:f>
              <c:numCache>
                <c:formatCode>0%</c:formatCode>
                <c:ptCount val="4"/>
                <c:pt idx="0">
                  <c:v>0.9</c:v>
                </c:pt>
                <c:pt idx="1">
                  <c:v>0.9</c:v>
                </c:pt>
                <c:pt idx="2">
                  <c:v>0.9</c:v>
                </c:pt>
                <c:pt idx="3">
                  <c:v>0.9</c:v>
                </c:pt>
              </c:numCache>
            </c:numRef>
          </c:yVal>
          <c:smooth val="0"/>
          <c:extLst>
            <c:ext xmlns:c16="http://schemas.microsoft.com/office/drawing/2014/chart" uri="{C3380CC4-5D6E-409C-BE32-E72D297353CC}">
              <c16:uniqueId val="{00000008-CBF2-D748-9B6A-44F8CD2E64CC}"/>
            </c:ext>
          </c:extLst>
        </c:ser>
        <c:dLbls>
          <c:showLegendKey val="0"/>
          <c:showVal val="0"/>
          <c:showCatName val="0"/>
          <c:showSerName val="0"/>
          <c:showPercent val="0"/>
          <c:showBubbleSize val="0"/>
        </c:dLbls>
        <c:axId val="948519472"/>
        <c:axId val="1011893184"/>
      </c:scatterChart>
      <c:valAx>
        <c:axId val="94851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a:t>Particle Size (μm)</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011893184"/>
        <c:crosses val="autoZero"/>
        <c:crossBetween val="midCat"/>
      </c:valAx>
      <c:valAx>
        <c:axId val="101189318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a:t>Cumulative % Passing</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9485194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r>
              <a:rPr lang="en-GB"/>
              <a:t>Meso-scale particle size distribution</a:t>
            </a:r>
          </a:p>
        </c:rich>
      </c:tx>
      <c:overlay val="0"/>
      <c:spPr>
        <a:noFill/>
        <a:ln>
          <a:noFill/>
        </a:ln>
        <a:effectLst/>
      </c:spPr>
      <c:txPr>
        <a:bodyPr rot="0" spcFirstLastPara="1" vertOverflow="ellipsis" vert="horz" wrap="square" anchor="ctr" anchorCtr="1"/>
        <a:lstStyle/>
        <a:p>
          <a:pPr>
            <a:defRPr sz="1680" b="0" i="0" u="none" strike="noStrike" kern="1200" spc="0" baseline="0">
              <a:solidFill>
                <a:schemeClr val="tx1"/>
              </a:solidFill>
              <a:latin typeface="Times New Roman" panose="02020603050405020304" pitchFamily="18" charset="0"/>
              <a:ea typeface="+mn-ea"/>
              <a:cs typeface="Times New Roman" panose="02020603050405020304" pitchFamily="18" charset="0"/>
            </a:defRPr>
          </a:pPr>
          <a:endParaRPr lang="en-US"/>
        </a:p>
      </c:txPr>
    </c:title>
    <c:autoTitleDeleted val="0"/>
    <c:plotArea>
      <c:layout/>
      <c:scatterChart>
        <c:scatterStyle val="lineMarker"/>
        <c:varyColors val="0"/>
        <c:ser>
          <c:idx val="0"/>
          <c:order val="0"/>
          <c:tx>
            <c:strRef>
              <c:f>'3. Particle Size Distribution'!$I$4:$I$12</c:f>
              <c:strCache>
                <c:ptCount val="9"/>
                <c:pt idx="0">
                  <c:v>Sample A</c:v>
                </c:pt>
              </c:strCache>
            </c:strRef>
          </c:tx>
          <c:spPr>
            <a:ln w="25400" cap="rnd">
              <a:noFill/>
              <a:round/>
            </a:ln>
            <a:effectLst/>
          </c:spPr>
          <c:marker>
            <c:symbol val="triangle"/>
            <c:size val="10"/>
            <c:spPr>
              <a:solidFill>
                <a:schemeClr val="accent1"/>
              </a:solidFill>
              <a:ln w="9525">
                <a:solidFill>
                  <a:schemeClr val="accent1"/>
                </a:solidFill>
              </a:ln>
              <a:effectLst/>
            </c:spPr>
          </c:marker>
          <c:xVal>
            <c:numRef>
              <c:f>'3. Particle Size Distribution'!$J$4:$J$10</c:f>
              <c:numCache>
                <c:formatCode>General</c:formatCode>
                <c:ptCount val="7"/>
                <c:pt idx="0">
                  <c:v>11200</c:v>
                </c:pt>
                <c:pt idx="1">
                  <c:v>8000</c:v>
                </c:pt>
                <c:pt idx="2">
                  <c:v>6700</c:v>
                </c:pt>
                <c:pt idx="3">
                  <c:v>5600</c:v>
                </c:pt>
                <c:pt idx="4">
                  <c:v>4000</c:v>
                </c:pt>
                <c:pt idx="5">
                  <c:v>2000</c:v>
                </c:pt>
                <c:pt idx="6">
                  <c:v>0</c:v>
                </c:pt>
              </c:numCache>
            </c:numRef>
          </c:xVal>
          <c:yVal>
            <c:numRef>
              <c:f>'3. Particle Size Distribution'!$O$4:$O$10</c:f>
              <c:numCache>
                <c:formatCode>0%</c:formatCode>
                <c:ptCount val="7"/>
                <c:pt idx="0">
                  <c:v>1</c:v>
                </c:pt>
                <c:pt idx="1">
                  <c:v>0.99670950295546457</c:v>
                </c:pt>
                <c:pt idx="2">
                  <c:v>0.97338885299255751</c:v>
                </c:pt>
                <c:pt idx="3">
                  <c:v>0.88525139397420249</c:v>
                </c:pt>
                <c:pt idx="4">
                  <c:v>0.62240649005671622</c:v>
                </c:pt>
                <c:pt idx="5">
                  <c:v>0.368966424964702</c:v>
                </c:pt>
                <c:pt idx="6">
                  <c:v>0</c:v>
                </c:pt>
              </c:numCache>
            </c:numRef>
          </c:yVal>
          <c:smooth val="0"/>
          <c:extLst>
            <c:ext xmlns:c16="http://schemas.microsoft.com/office/drawing/2014/chart" uri="{C3380CC4-5D6E-409C-BE32-E72D297353CC}">
              <c16:uniqueId val="{00000000-6975-BA46-8026-8B75CD9CF26C}"/>
            </c:ext>
          </c:extLst>
        </c:ser>
        <c:ser>
          <c:idx val="1"/>
          <c:order val="1"/>
          <c:tx>
            <c:strRef>
              <c:f>'3. Particle Size Distribution'!$I$13:$I$21</c:f>
              <c:strCache>
                <c:ptCount val="9"/>
                <c:pt idx="0">
                  <c:v>Sample B</c:v>
                </c:pt>
              </c:strCache>
            </c:strRef>
          </c:tx>
          <c:spPr>
            <a:ln w="25400" cap="rnd">
              <a:noFill/>
              <a:round/>
            </a:ln>
            <a:effectLst/>
          </c:spPr>
          <c:marker>
            <c:symbol val="circle"/>
            <c:size val="10"/>
            <c:spPr>
              <a:solidFill>
                <a:schemeClr val="accent2"/>
              </a:solidFill>
              <a:ln w="9525">
                <a:solidFill>
                  <a:schemeClr val="accent2"/>
                </a:solidFill>
              </a:ln>
              <a:effectLst/>
            </c:spPr>
          </c:marker>
          <c:xVal>
            <c:numRef>
              <c:f>'3. Particle Size Distribution'!$J$13:$J$19</c:f>
              <c:numCache>
                <c:formatCode>General</c:formatCode>
                <c:ptCount val="7"/>
                <c:pt idx="0">
                  <c:v>11200</c:v>
                </c:pt>
                <c:pt idx="1">
                  <c:v>8000</c:v>
                </c:pt>
                <c:pt idx="2">
                  <c:v>6700</c:v>
                </c:pt>
                <c:pt idx="3">
                  <c:v>5600</c:v>
                </c:pt>
                <c:pt idx="4">
                  <c:v>4000</c:v>
                </c:pt>
                <c:pt idx="5">
                  <c:v>2000</c:v>
                </c:pt>
                <c:pt idx="6">
                  <c:v>0</c:v>
                </c:pt>
              </c:numCache>
            </c:numRef>
          </c:xVal>
          <c:yVal>
            <c:numRef>
              <c:f>'3. Particle Size Distribution'!$O$13:$O$19</c:f>
              <c:numCache>
                <c:formatCode>0%</c:formatCode>
                <c:ptCount val="7"/>
                <c:pt idx="0">
                  <c:v>1</c:v>
                </c:pt>
                <c:pt idx="1">
                  <c:v>0.99357070805842329</c:v>
                </c:pt>
                <c:pt idx="2">
                  <c:v>0.96072818132224425</c:v>
                </c:pt>
                <c:pt idx="3">
                  <c:v>0.86430166850225931</c:v>
                </c:pt>
                <c:pt idx="4">
                  <c:v>0.6291957016252715</c:v>
                </c:pt>
                <c:pt idx="5">
                  <c:v>0.3680856484102395</c:v>
                </c:pt>
                <c:pt idx="6">
                  <c:v>0</c:v>
                </c:pt>
              </c:numCache>
            </c:numRef>
          </c:yVal>
          <c:smooth val="0"/>
          <c:extLst>
            <c:ext xmlns:c16="http://schemas.microsoft.com/office/drawing/2014/chart" uri="{C3380CC4-5D6E-409C-BE32-E72D297353CC}">
              <c16:uniqueId val="{00000001-6975-BA46-8026-8B75CD9CF26C}"/>
            </c:ext>
          </c:extLst>
        </c:ser>
        <c:ser>
          <c:idx val="2"/>
          <c:order val="2"/>
          <c:tx>
            <c:strRef>
              <c:f>'3. Particle Size Distribution'!$I$22:$I$29</c:f>
              <c:strCache>
                <c:ptCount val="8"/>
                <c:pt idx="0">
                  <c:v>Sample C</c:v>
                </c:pt>
              </c:strCache>
            </c:strRef>
          </c:tx>
          <c:spPr>
            <a:ln w="25400" cap="rnd">
              <a:noFill/>
              <a:round/>
            </a:ln>
            <a:effectLst/>
          </c:spPr>
          <c:marker>
            <c:symbol val="diamond"/>
            <c:size val="10"/>
            <c:spPr>
              <a:solidFill>
                <a:schemeClr val="accent3"/>
              </a:solidFill>
              <a:ln w="9525">
                <a:solidFill>
                  <a:schemeClr val="accent3"/>
                </a:solidFill>
              </a:ln>
              <a:effectLst/>
            </c:spPr>
          </c:marker>
          <c:xVal>
            <c:numRef>
              <c:f>'3. Particle Size Distribution'!$J$22:$J$27</c:f>
              <c:numCache>
                <c:formatCode>General</c:formatCode>
                <c:ptCount val="6"/>
                <c:pt idx="0">
                  <c:v>11200</c:v>
                </c:pt>
                <c:pt idx="1">
                  <c:v>6700</c:v>
                </c:pt>
                <c:pt idx="2">
                  <c:v>5600</c:v>
                </c:pt>
                <c:pt idx="3">
                  <c:v>4000</c:v>
                </c:pt>
                <c:pt idx="4">
                  <c:v>2000</c:v>
                </c:pt>
                <c:pt idx="5">
                  <c:v>0</c:v>
                </c:pt>
              </c:numCache>
            </c:numRef>
          </c:xVal>
          <c:yVal>
            <c:numRef>
              <c:f>'3. Particle Size Distribution'!$O$22:$O$27</c:f>
              <c:numCache>
                <c:formatCode>0%</c:formatCode>
                <c:ptCount val="6"/>
                <c:pt idx="0">
                  <c:v>1</c:v>
                </c:pt>
                <c:pt idx="1">
                  <c:v>0.93945384236379648</c:v>
                </c:pt>
                <c:pt idx="2">
                  <c:v>0.81243591083506272</c:v>
                </c:pt>
                <c:pt idx="3">
                  <c:v>0.64277587828657601</c:v>
                </c:pt>
                <c:pt idx="4">
                  <c:v>0.43693745614166057</c:v>
                </c:pt>
                <c:pt idx="5">
                  <c:v>0</c:v>
                </c:pt>
              </c:numCache>
            </c:numRef>
          </c:yVal>
          <c:smooth val="0"/>
          <c:extLst>
            <c:ext xmlns:c16="http://schemas.microsoft.com/office/drawing/2014/chart" uri="{C3380CC4-5D6E-409C-BE32-E72D297353CC}">
              <c16:uniqueId val="{00000002-6975-BA46-8026-8B75CD9CF26C}"/>
            </c:ext>
          </c:extLst>
        </c:ser>
        <c:ser>
          <c:idx val="3"/>
          <c:order val="3"/>
          <c:tx>
            <c:strRef>
              <c:f>'3. Particle Size Distribution'!$I$30:$I$37</c:f>
              <c:strCache>
                <c:ptCount val="8"/>
                <c:pt idx="0">
                  <c:v>Sample D</c:v>
                </c:pt>
              </c:strCache>
            </c:strRef>
          </c:tx>
          <c:spPr>
            <a:ln w="25400" cap="rnd">
              <a:noFill/>
              <a:round/>
            </a:ln>
            <a:effectLst/>
          </c:spPr>
          <c:marker>
            <c:symbol val="square"/>
            <c:size val="10"/>
            <c:spPr>
              <a:solidFill>
                <a:schemeClr val="accent4"/>
              </a:solidFill>
              <a:ln w="9525">
                <a:solidFill>
                  <a:schemeClr val="accent4"/>
                </a:solidFill>
              </a:ln>
              <a:effectLst/>
            </c:spPr>
          </c:marker>
          <c:xVal>
            <c:numRef>
              <c:f>'3. Particle Size Distribution'!$J$30:$J$35</c:f>
              <c:numCache>
                <c:formatCode>General</c:formatCode>
                <c:ptCount val="6"/>
                <c:pt idx="0">
                  <c:v>11200</c:v>
                </c:pt>
                <c:pt idx="1">
                  <c:v>6700</c:v>
                </c:pt>
                <c:pt idx="2">
                  <c:v>5600</c:v>
                </c:pt>
                <c:pt idx="3">
                  <c:v>4000</c:v>
                </c:pt>
                <c:pt idx="4">
                  <c:v>2000</c:v>
                </c:pt>
                <c:pt idx="5">
                  <c:v>0</c:v>
                </c:pt>
              </c:numCache>
            </c:numRef>
          </c:xVal>
          <c:yVal>
            <c:numRef>
              <c:f>'3. Particle Size Distribution'!$O$30:$O$35</c:f>
              <c:numCache>
                <c:formatCode>0%</c:formatCode>
                <c:ptCount val="6"/>
                <c:pt idx="0">
                  <c:v>1</c:v>
                </c:pt>
                <c:pt idx="1">
                  <c:v>0.99354586448560289</c:v>
                </c:pt>
                <c:pt idx="2">
                  <c:v>0.87218805508961139</c:v>
                </c:pt>
                <c:pt idx="3">
                  <c:v>0.67884474014808738</c:v>
                </c:pt>
                <c:pt idx="4">
                  <c:v>0.4607359925254445</c:v>
                </c:pt>
                <c:pt idx="5">
                  <c:v>0</c:v>
                </c:pt>
              </c:numCache>
            </c:numRef>
          </c:yVal>
          <c:smooth val="0"/>
          <c:extLst>
            <c:ext xmlns:c16="http://schemas.microsoft.com/office/drawing/2014/chart" uri="{C3380CC4-5D6E-409C-BE32-E72D297353CC}">
              <c16:uniqueId val="{00000003-6975-BA46-8026-8B75CD9CF26C}"/>
            </c:ext>
          </c:extLst>
        </c:ser>
        <c:ser>
          <c:idx val="4"/>
          <c:order val="4"/>
          <c:tx>
            <c:v>d50</c:v>
          </c:tx>
          <c:spPr>
            <a:ln w="25400" cap="rnd">
              <a:noFill/>
              <a:round/>
            </a:ln>
            <a:effectLst/>
          </c:spPr>
          <c:marker>
            <c:symbol val="circle"/>
            <c:size val="5"/>
            <c:spPr>
              <a:solidFill>
                <a:schemeClr val="accent5"/>
              </a:solidFill>
              <a:ln w="9525">
                <a:solidFill>
                  <a:schemeClr val="accent5"/>
                </a:solidFill>
              </a:ln>
              <a:effectLst/>
            </c:spPr>
          </c:marker>
          <c:dPt>
            <c:idx val="1"/>
            <c:marker>
              <c:symbol val="circle"/>
              <c:size val="5"/>
              <c:spPr>
                <a:solidFill>
                  <a:schemeClr val="accent5"/>
                </a:solidFill>
                <a:ln w="9525">
                  <a:solidFill>
                    <a:schemeClr val="accent5"/>
                  </a:solidFill>
                </a:ln>
                <a:effectLst/>
              </c:spPr>
            </c:marker>
            <c:bubble3D val="0"/>
            <c:spPr>
              <a:ln w="25400" cap="rnd">
                <a:noFill/>
                <a:round/>
              </a:ln>
              <a:effectLst/>
            </c:spPr>
            <c:extLst>
              <c:ext xmlns:c16="http://schemas.microsoft.com/office/drawing/2014/chart" uri="{C3380CC4-5D6E-409C-BE32-E72D297353CC}">
                <c16:uniqueId val="{00000001-021B-2547-88B3-CA2EC887C5C6}"/>
              </c:ext>
            </c:extLst>
          </c:dPt>
          <c:dPt>
            <c:idx val="2"/>
            <c:marker>
              <c:symbol val="circle"/>
              <c:size val="5"/>
              <c:spPr>
                <a:solidFill>
                  <a:schemeClr val="accent5"/>
                </a:solidFill>
                <a:ln w="9525">
                  <a:solidFill>
                    <a:schemeClr val="accent5"/>
                  </a:solidFill>
                </a:ln>
                <a:effectLst/>
              </c:spPr>
            </c:marker>
            <c:bubble3D val="0"/>
            <c:spPr>
              <a:ln w="25400" cap="rnd">
                <a:noFill/>
                <a:round/>
              </a:ln>
              <a:effectLst/>
            </c:spPr>
            <c:extLst>
              <c:ext xmlns:c16="http://schemas.microsoft.com/office/drawing/2014/chart" uri="{C3380CC4-5D6E-409C-BE32-E72D297353CC}">
                <c16:uniqueId val="{00000003-021B-2547-88B3-CA2EC887C5C6}"/>
              </c:ext>
            </c:extLst>
          </c:dPt>
          <c:dPt>
            <c:idx val="3"/>
            <c:marker>
              <c:symbol val="circle"/>
              <c:size val="5"/>
              <c:spPr>
                <a:solidFill>
                  <a:schemeClr val="accent5"/>
                </a:solidFill>
                <a:ln w="9525">
                  <a:solidFill>
                    <a:schemeClr val="accent5"/>
                  </a:solidFill>
                </a:ln>
                <a:effectLst/>
              </c:spPr>
            </c:marker>
            <c:bubble3D val="0"/>
            <c:spPr>
              <a:ln w="25400" cap="rnd">
                <a:noFill/>
                <a:round/>
              </a:ln>
              <a:effectLst/>
            </c:spPr>
            <c:extLst>
              <c:ext xmlns:c16="http://schemas.microsoft.com/office/drawing/2014/chart" uri="{C3380CC4-5D6E-409C-BE32-E72D297353CC}">
                <c16:uniqueId val="{00000005-021B-2547-88B3-CA2EC887C5C6}"/>
              </c:ext>
            </c:extLst>
          </c:dPt>
          <c:xVal>
            <c:numRef>
              <c:f>'3. Particle Size Distribution'!$L$67:$L$70</c:f>
              <c:numCache>
                <c:formatCode>General</c:formatCode>
                <c:ptCount val="4"/>
                <c:pt idx="0">
                  <c:v>2900</c:v>
                </c:pt>
                <c:pt idx="1">
                  <c:v>2900</c:v>
                </c:pt>
                <c:pt idx="2">
                  <c:v>2500</c:v>
                </c:pt>
                <c:pt idx="3">
                  <c:v>2250</c:v>
                </c:pt>
              </c:numCache>
            </c:numRef>
          </c:xVal>
          <c:yVal>
            <c:numRef>
              <c:f>'3. Particle Size Distribution'!$K$67:$K$70</c:f>
              <c:numCache>
                <c:formatCode>0%</c:formatCode>
                <c:ptCount val="4"/>
                <c:pt idx="0">
                  <c:v>0.5</c:v>
                </c:pt>
                <c:pt idx="1">
                  <c:v>0.5</c:v>
                </c:pt>
                <c:pt idx="2">
                  <c:v>0.5</c:v>
                </c:pt>
                <c:pt idx="3">
                  <c:v>0.5</c:v>
                </c:pt>
              </c:numCache>
            </c:numRef>
          </c:yVal>
          <c:smooth val="0"/>
          <c:extLst>
            <c:ext xmlns:c16="http://schemas.microsoft.com/office/drawing/2014/chart" uri="{C3380CC4-5D6E-409C-BE32-E72D297353CC}">
              <c16:uniqueId val="{00000004-6975-BA46-8026-8B75CD9CF26C}"/>
            </c:ext>
          </c:extLst>
        </c:ser>
        <c:ser>
          <c:idx val="8"/>
          <c:order val="5"/>
          <c:tx>
            <c:v>d90</c:v>
          </c:tx>
          <c:spPr>
            <a:ln w="25400" cap="rnd">
              <a:noFill/>
              <a:round/>
            </a:ln>
            <a:effectLst/>
          </c:spPr>
          <c:marker>
            <c:symbol val="circle"/>
            <c:size val="5"/>
            <c:spPr>
              <a:solidFill>
                <a:schemeClr val="accent3">
                  <a:lumMod val="60000"/>
                </a:schemeClr>
              </a:solidFill>
              <a:ln w="9525">
                <a:solidFill>
                  <a:schemeClr val="accent3">
                    <a:lumMod val="60000"/>
                  </a:schemeClr>
                </a:solidFill>
              </a:ln>
              <a:effectLst/>
            </c:spPr>
          </c:marker>
          <c:xVal>
            <c:numRef>
              <c:f>'3. Particle Size Distribution'!$N$67:$N$70</c:f>
              <c:numCache>
                <c:formatCode>General</c:formatCode>
                <c:ptCount val="4"/>
                <c:pt idx="0">
                  <c:v>6700</c:v>
                </c:pt>
                <c:pt idx="1">
                  <c:v>6700</c:v>
                </c:pt>
                <c:pt idx="2">
                  <c:v>6800</c:v>
                </c:pt>
                <c:pt idx="3">
                  <c:v>6300</c:v>
                </c:pt>
              </c:numCache>
            </c:numRef>
          </c:xVal>
          <c:yVal>
            <c:numRef>
              <c:f>'3. Particle Size Distribution'!$M$67:$M$70</c:f>
              <c:numCache>
                <c:formatCode>0%</c:formatCode>
                <c:ptCount val="4"/>
                <c:pt idx="0">
                  <c:v>0.95</c:v>
                </c:pt>
                <c:pt idx="1">
                  <c:v>0.95</c:v>
                </c:pt>
                <c:pt idx="2">
                  <c:v>0.95</c:v>
                </c:pt>
                <c:pt idx="3">
                  <c:v>0.95</c:v>
                </c:pt>
              </c:numCache>
            </c:numRef>
          </c:yVal>
          <c:smooth val="0"/>
          <c:extLst>
            <c:ext xmlns:c16="http://schemas.microsoft.com/office/drawing/2014/chart" uri="{C3380CC4-5D6E-409C-BE32-E72D297353CC}">
              <c16:uniqueId val="{00000008-6975-BA46-8026-8B75CD9CF26C}"/>
            </c:ext>
          </c:extLst>
        </c:ser>
        <c:dLbls>
          <c:showLegendKey val="0"/>
          <c:showVal val="0"/>
          <c:showCatName val="0"/>
          <c:showSerName val="0"/>
          <c:showPercent val="0"/>
          <c:showBubbleSize val="0"/>
        </c:dLbls>
        <c:axId val="948519472"/>
        <c:axId val="1011893184"/>
      </c:scatterChart>
      <c:valAx>
        <c:axId val="94851947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a:t>Particle Size (μm)</a:t>
                </a:r>
              </a:p>
            </c:rich>
          </c:tx>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1011893184"/>
        <c:crosses val="autoZero"/>
        <c:crossBetween val="midCat"/>
      </c:valAx>
      <c:valAx>
        <c:axId val="1011893184"/>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GB"/>
                  <a:t>Cumulative % Passing</a:t>
                </a:r>
              </a:p>
            </c:rich>
          </c:tx>
          <c:overlay val="0"/>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948519472"/>
        <c:crosses val="autoZero"/>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4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87118806140285E-2"/>
          <c:y val="4.0512593564387578E-2"/>
          <c:w val="0.68384256476528216"/>
          <c:h val="0.82184207621664107"/>
        </c:manualLayout>
      </c:layout>
      <c:barChart>
        <c:barDir val="col"/>
        <c:grouping val="percentStacked"/>
        <c:varyColors val="0"/>
        <c:ser>
          <c:idx val="16"/>
          <c:order val="0"/>
          <c:tx>
            <c:strRef>
              <c:f>'5. Bulk Mineralogy and Elements'!$B$21</c:f>
              <c:strCache>
                <c:ptCount val="1"/>
                <c:pt idx="0">
                  <c:v>Other</c:v>
                </c:pt>
              </c:strCache>
            </c:strRef>
          </c:tx>
          <c:spPr>
            <a:solidFill>
              <a:schemeClr val="accent3"/>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Elements'!$C$21:$Q$21</c:f>
              <c:numCache>
                <c:formatCode>0.00%</c:formatCode>
                <c:ptCount val="15"/>
                <c:pt idx="0">
                  <c:v>0</c:v>
                </c:pt>
                <c:pt idx="1">
                  <c:v>6.3182705128464103E-3</c:v>
                </c:pt>
                <c:pt idx="2">
                  <c:v>5.9842574173942396E-3</c:v>
                </c:pt>
                <c:pt idx="4">
                  <c:v>0</c:v>
                </c:pt>
                <c:pt idx="5">
                  <c:v>4.9674235104556503E-3</c:v>
                </c:pt>
                <c:pt idx="6">
                  <c:v>6.9892186365957199E-3</c:v>
                </c:pt>
                <c:pt idx="8">
                  <c:v>0</c:v>
                </c:pt>
                <c:pt idx="9">
                  <c:v>5.1014103777230306E-3</c:v>
                </c:pt>
                <c:pt idx="10">
                  <c:v>5.0690170587236608E-3</c:v>
                </c:pt>
                <c:pt idx="12">
                  <c:v>0</c:v>
                </c:pt>
                <c:pt idx="13">
                  <c:v>4.5840087309933298E-3</c:v>
                </c:pt>
                <c:pt idx="14">
                  <c:v>4.1704216525307201E-3</c:v>
                </c:pt>
              </c:numCache>
            </c:numRef>
          </c:val>
          <c:extLst>
            <c:ext xmlns:c16="http://schemas.microsoft.com/office/drawing/2014/chart" uri="{C3380CC4-5D6E-409C-BE32-E72D297353CC}">
              <c16:uniqueId val="{00000000-0343-7F48-88F6-2120E37AF592}"/>
            </c:ext>
          </c:extLst>
        </c:ser>
        <c:ser>
          <c:idx val="15"/>
          <c:order val="1"/>
          <c:tx>
            <c:strRef>
              <c:f>'5. Bulk Mineralogy and Elements'!$B$20</c:f>
              <c:strCache>
                <c:ptCount val="1"/>
                <c:pt idx="0">
                  <c:v>Titanite</c:v>
                </c:pt>
              </c:strCache>
            </c:strRef>
          </c:tx>
          <c:spPr>
            <a:solidFill>
              <a:srgbClr val="FFFFCC"/>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Elements'!$C$20:$Q$20</c:f>
              <c:numCache>
                <c:formatCode>0.00%</c:formatCode>
                <c:ptCount val="15"/>
                <c:pt idx="0">
                  <c:v>0</c:v>
                </c:pt>
                <c:pt idx="1">
                  <c:v>1.8500808520072801E-3</c:v>
                </c:pt>
                <c:pt idx="2">
                  <c:v>1.7583598234368601E-3</c:v>
                </c:pt>
                <c:pt idx="4">
                  <c:v>0</c:v>
                </c:pt>
                <c:pt idx="5">
                  <c:v>4.6324258882931001E-4</c:v>
                </c:pt>
                <c:pt idx="6">
                  <c:v>4.7257647823126399E-4</c:v>
                </c:pt>
                <c:pt idx="8">
                  <c:v>7.0999999999999994E-2</c:v>
                </c:pt>
                <c:pt idx="9">
                  <c:v>4.8082113053456103E-2</c:v>
                </c:pt>
                <c:pt idx="10">
                  <c:v>4.0677620628751097E-2</c:v>
                </c:pt>
                <c:pt idx="12">
                  <c:v>0</c:v>
                </c:pt>
                <c:pt idx="13">
                  <c:v>3.7424254491930797E-4</c:v>
                </c:pt>
                <c:pt idx="14">
                  <c:v>5.8339823584199594E-4</c:v>
                </c:pt>
              </c:numCache>
            </c:numRef>
          </c:val>
          <c:extLst>
            <c:ext xmlns:c16="http://schemas.microsoft.com/office/drawing/2014/chart" uri="{C3380CC4-5D6E-409C-BE32-E72D297353CC}">
              <c16:uniqueId val="{00000001-0343-7F48-88F6-2120E37AF592}"/>
            </c:ext>
          </c:extLst>
        </c:ser>
        <c:ser>
          <c:idx val="14"/>
          <c:order val="2"/>
          <c:tx>
            <c:strRef>
              <c:f>'5. Bulk Mineralogy and Elements'!$B$19</c:f>
              <c:strCache>
                <c:ptCount val="1"/>
                <c:pt idx="0">
                  <c:v>Quartz</c:v>
                </c:pt>
              </c:strCache>
            </c:strRef>
          </c:tx>
          <c:spPr>
            <a:solidFill>
              <a:srgbClr val="FFCCFF"/>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Elements'!$C$19:$Q$19</c:f>
              <c:numCache>
                <c:formatCode>0.00%</c:formatCode>
                <c:ptCount val="15"/>
                <c:pt idx="0">
                  <c:v>0.35299999999999998</c:v>
                </c:pt>
                <c:pt idx="1">
                  <c:v>0.32338210597775502</c:v>
                </c:pt>
                <c:pt idx="2">
                  <c:v>0.36454633743675702</c:v>
                </c:pt>
                <c:pt idx="4">
                  <c:v>0.32990000000000003</c:v>
                </c:pt>
                <c:pt idx="5">
                  <c:v>0.30808958826656302</c:v>
                </c:pt>
                <c:pt idx="6">
                  <c:v>0.33273959777541895</c:v>
                </c:pt>
                <c:pt idx="8">
                  <c:v>0.374</c:v>
                </c:pt>
                <c:pt idx="9">
                  <c:v>0.30705334956580099</c:v>
                </c:pt>
                <c:pt idx="10">
                  <c:v>0.27006605809968898</c:v>
                </c:pt>
                <c:pt idx="12">
                  <c:v>0.36509999999999998</c:v>
                </c:pt>
                <c:pt idx="13">
                  <c:v>0.34596639104904903</c:v>
                </c:pt>
                <c:pt idx="14">
                  <c:v>0.29217284592466297</c:v>
                </c:pt>
              </c:numCache>
            </c:numRef>
          </c:val>
          <c:extLst>
            <c:ext xmlns:c16="http://schemas.microsoft.com/office/drawing/2014/chart" uri="{C3380CC4-5D6E-409C-BE32-E72D297353CC}">
              <c16:uniqueId val="{00000002-0343-7F48-88F6-2120E37AF592}"/>
            </c:ext>
          </c:extLst>
        </c:ser>
        <c:ser>
          <c:idx val="13"/>
          <c:order val="3"/>
          <c:tx>
            <c:strRef>
              <c:f>'5. Bulk Mineralogy and Elements'!$B$18</c:f>
              <c:strCache>
                <c:ptCount val="1"/>
                <c:pt idx="0">
                  <c:v>Fe-Oxide</c:v>
                </c:pt>
              </c:strCache>
            </c:strRef>
          </c:tx>
          <c:spPr>
            <a:solidFill>
              <a:schemeClr val="tx1"/>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Elements'!$C$18:$Q$18</c:f>
              <c:numCache>
                <c:formatCode>0.00%</c:formatCode>
                <c:ptCount val="15"/>
                <c:pt idx="0">
                  <c:v>0.20699999999999999</c:v>
                </c:pt>
                <c:pt idx="1">
                  <c:v>0.21025801785950002</c:v>
                </c:pt>
                <c:pt idx="2">
                  <c:v>0.16584219337955999</c:v>
                </c:pt>
                <c:pt idx="4">
                  <c:v>8.0600000000000005E-2</c:v>
                </c:pt>
                <c:pt idx="5">
                  <c:v>0.10553021902660699</c:v>
                </c:pt>
                <c:pt idx="6">
                  <c:v>7.1100624930100192E-2</c:v>
                </c:pt>
                <c:pt idx="8">
                  <c:v>0</c:v>
                </c:pt>
                <c:pt idx="9">
                  <c:v>3.4778480217844496E-3</c:v>
                </c:pt>
                <c:pt idx="10">
                  <c:v>1.4698882313700101E-3</c:v>
                </c:pt>
                <c:pt idx="12">
                  <c:v>7.9699999999999993E-2</c:v>
                </c:pt>
                <c:pt idx="13">
                  <c:v>8.8795200638138103E-2</c:v>
                </c:pt>
                <c:pt idx="14">
                  <c:v>9.5002198431581503E-2</c:v>
                </c:pt>
              </c:numCache>
            </c:numRef>
          </c:val>
          <c:extLst>
            <c:ext xmlns:c16="http://schemas.microsoft.com/office/drawing/2014/chart" uri="{C3380CC4-5D6E-409C-BE32-E72D297353CC}">
              <c16:uniqueId val="{00000003-0343-7F48-88F6-2120E37AF592}"/>
            </c:ext>
          </c:extLst>
        </c:ser>
        <c:ser>
          <c:idx val="12"/>
          <c:order val="4"/>
          <c:tx>
            <c:strRef>
              <c:f>'5. Bulk Mineralogy and Elements'!$B$17</c:f>
              <c:strCache>
                <c:ptCount val="1"/>
                <c:pt idx="0">
                  <c:v>K-Feldspar</c:v>
                </c:pt>
              </c:strCache>
            </c:strRef>
          </c:tx>
          <c:spPr>
            <a:solidFill>
              <a:srgbClr val="CCECFF"/>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Elements'!$C$17:$Q$17</c:f>
              <c:numCache>
                <c:formatCode>0.00%</c:formatCode>
                <c:ptCount val="15"/>
                <c:pt idx="0">
                  <c:v>0</c:v>
                </c:pt>
                <c:pt idx="1">
                  <c:v>1.5329286351123E-2</c:v>
                </c:pt>
                <c:pt idx="2">
                  <c:v>1.9554104994819299E-2</c:v>
                </c:pt>
                <c:pt idx="4">
                  <c:v>7.2800000000000004E-2</c:v>
                </c:pt>
                <c:pt idx="5">
                  <c:v>8.7433940759828008E-2</c:v>
                </c:pt>
                <c:pt idx="6">
                  <c:v>9.503135898746301E-2</c:v>
                </c:pt>
                <c:pt idx="8">
                  <c:v>2.7E-2</c:v>
                </c:pt>
                <c:pt idx="9">
                  <c:v>5.2926763277653402E-2</c:v>
                </c:pt>
                <c:pt idx="10">
                  <c:v>7.0336531395429197E-2</c:v>
                </c:pt>
                <c:pt idx="12">
                  <c:v>0</c:v>
                </c:pt>
                <c:pt idx="13">
                  <c:v>8.4867500066552397E-4</c:v>
                </c:pt>
                <c:pt idx="14">
                  <c:v>2.62987328201004E-5</c:v>
                </c:pt>
              </c:numCache>
            </c:numRef>
          </c:val>
          <c:extLst>
            <c:ext xmlns:c16="http://schemas.microsoft.com/office/drawing/2014/chart" uri="{C3380CC4-5D6E-409C-BE32-E72D297353CC}">
              <c16:uniqueId val="{00000004-0343-7F48-88F6-2120E37AF592}"/>
            </c:ext>
          </c:extLst>
        </c:ser>
        <c:ser>
          <c:idx val="11"/>
          <c:order val="5"/>
          <c:tx>
            <c:strRef>
              <c:f>'5. Bulk Mineralogy and Elements'!$B$16</c:f>
              <c:strCache>
                <c:ptCount val="1"/>
                <c:pt idx="0">
                  <c:v>Plagioclase-Feldspar</c:v>
                </c:pt>
              </c:strCache>
            </c:strRef>
          </c:tx>
          <c:spPr>
            <a:solidFill>
              <a:srgbClr val="CCCCFF"/>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Elements'!$C$16:$Q$16</c:f>
              <c:numCache>
                <c:formatCode>0.00%</c:formatCode>
                <c:ptCount val="15"/>
                <c:pt idx="0">
                  <c:v>0.15590000000000001</c:v>
                </c:pt>
                <c:pt idx="1">
                  <c:v>0.116234577161564</c:v>
                </c:pt>
                <c:pt idx="2">
                  <c:v>0.126209123911909</c:v>
                </c:pt>
                <c:pt idx="4">
                  <c:v>0.24129999999999999</c:v>
                </c:pt>
                <c:pt idx="5">
                  <c:v>0.213250297312641</c:v>
                </c:pt>
                <c:pt idx="6">
                  <c:v>0.201133750347957</c:v>
                </c:pt>
                <c:pt idx="8">
                  <c:v>0</c:v>
                </c:pt>
                <c:pt idx="9">
                  <c:v>2.9420385295639501E-3</c:v>
                </c:pt>
                <c:pt idx="10">
                  <c:v>1.1202751879497E-2</c:v>
                </c:pt>
                <c:pt idx="12">
                  <c:v>1.14E-2</c:v>
                </c:pt>
                <c:pt idx="13">
                  <c:v>1.93714276918063E-3</c:v>
                </c:pt>
                <c:pt idx="14">
                  <c:v>1.09002252962658E-3</c:v>
                </c:pt>
              </c:numCache>
            </c:numRef>
          </c:val>
          <c:extLst>
            <c:ext xmlns:c16="http://schemas.microsoft.com/office/drawing/2014/chart" uri="{C3380CC4-5D6E-409C-BE32-E72D297353CC}">
              <c16:uniqueId val="{00000005-0343-7F48-88F6-2120E37AF592}"/>
            </c:ext>
          </c:extLst>
        </c:ser>
        <c:ser>
          <c:idx val="10"/>
          <c:order val="6"/>
          <c:tx>
            <c:strRef>
              <c:f>'5. Bulk Mineralogy and Elements'!$B$15</c:f>
              <c:strCache>
                <c:ptCount val="1"/>
                <c:pt idx="0">
                  <c:v>Talc</c:v>
                </c:pt>
              </c:strCache>
            </c:strRef>
          </c:tx>
          <c:spPr>
            <a:solidFill>
              <a:schemeClr val="accent1">
                <a:lumMod val="75000"/>
              </a:schemeClr>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Elements'!$C$15:$Q$15</c:f>
              <c:numCache>
                <c:formatCode>0.00%</c:formatCode>
                <c:ptCount val="15"/>
                <c:pt idx="0">
                  <c:v>0</c:v>
                </c:pt>
                <c:pt idx="1">
                  <c:v>2.1794468317002503E-4</c:v>
                </c:pt>
                <c:pt idx="2">
                  <c:v>2.07595113010782E-5</c:v>
                </c:pt>
                <c:pt idx="4">
                  <c:v>0</c:v>
                </c:pt>
                <c:pt idx="5">
                  <c:v>1.1402329020046601E-3</c:v>
                </c:pt>
                <c:pt idx="6">
                  <c:v>6.53084779299808E-6</c:v>
                </c:pt>
                <c:pt idx="8">
                  <c:v>0</c:v>
                </c:pt>
                <c:pt idx="9">
                  <c:v>4.9355405073394003E-6</c:v>
                </c:pt>
                <c:pt idx="10">
                  <c:v>2.84780540128477E-6</c:v>
                </c:pt>
                <c:pt idx="12">
                  <c:v>0</c:v>
                </c:pt>
                <c:pt idx="13">
                  <c:v>1.94219719435599E-2</c:v>
                </c:pt>
                <c:pt idx="14">
                  <c:v>3.9337678659320703E-2</c:v>
                </c:pt>
              </c:numCache>
            </c:numRef>
          </c:val>
          <c:extLst>
            <c:ext xmlns:c16="http://schemas.microsoft.com/office/drawing/2014/chart" uri="{C3380CC4-5D6E-409C-BE32-E72D297353CC}">
              <c16:uniqueId val="{00000006-0343-7F48-88F6-2120E37AF592}"/>
            </c:ext>
          </c:extLst>
        </c:ser>
        <c:ser>
          <c:idx val="9"/>
          <c:order val="7"/>
          <c:tx>
            <c:strRef>
              <c:f>'5. Bulk Mineralogy and Elements'!$B$14</c:f>
              <c:strCache>
                <c:ptCount val="1"/>
                <c:pt idx="0">
                  <c:v>Chlorite</c:v>
                </c:pt>
              </c:strCache>
            </c:strRef>
          </c:tx>
          <c:spPr>
            <a:solidFill>
              <a:srgbClr val="99FF99"/>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Elements'!$C$14:$Q$14</c:f>
              <c:numCache>
                <c:formatCode>0.00%</c:formatCode>
                <c:ptCount val="15"/>
                <c:pt idx="0">
                  <c:v>1.0500000000000001E-2</c:v>
                </c:pt>
                <c:pt idx="1">
                  <c:v>3.3244354075267296E-2</c:v>
                </c:pt>
                <c:pt idx="2">
                  <c:v>3.31885728106339E-2</c:v>
                </c:pt>
                <c:pt idx="4">
                  <c:v>2.2100000000000002E-2</c:v>
                </c:pt>
                <c:pt idx="5">
                  <c:v>2.1439832535310299E-2</c:v>
                </c:pt>
                <c:pt idx="6">
                  <c:v>1.6762559529013902E-2</c:v>
                </c:pt>
                <c:pt idx="8">
                  <c:v>0.06</c:v>
                </c:pt>
                <c:pt idx="9">
                  <c:v>4.7265443249043103E-2</c:v>
                </c:pt>
                <c:pt idx="10">
                  <c:v>3.1268590623626996E-2</c:v>
                </c:pt>
                <c:pt idx="12">
                  <c:v>3.6200000000000003E-2</c:v>
                </c:pt>
                <c:pt idx="13">
                  <c:v>4.8303536993939397E-2</c:v>
                </c:pt>
                <c:pt idx="14">
                  <c:v>7.0751534559491708E-2</c:v>
                </c:pt>
              </c:numCache>
            </c:numRef>
          </c:val>
          <c:extLst>
            <c:ext xmlns:c16="http://schemas.microsoft.com/office/drawing/2014/chart" uri="{C3380CC4-5D6E-409C-BE32-E72D297353CC}">
              <c16:uniqueId val="{00000007-0343-7F48-88F6-2120E37AF592}"/>
            </c:ext>
          </c:extLst>
        </c:ser>
        <c:ser>
          <c:idx val="8"/>
          <c:order val="8"/>
          <c:tx>
            <c:strRef>
              <c:f>'5. Bulk Mineralogy and Elements'!$B$13</c:f>
              <c:strCache>
                <c:ptCount val="1"/>
                <c:pt idx="0">
                  <c:v>Mica</c:v>
                </c:pt>
              </c:strCache>
            </c:strRef>
          </c:tx>
          <c:spPr>
            <a:solidFill>
              <a:schemeClr val="accent2">
                <a:lumMod val="50000"/>
              </a:schemeClr>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Elements'!$C$13:$Q$13</c:f>
              <c:numCache>
                <c:formatCode>0.00%</c:formatCode>
                <c:ptCount val="15"/>
                <c:pt idx="0">
                  <c:v>0</c:v>
                </c:pt>
                <c:pt idx="1">
                  <c:v>5.5526976641128798E-3</c:v>
                </c:pt>
                <c:pt idx="2">
                  <c:v>4.4490527070435602E-3</c:v>
                </c:pt>
                <c:pt idx="4">
                  <c:v>8.6999999999999994E-2</c:v>
                </c:pt>
                <c:pt idx="5">
                  <c:v>9.5399171557531609E-2</c:v>
                </c:pt>
                <c:pt idx="6">
                  <c:v>8.9091143593221997E-2</c:v>
                </c:pt>
                <c:pt idx="8">
                  <c:v>8.0000000000000002E-3</c:v>
                </c:pt>
                <c:pt idx="9">
                  <c:v>7.6358244569093098E-2</c:v>
                </c:pt>
                <c:pt idx="10">
                  <c:v>6.5242125309711796E-2</c:v>
                </c:pt>
                <c:pt idx="12">
                  <c:v>3.5499999999999997E-2</c:v>
                </c:pt>
                <c:pt idx="13">
                  <c:v>1.5787057532687502E-2</c:v>
                </c:pt>
                <c:pt idx="14">
                  <c:v>1.6793175362261801E-2</c:v>
                </c:pt>
              </c:numCache>
            </c:numRef>
          </c:val>
          <c:extLst>
            <c:ext xmlns:c16="http://schemas.microsoft.com/office/drawing/2014/chart" uri="{C3380CC4-5D6E-409C-BE32-E72D297353CC}">
              <c16:uniqueId val="{00000008-0343-7F48-88F6-2120E37AF592}"/>
            </c:ext>
          </c:extLst>
        </c:ser>
        <c:ser>
          <c:idx val="7"/>
          <c:order val="9"/>
          <c:tx>
            <c:strRef>
              <c:f>'5. Bulk Mineralogy and Elements'!$B$12</c:f>
              <c:strCache>
                <c:ptCount val="1"/>
                <c:pt idx="0">
                  <c:v>Amphibole</c:v>
                </c:pt>
              </c:strCache>
            </c:strRef>
          </c:tx>
          <c:spPr>
            <a:solidFill>
              <a:srgbClr val="9966FF"/>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Elements'!$C$12:$Q$12</c:f>
              <c:numCache>
                <c:formatCode>0.00%</c:formatCode>
                <c:ptCount val="15"/>
                <c:pt idx="0">
                  <c:v>0.16400000000000001</c:v>
                </c:pt>
                <c:pt idx="1">
                  <c:v>0.173459565874859</c:v>
                </c:pt>
                <c:pt idx="2">
                  <c:v>0.17300707680469199</c:v>
                </c:pt>
                <c:pt idx="4">
                  <c:v>1.7999999999999999E-2</c:v>
                </c:pt>
                <c:pt idx="5">
                  <c:v>3.7747099706750602E-2</c:v>
                </c:pt>
                <c:pt idx="6">
                  <c:v>4.6064389449239095E-2</c:v>
                </c:pt>
                <c:pt idx="8">
                  <c:v>0</c:v>
                </c:pt>
                <c:pt idx="9">
                  <c:v>8.5788021945085793E-3</c:v>
                </c:pt>
                <c:pt idx="10">
                  <c:v>4.8734145787322693E-2</c:v>
                </c:pt>
                <c:pt idx="12">
                  <c:v>0.32679999999999998</c:v>
                </c:pt>
                <c:pt idx="13">
                  <c:v>0.36326997525780103</c:v>
                </c:pt>
                <c:pt idx="14">
                  <c:v>0.30444639551483099</c:v>
                </c:pt>
              </c:numCache>
            </c:numRef>
          </c:val>
          <c:extLst>
            <c:ext xmlns:c16="http://schemas.microsoft.com/office/drawing/2014/chart" uri="{C3380CC4-5D6E-409C-BE32-E72D297353CC}">
              <c16:uniqueId val="{00000009-0343-7F48-88F6-2120E37AF592}"/>
            </c:ext>
          </c:extLst>
        </c:ser>
        <c:ser>
          <c:idx val="6"/>
          <c:order val="10"/>
          <c:tx>
            <c:strRef>
              <c:f>'5. Bulk Mineralogy and Elements'!$B$11</c:f>
              <c:strCache>
                <c:ptCount val="1"/>
                <c:pt idx="0">
                  <c:v>Pyroxene</c:v>
                </c:pt>
              </c:strCache>
            </c:strRef>
          </c:tx>
          <c:spPr>
            <a:solidFill>
              <a:schemeClr val="accent6">
                <a:lumMod val="75000"/>
              </a:schemeClr>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Elements'!$C$11:$Q$11</c:f>
              <c:numCache>
                <c:formatCode>0.00%</c:formatCode>
                <c:ptCount val="15"/>
                <c:pt idx="0">
                  <c:v>1.7999999999999999E-2</c:v>
                </c:pt>
                <c:pt idx="1">
                  <c:v>2.1113369646060798E-2</c:v>
                </c:pt>
                <c:pt idx="2">
                  <c:v>8.7474656362546092E-3</c:v>
                </c:pt>
                <c:pt idx="4">
                  <c:v>0</c:v>
                </c:pt>
                <c:pt idx="5">
                  <c:v>1.1390186607546799E-2</c:v>
                </c:pt>
                <c:pt idx="6">
                  <c:v>8.2255629386007705E-3</c:v>
                </c:pt>
                <c:pt idx="8">
                  <c:v>0</c:v>
                </c:pt>
                <c:pt idx="9">
                  <c:v>3.4643659251605004E-3</c:v>
                </c:pt>
                <c:pt idx="10">
                  <c:v>1.8054899882952698E-3</c:v>
                </c:pt>
                <c:pt idx="12">
                  <c:v>0</c:v>
                </c:pt>
                <c:pt idx="13">
                  <c:v>3.3952730708528597E-2</c:v>
                </c:pt>
                <c:pt idx="14">
                  <c:v>5.01780898082934E-2</c:v>
                </c:pt>
              </c:numCache>
            </c:numRef>
          </c:val>
          <c:extLst>
            <c:ext xmlns:c16="http://schemas.microsoft.com/office/drawing/2014/chart" uri="{C3380CC4-5D6E-409C-BE32-E72D297353CC}">
              <c16:uniqueId val="{0000000A-0343-7F48-88F6-2120E37AF592}"/>
            </c:ext>
          </c:extLst>
        </c:ser>
        <c:ser>
          <c:idx val="5"/>
          <c:order val="11"/>
          <c:tx>
            <c:strRef>
              <c:f>'5. Bulk Mineralogy and Elements'!$B$10</c:f>
              <c:strCache>
                <c:ptCount val="1"/>
                <c:pt idx="0">
                  <c:v>Epidote</c:v>
                </c:pt>
              </c:strCache>
            </c:strRef>
          </c:tx>
          <c:spPr>
            <a:solidFill>
              <a:srgbClr val="00FF00"/>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Elements'!$C$10:$Q$10</c:f>
              <c:numCache>
                <c:formatCode>0.00%</c:formatCode>
                <c:ptCount val="15"/>
                <c:pt idx="0">
                  <c:v>1.41E-2</c:v>
                </c:pt>
                <c:pt idx="1">
                  <c:v>8.9815606943372487E-3</c:v>
                </c:pt>
                <c:pt idx="2">
                  <c:v>1.12887517050078E-2</c:v>
                </c:pt>
                <c:pt idx="4">
                  <c:v>2.1999999999999999E-2</c:v>
                </c:pt>
                <c:pt idx="5">
                  <c:v>1.9334862417580501E-3</c:v>
                </c:pt>
                <c:pt idx="6">
                  <c:v>1.60022076563173E-3</c:v>
                </c:pt>
                <c:pt idx="8">
                  <c:v>2.5000000000000001E-2</c:v>
                </c:pt>
                <c:pt idx="9">
                  <c:v>1.8836766364860699E-3</c:v>
                </c:pt>
                <c:pt idx="10">
                  <c:v>1.8088700549447501E-3</c:v>
                </c:pt>
                <c:pt idx="12">
                  <c:v>0</c:v>
                </c:pt>
                <c:pt idx="13">
                  <c:v>1.07711430835502E-3</c:v>
                </c:pt>
                <c:pt idx="14">
                  <c:v>7.2329539254110107E-4</c:v>
                </c:pt>
              </c:numCache>
            </c:numRef>
          </c:val>
          <c:extLst>
            <c:ext xmlns:c16="http://schemas.microsoft.com/office/drawing/2014/chart" uri="{C3380CC4-5D6E-409C-BE32-E72D297353CC}">
              <c16:uniqueId val="{0000000B-0343-7F48-88F6-2120E37AF592}"/>
            </c:ext>
          </c:extLst>
        </c:ser>
        <c:ser>
          <c:idx val="4"/>
          <c:order val="12"/>
          <c:tx>
            <c:strRef>
              <c:f>'5. Bulk Mineralogy and Elements'!$B$9</c:f>
              <c:strCache>
                <c:ptCount val="1"/>
                <c:pt idx="0">
                  <c:v>Olivine</c:v>
                </c:pt>
              </c:strCache>
            </c:strRef>
          </c:tx>
          <c:spPr>
            <a:solidFill>
              <a:schemeClr val="accent6">
                <a:lumMod val="50000"/>
              </a:schemeClr>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Elements'!$C$9:$Q$9</c:f>
              <c:numCache>
                <c:formatCode>0.00%</c:formatCode>
                <c:ptCount val="15"/>
                <c:pt idx="0">
                  <c:v>0</c:v>
                </c:pt>
                <c:pt idx="1">
                  <c:v>2.6686421940662099E-3</c:v>
                </c:pt>
                <c:pt idx="2">
                  <c:v>7.66066125216615E-3</c:v>
                </c:pt>
                <c:pt idx="4">
                  <c:v>0</c:v>
                </c:pt>
                <c:pt idx="5">
                  <c:v>3.1102938630527201E-3</c:v>
                </c:pt>
                <c:pt idx="6">
                  <c:v>4.5423239615641001E-3</c:v>
                </c:pt>
                <c:pt idx="8">
                  <c:v>0</c:v>
                </c:pt>
                <c:pt idx="9">
                  <c:v>4.2575732376490601E-5</c:v>
                </c:pt>
                <c:pt idx="10">
                  <c:v>6.2067204691666205E-5</c:v>
                </c:pt>
                <c:pt idx="12">
                  <c:v>0</c:v>
                </c:pt>
                <c:pt idx="13">
                  <c:v>1.00116209905115E-3</c:v>
                </c:pt>
                <c:pt idx="14">
                  <c:v>1.8873438982860999E-3</c:v>
                </c:pt>
              </c:numCache>
            </c:numRef>
          </c:val>
          <c:extLst>
            <c:ext xmlns:c16="http://schemas.microsoft.com/office/drawing/2014/chart" uri="{C3380CC4-5D6E-409C-BE32-E72D297353CC}">
              <c16:uniqueId val="{0000000C-0343-7F48-88F6-2120E37AF592}"/>
            </c:ext>
          </c:extLst>
        </c:ser>
        <c:ser>
          <c:idx val="3"/>
          <c:order val="13"/>
          <c:tx>
            <c:strRef>
              <c:f>'5. Bulk Mineralogy and Elements'!$B$8</c:f>
              <c:strCache>
                <c:ptCount val="1"/>
                <c:pt idx="0">
                  <c:v>Carbonate</c:v>
                </c:pt>
              </c:strCache>
            </c:strRef>
          </c:tx>
          <c:spPr>
            <a:solidFill>
              <a:srgbClr val="66FFFF"/>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Elements'!$C$8:$Q$8</c:f>
              <c:numCache>
                <c:formatCode>0.00%</c:formatCode>
                <c:ptCount val="15"/>
                <c:pt idx="0">
                  <c:v>1.43E-2</c:v>
                </c:pt>
                <c:pt idx="1">
                  <c:v>1.28014276849071E-2</c:v>
                </c:pt>
                <c:pt idx="2">
                  <c:v>1.1906375800533799E-2</c:v>
                </c:pt>
                <c:pt idx="4">
                  <c:v>4.8599999999999997E-2</c:v>
                </c:pt>
                <c:pt idx="5">
                  <c:v>2.1923229694924502E-2</c:v>
                </c:pt>
                <c:pt idx="6">
                  <c:v>4.0477200378579097E-2</c:v>
                </c:pt>
                <c:pt idx="8">
                  <c:v>0.16700000000000001</c:v>
                </c:pt>
                <c:pt idx="9">
                  <c:v>0.125465673803623</c:v>
                </c:pt>
                <c:pt idx="10">
                  <c:v>0.139281648760126</c:v>
                </c:pt>
                <c:pt idx="12">
                  <c:v>5.0299999999999997E-2</c:v>
                </c:pt>
                <c:pt idx="13">
                  <c:v>2.9082376486694601E-2</c:v>
                </c:pt>
                <c:pt idx="14">
                  <c:v>4.9900207928073197E-2</c:v>
                </c:pt>
              </c:numCache>
            </c:numRef>
          </c:val>
          <c:extLst>
            <c:ext xmlns:c16="http://schemas.microsoft.com/office/drawing/2014/chart" uri="{C3380CC4-5D6E-409C-BE32-E72D297353CC}">
              <c16:uniqueId val="{0000000D-0343-7F48-88F6-2120E37AF592}"/>
            </c:ext>
          </c:extLst>
        </c:ser>
        <c:ser>
          <c:idx val="2"/>
          <c:order val="14"/>
          <c:tx>
            <c:strRef>
              <c:f>'5. Bulk Mineralogy and Elements'!$B$7</c:f>
              <c:strCache>
                <c:ptCount val="1"/>
                <c:pt idx="0">
                  <c:v>Other Sulfide</c:v>
                </c:pt>
              </c:strCache>
            </c:strRef>
          </c:tx>
          <c:spPr>
            <a:solidFill>
              <a:srgbClr val="FF0000"/>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Elements'!$C$7:$Q$7</c:f>
              <c:numCache>
                <c:formatCode>0.00%</c:formatCode>
                <c:ptCount val="15"/>
                <c:pt idx="0">
                  <c:v>0</c:v>
                </c:pt>
                <c:pt idx="1">
                  <c:v>6.6273889269143104E-4</c:v>
                </c:pt>
                <c:pt idx="2">
                  <c:v>2.5309758031471401E-4</c:v>
                </c:pt>
                <c:pt idx="4">
                  <c:v>0</c:v>
                </c:pt>
                <c:pt idx="5">
                  <c:v>4.0795602215703495E-4</c:v>
                </c:pt>
                <c:pt idx="6">
                  <c:v>2.3477682642226099E-4</c:v>
                </c:pt>
                <c:pt idx="8">
                  <c:v>0</c:v>
                </c:pt>
                <c:pt idx="9">
                  <c:v>4.9248131309985602E-3</c:v>
                </c:pt>
                <c:pt idx="10">
                  <c:v>2.0207230168037397E-3</c:v>
                </c:pt>
                <c:pt idx="12">
                  <c:v>0</c:v>
                </c:pt>
                <c:pt idx="13">
                  <c:v>2.5180416832521601E-3</c:v>
                </c:pt>
                <c:pt idx="14">
                  <c:v>2.5492592837659698E-3</c:v>
                </c:pt>
              </c:numCache>
            </c:numRef>
          </c:val>
          <c:extLst>
            <c:ext xmlns:c16="http://schemas.microsoft.com/office/drawing/2014/chart" uri="{C3380CC4-5D6E-409C-BE32-E72D297353CC}">
              <c16:uniqueId val="{0000000E-0343-7F48-88F6-2120E37AF592}"/>
            </c:ext>
          </c:extLst>
        </c:ser>
        <c:ser>
          <c:idx val="1"/>
          <c:order val="15"/>
          <c:tx>
            <c:strRef>
              <c:f>'5. Bulk Mineralogy and Elements'!$B$6</c:f>
              <c:strCache>
                <c:ptCount val="1"/>
                <c:pt idx="0">
                  <c:v>Pyrrhotite</c:v>
                </c:pt>
              </c:strCache>
            </c:strRef>
          </c:tx>
          <c:spPr>
            <a:solidFill>
              <a:schemeClr val="accent4">
                <a:lumMod val="75000"/>
              </a:schemeClr>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Elements'!$C$6:$Q$6</c:f>
              <c:numCache>
                <c:formatCode>0.00%</c:formatCode>
                <c:ptCount val="15"/>
                <c:pt idx="0">
                  <c:v>4.65E-2</c:v>
                </c:pt>
                <c:pt idx="1">
                  <c:v>5.0633769004865402E-2</c:v>
                </c:pt>
                <c:pt idx="2">
                  <c:v>4.9443463102992302E-2</c:v>
                </c:pt>
                <c:pt idx="4">
                  <c:v>9.7999999999999997E-3</c:v>
                </c:pt>
                <c:pt idx="5">
                  <c:v>8.43908749033556E-3</c:v>
                </c:pt>
                <c:pt idx="6">
                  <c:v>9.185023149197051E-3</c:v>
                </c:pt>
                <c:pt idx="8">
                  <c:v>0.26800000000000002</c:v>
                </c:pt>
                <c:pt idx="9">
                  <c:v>0.29214558954520603</c:v>
                </c:pt>
                <c:pt idx="10">
                  <c:v>0.28060928857052297</c:v>
                </c:pt>
                <c:pt idx="12">
                  <c:v>5.28E-2</c:v>
                </c:pt>
                <c:pt idx="13">
                  <c:v>4.21065190286114E-2</c:v>
                </c:pt>
                <c:pt idx="14">
                  <c:v>3.2445962727721003E-2</c:v>
                </c:pt>
              </c:numCache>
            </c:numRef>
          </c:val>
          <c:extLst>
            <c:ext xmlns:c16="http://schemas.microsoft.com/office/drawing/2014/chart" uri="{C3380CC4-5D6E-409C-BE32-E72D297353CC}">
              <c16:uniqueId val="{0000000F-0343-7F48-88F6-2120E37AF592}"/>
            </c:ext>
          </c:extLst>
        </c:ser>
        <c:ser>
          <c:idx val="0"/>
          <c:order val="16"/>
          <c:tx>
            <c:strRef>
              <c:f>'5. Bulk Mineralogy and Elements'!$B$5</c:f>
              <c:strCache>
                <c:ptCount val="1"/>
                <c:pt idx="0">
                  <c:v>Pyrite</c:v>
                </c:pt>
              </c:strCache>
            </c:strRef>
          </c:tx>
          <c:spPr>
            <a:solidFill>
              <a:srgbClr val="FFFF00"/>
            </a:solidFill>
            <a:ln>
              <a:noFill/>
            </a:ln>
            <a:effectLst/>
          </c:spPr>
          <c:invertIfNegative val="0"/>
          <c:cat>
            <c:strRef>
              <c:f>'5. Bulk Mineralogy and Elements'!$C$3:$Q$3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Elements'!$C$5:$Q$5</c:f>
              <c:numCache>
                <c:formatCode>0.00%</c:formatCode>
                <c:ptCount val="15"/>
                <c:pt idx="0">
                  <c:v>1.72E-2</c:v>
                </c:pt>
                <c:pt idx="1">
                  <c:v>1.72915908708186E-2</c:v>
                </c:pt>
                <c:pt idx="2">
                  <c:v>1.4340346125386901E-2</c:v>
                </c:pt>
                <c:pt idx="4">
                  <c:v>6.8099999999999994E-2</c:v>
                </c:pt>
                <c:pt idx="5">
                  <c:v>7.7334711913400703E-2</c:v>
                </c:pt>
                <c:pt idx="6">
                  <c:v>7.6343141408196591E-2</c:v>
                </c:pt>
                <c:pt idx="8">
                  <c:v>0</c:v>
                </c:pt>
                <c:pt idx="9">
                  <c:v>2.02823568467854E-2</c:v>
                </c:pt>
                <c:pt idx="10">
                  <c:v>2.5423355857255199E-3</c:v>
                </c:pt>
                <c:pt idx="12">
                  <c:v>0</c:v>
                </c:pt>
                <c:pt idx="13">
                  <c:v>9.7385322353545707E-4</c:v>
                </c:pt>
                <c:pt idx="14">
                  <c:v>2.4187135852019498E-4</c:v>
                </c:pt>
              </c:numCache>
            </c:numRef>
          </c:val>
          <c:extLst>
            <c:ext xmlns:c16="http://schemas.microsoft.com/office/drawing/2014/chart" uri="{C3380CC4-5D6E-409C-BE32-E72D297353CC}">
              <c16:uniqueId val="{00000010-0343-7F48-88F6-2120E37AF592}"/>
            </c:ext>
          </c:extLst>
        </c:ser>
        <c:dLbls>
          <c:showLegendKey val="0"/>
          <c:showVal val="0"/>
          <c:showCatName val="0"/>
          <c:showSerName val="0"/>
          <c:showPercent val="0"/>
          <c:showBubbleSize val="0"/>
        </c:dLbls>
        <c:gapWidth val="20"/>
        <c:overlap val="100"/>
        <c:axId val="380413504"/>
        <c:axId val="380413896"/>
      </c:barChart>
      <c:catAx>
        <c:axId val="38041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80413896"/>
        <c:crosses val="autoZero"/>
        <c:auto val="1"/>
        <c:lblAlgn val="ctr"/>
        <c:lblOffset val="100"/>
        <c:noMultiLvlLbl val="0"/>
      </c:catAx>
      <c:valAx>
        <c:axId val="380413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ZA"/>
                  <a:t>Bulk</a:t>
                </a:r>
                <a:r>
                  <a:rPr lang="en-ZA" baseline="0"/>
                  <a:t> mineralogy (weight </a:t>
                </a:r>
                <a:r>
                  <a:rPr lang="en-ZA"/>
                  <a:t>%)</a:t>
                </a:r>
              </a:p>
            </c:rich>
          </c:tx>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80413504"/>
        <c:crosses val="autoZero"/>
        <c:crossBetween val="between"/>
      </c:valAx>
      <c:spPr>
        <a:noFill/>
        <a:ln>
          <a:noFill/>
        </a:ln>
        <a:effectLst/>
      </c:spPr>
    </c:plotArea>
    <c:legend>
      <c:legendPos val="r"/>
      <c:layout>
        <c:manualLayout>
          <c:xMode val="edge"/>
          <c:yMode val="edge"/>
          <c:x val="0.78686459184619273"/>
          <c:y val="1.9676698496820764E-2"/>
          <c:w val="0.21195763720986335"/>
          <c:h val="0.90480113364091364"/>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287118806140285E-2"/>
          <c:y val="4.0512593564387578E-2"/>
          <c:w val="0.68384256476528216"/>
          <c:h val="0.82184207621664107"/>
        </c:manualLayout>
      </c:layout>
      <c:barChart>
        <c:barDir val="col"/>
        <c:grouping val="percentStacked"/>
        <c:varyColors val="0"/>
        <c:ser>
          <c:idx val="1"/>
          <c:order val="0"/>
          <c:tx>
            <c:strRef>
              <c:f>'5. Bulk Mineralogy and Elements'!$U$12</c:f>
              <c:strCache>
                <c:ptCount val="1"/>
                <c:pt idx="0">
                  <c:v>Other</c:v>
                </c:pt>
              </c:strCache>
            </c:strRef>
          </c:tx>
          <c:spPr>
            <a:solidFill>
              <a:srgbClr val="A6A6A6"/>
            </a:solidFill>
            <a:ln>
              <a:noFill/>
            </a:ln>
            <a:effectLst/>
          </c:spPr>
          <c:invertIfNegative val="0"/>
          <c:cat>
            <c:strRef>
              <c:f>'5. Bulk Mineralogy and Elements'!$V$3:$AJ$3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Elements'!$V$12:$AJ$12</c:f>
              <c:numCache>
                <c:formatCode>0.0</c:formatCode>
                <c:ptCount val="15"/>
                <c:pt idx="0" formatCode="0.00">
                  <c:v>0</c:v>
                </c:pt>
                <c:pt idx="1">
                  <c:v>0.63182705128464101</c:v>
                </c:pt>
                <c:pt idx="2" formatCode="0.00">
                  <c:v>0.59946954160295762</c:v>
                </c:pt>
                <c:pt idx="4" formatCode="0.00">
                  <c:v>1</c:v>
                </c:pt>
                <c:pt idx="5">
                  <c:v>0.49674235104556502</c:v>
                </c:pt>
                <c:pt idx="6" formatCode="0.00">
                  <c:v>0.68994090851133882</c:v>
                </c:pt>
                <c:pt idx="8" formatCode="0.00">
                  <c:v>2</c:v>
                </c:pt>
                <c:pt idx="9">
                  <c:v>0.51014103777230302</c:v>
                </c:pt>
                <c:pt idx="10" formatCode="0.00">
                  <c:v>0.58860222874604251</c:v>
                </c:pt>
                <c:pt idx="12" formatCode="0.00">
                  <c:v>3</c:v>
                </c:pt>
                <c:pt idx="13">
                  <c:v>0.45840087309933297</c:v>
                </c:pt>
                <c:pt idx="14" formatCode="0.00">
                  <c:v>0.4455858917513662</c:v>
                </c:pt>
              </c:numCache>
            </c:numRef>
          </c:val>
          <c:extLst>
            <c:ext xmlns:c16="http://schemas.microsoft.com/office/drawing/2014/chart" uri="{C3380CC4-5D6E-409C-BE32-E72D297353CC}">
              <c16:uniqueId val="{00000011-16B9-8646-94C8-E5D83DA180BB}"/>
            </c:ext>
          </c:extLst>
        </c:ser>
        <c:ser>
          <c:idx val="0"/>
          <c:order val="1"/>
          <c:tx>
            <c:strRef>
              <c:f>'5. Bulk Mineralogy and Elements'!$U$11</c:f>
              <c:strCache>
                <c:ptCount val="1"/>
                <c:pt idx="0">
                  <c:v>Inert</c:v>
                </c:pt>
              </c:strCache>
            </c:strRef>
          </c:tx>
          <c:spPr>
            <a:solidFill>
              <a:srgbClr val="ECA8DE"/>
            </a:solidFill>
            <a:ln>
              <a:noFill/>
            </a:ln>
            <a:effectLst/>
          </c:spPr>
          <c:invertIfNegative val="0"/>
          <c:cat>
            <c:strRef>
              <c:f>'5. Bulk Mineralogy and Elements'!$V$3:$AJ$3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Elements'!$V$11:$AJ$11</c:f>
              <c:numCache>
                <c:formatCode>0.0</c:formatCode>
                <c:ptCount val="15"/>
                <c:pt idx="0" formatCode="0.00">
                  <c:v>35.299999999999997</c:v>
                </c:pt>
                <c:pt idx="1">
                  <c:v>32.523218682976228</c:v>
                </c:pt>
                <c:pt idx="2" formatCode="0.00">
                  <c:v>32.136287813669988</c:v>
                </c:pt>
                <c:pt idx="4" formatCode="0.00">
                  <c:v>32.99</c:v>
                </c:pt>
                <c:pt idx="5">
                  <c:v>30.855283085539231</c:v>
                </c:pt>
                <c:pt idx="6" formatCode="0.00">
                  <c:v>30.731823662450282</c:v>
                </c:pt>
                <c:pt idx="8" formatCode="0.00">
                  <c:v>44.5</c:v>
                </c:pt>
                <c:pt idx="9">
                  <c:v>35.513546261925711</c:v>
                </c:pt>
                <c:pt idx="10" formatCode="0.00">
                  <c:v>30.13472781125628</c:v>
                </c:pt>
                <c:pt idx="12" formatCode="0.00">
                  <c:v>36.51</c:v>
                </c:pt>
                <c:pt idx="13">
                  <c:v>34.634063359396833</c:v>
                </c:pt>
                <c:pt idx="14" formatCode="0.00">
                  <c:v>29.847497588021188</c:v>
                </c:pt>
              </c:numCache>
            </c:numRef>
          </c:val>
          <c:extLst>
            <c:ext xmlns:c16="http://schemas.microsoft.com/office/drawing/2014/chart" uri="{C3380CC4-5D6E-409C-BE32-E72D297353CC}">
              <c16:uniqueId val="{00000010-16B9-8646-94C8-E5D83DA180BB}"/>
            </c:ext>
          </c:extLst>
        </c:ser>
        <c:ser>
          <c:idx val="2"/>
          <c:order val="2"/>
          <c:tx>
            <c:strRef>
              <c:f>'5. Bulk Mineralogy and Elements'!$U$10</c:f>
              <c:strCache>
                <c:ptCount val="1"/>
                <c:pt idx="0">
                  <c:v>Slow Weathering</c:v>
                </c:pt>
              </c:strCache>
            </c:strRef>
          </c:tx>
          <c:spPr>
            <a:solidFill>
              <a:srgbClr val="9A99F9"/>
            </a:solidFill>
            <a:ln>
              <a:noFill/>
            </a:ln>
            <a:effectLst/>
          </c:spPr>
          <c:invertIfNegative val="0"/>
          <c:cat>
            <c:strRef>
              <c:f>'5. Bulk Mineralogy and Elements'!$V$3:$AJ$3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Elements'!$V$10:$AJ$10</c:f>
              <c:numCache>
                <c:formatCode>0.0</c:formatCode>
                <c:ptCount val="15"/>
                <c:pt idx="0" formatCode="0.00">
                  <c:v>36.29</c:v>
                </c:pt>
                <c:pt idx="1">
                  <c:v>34.182188137218702</c:v>
                </c:pt>
                <c:pt idx="2" formatCode="0.00">
                  <c:v>31.235664748367022</c:v>
                </c:pt>
                <c:pt idx="4" formatCode="0.00">
                  <c:v>39.469999999999992</c:v>
                </c:pt>
                <c:pt idx="5">
                  <c:v>40.621445709907597</c:v>
                </c:pt>
                <c:pt idx="6" formatCode="0.00">
                  <c:v>36.751796937334866</c:v>
                </c:pt>
                <c:pt idx="8" formatCode="0.00">
                  <c:v>2.7</c:v>
                </c:pt>
                <c:pt idx="9">
                  <c:v>5.9346649829001796</c:v>
                </c:pt>
                <c:pt idx="10" formatCode="0.00">
                  <c:v>9.8184767477631354</c:v>
                </c:pt>
                <c:pt idx="12" formatCode="0.00">
                  <c:v>7.9699999999999989</c:v>
                </c:pt>
                <c:pt idx="13">
                  <c:v>9.1581018407984249</c:v>
                </c:pt>
                <c:pt idx="14" formatCode="0.00">
                  <c:v>9.987798136252124</c:v>
                </c:pt>
              </c:numCache>
            </c:numRef>
          </c:val>
          <c:extLst>
            <c:ext xmlns:c16="http://schemas.microsoft.com/office/drawing/2014/chart" uri="{C3380CC4-5D6E-409C-BE32-E72D297353CC}">
              <c16:uniqueId val="{0000000E-16B9-8646-94C8-E5D83DA180BB}"/>
            </c:ext>
          </c:extLst>
        </c:ser>
        <c:ser>
          <c:idx val="3"/>
          <c:order val="3"/>
          <c:tx>
            <c:strRef>
              <c:f>'5. Bulk Mineralogy and Elements'!$U$9</c:f>
              <c:strCache>
                <c:ptCount val="1"/>
                <c:pt idx="0">
                  <c:v>Intermediate Weathering</c:v>
                </c:pt>
              </c:strCache>
            </c:strRef>
          </c:tx>
          <c:spPr>
            <a:solidFill>
              <a:srgbClr val="8FEA76"/>
            </a:solidFill>
            <a:ln>
              <a:noFill/>
            </a:ln>
            <a:effectLst/>
          </c:spPr>
          <c:invertIfNegative val="0"/>
          <c:cat>
            <c:strRef>
              <c:f>'5. Bulk Mineralogy and Elements'!$V$3:$AJ$3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Elements'!$V$9:$AJ$9</c:f>
              <c:numCache>
                <c:formatCode>0.0</c:formatCode>
                <c:ptCount val="15"/>
                <c:pt idx="0" formatCode="0.00">
                  <c:v>19.25</c:v>
                </c:pt>
                <c:pt idx="1">
                  <c:v>21.247456229740919</c:v>
                </c:pt>
                <c:pt idx="2" formatCode="0.00">
                  <c:v>26.399428557595616</c:v>
                </c:pt>
                <c:pt idx="4" formatCode="0.00">
                  <c:v>12.709999999999999</c:v>
                </c:pt>
                <c:pt idx="5">
                  <c:v>15.572633670159716</c:v>
                </c:pt>
                <c:pt idx="6" formatCode="0.00">
                  <c:v>18.474838889192515</c:v>
                </c:pt>
                <c:pt idx="8" formatCode="0.00">
                  <c:v>6.8000000000000007</c:v>
                </c:pt>
                <c:pt idx="9">
                  <c:v>13.220742555315212</c:v>
                </c:pt>
                <c:pt idx="10" formatCode="0.00">
                  <c:v>15.052479903287812</c:v>
                </c:pt>
                <c:pt idx="12" formatCode="0.00">
                  <c:v>44.04</c:v>
                </c:pt>
                <c:pt idx="13">
                  <c:v>44.678254172798781</c:v>
                </c:pt>
                <c:pt idx="14" formatCode="0.00">
                  <c:v>49.525780213415899</c:v>
                </c:pt>
              </c:numCache>
            </c:numRef>
          </c:val>
          <c:extLst>
            <c:ext xmlns:c16="http://schemas.microsoft.com/office/drawing/2014/chart" uri="{C3380CC4-5D6E-409C-BE32-E72D297353CC}">
              <c16:uniqueId val="{0000000D-16B9-8646-94C8-E5D83DA180BB}"/>
            </c:ext>
          </c:extLst>
        </c:ser>
        <c:ser>
          <c:idx val="4"/>
          <c:order val="4"/>
          <c:tx>
            <c:strRef>
              <c:f>'5. Bulk Mineralogy and Elements'!$U$8</c:f>
              <c:strCache>
                <c:ptCount val="1"/>
                <c:pt idx="0">
                  <c:v>Fast Weathering</c:v>
                </c:pt>
              </c:strCache>
            </c:strRef>
          </c:tx>
          <c:spPr>
            <a:solidFill>
              <a:srgbClr val="2F6C16"/>
            </a:solidFill>
            <a:ln>
              <a:noFill/>
            </a:ln>
            <a:effectLst/>
          </c:spPr>
          <c:invertIfNegative val="0"/>
          <c:cat>
            <c:strRef>
              <c:f>'5. Bulk Mineralogy and Elements'!$V$3:$AJ$3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Elements'!$V$8:$AJ$8</c:f>
              <c:numCache>
                <c:formatCode>0.0</c:formatCode>
                <c:ptCount val="15"/>
                <c:pt idx="0" formatCode="0.00">
                  <c:v>1.41</c:v>
                </c:pt>
                <c:pt idx="1">
                  <c:v>3.2763572534464256</c:v>
                </c:pt>
                <c:pt idx="2" formatCode="0.00">
                  <c:v>2.0224802513033655</c:v>
                </c:pt>
                <c:pt idx="4" formatCode="0.00">
                  <c:v>2.1999999999999997</c:v>
                </c:pt>
                <c:pt idx="5">
                  <c:v>1.6433966712357571</c:v>
                </c:pt>
                <c:pt idx="6" formatCode="0.00">
                  <c:v>0.72808785337536164</c:v>
                </c:pt>
                <c:pt idx="8" formatCode="0.00">
                  <c:v>2.5</c:v>
                </c:pt>
                <c:pt idx="9">
                  <c:v>0.53906182940230607</c:v>
                </c:pt>
                <c:pt idx="10" formatCode="0.00">
                  <c:v>0.36502514901502126</c:v>
                </c:pt>
                <c:pt idx="12" formatCode="0.00">
                  <c:v>1.1400000000000001</c:v>
                </c:pt>
                <c:pt idx="13">
                  <c:v>3.6031007115934766</c:v>
                </c:pt>
                <c:pt idx="14" formatCode="0.00">
                  <c:v>0.92229584051837477</c:v>
                </c:pt>
              </c:numCache>
            </c:numRef>
          </c:val>
          <c:extLst>
            <c:ext xmlns:c16="http://schemas.microsoft.com/office/drawing/2014/chart" uri="{C3380CC4-5D6E-409C-BE32-E72D297353CC}">
              <c16:uniqueId val="{0000000C-16B9-8646-94C8-E5D83DA180BB}"/>
            </c:ext>
          </c:extLst>
        </c:ser>
        <c:ser>
          <c:idx val="12"/>
          <c:order val="5"/>
          <c:tx>
            <c:strRef>
              <c:f>'5. Bulk Mineralogy and Elements'!$U$7</c:f>
              <c:strCache>
                <c:ptCount val="1"/>
                <c:pt idx="0">
                  <c:v>Dissolving</c:v>
                </c:pt>
              </c:strCache>
            </c:strRef>
          </c:tx>
          <c:spPr>
            <a:solidFill>
              <a:srgbClr val="6DFBFC"/>
            </a:solidFill>
            <a:ln>
              <a:noFill/>
            </a:ln>
            <a:effectLst/>
          </c:spPr>
          <c:invertIfNegative val="0"/>
          <c:cat>
            <c:strRef>
              <c:f>'5. Bulk Mineralogy and Elements'!$V$3:$AJ$3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Elements'!$V$7:$AJ$7</c:f>
              <c:numCache>
                <c:formatCode>0.0</c:formatCode>
                <c:ptCount val="15"/>
                <c:pt idx="0" formatCode="0.00">
                  <c:v>1.43</c:v>
                </c:pt>
                <c:pt idx="1">
                  <c:v>1.2801427684907101</c:v>
                </c:pt>
                <c:pt idx="2" formatCode="0.00">
                  <c:v>1.1914309779959309</c:v>
                </c:pt>
                <c:pt idx="4" formatCode="0.00">
                  <c:v>4.8599999999999994</c:v>
                </c:pt>
                <c:pt idx="5">
                  <c:v>2.1923229694924502</c:v>
                </c:pt>
                <c:pt idx="6" formatCode="0.00">
                  <c:v>4.0472176107817166</c:v>
                </c:pt>
                <c:pt idx="8" formatCode="0.00">
                  <c:v>16.7</c:v>
                </c:pt>
                <c:pt idx="9">
                  <c:v>12.546567380362299</c:v>
                </c:pt>
                <c:pt idx="10" formatCode="0.00">
                  <c:v>15.884231183668973</c:v>
                </c:pt>
                <c:pt idx="12" formatCode="0.00">
                  <c:v>5.0299999999999994</c:v>
                </c:pt>
                <c:pt idx="13">
                  <c:v>2.9082376486694601</c:v>
                </c:pt>
                <c:pt idx="14" formatCode="0.00">
                  <c:v>5.6659379551527591</c:v>
                </c:pt>
              </c:numCache>
            </c:numRef>
          </c:val>
          <c:extLst>
            <c:ext xmlns:c16="http://schemas.microsoft.com/office/drawing/2014/chart" uri="{C3380CC4-5D6E-409C-BE32-E72D297353CC}">
              <c16:uniqueId val="{00000004-16B9-8646-94C8-E5D83DA180BB}"/>
            </c:ext>
          </c:extLst>
        </c:ser>
        <c:ser>
          <c:idx val="14"/>
          <c:order val="6"/>
          <c:tx>
            <c:strRef>
              <c:f>'5. Bulk Mineralogy and Elements'!$U$6</c:f>
              <c:strCache>
                <c:ptCount val="1"/>
                <c:pt idx="0">
                  <c:v>Other Sulfide</c:v>
                </c:pt>
              </c:strCache>
            </c:strRef>
          </c:tx>
          <c:spPr>
            <a:solidFill>
              <a:srgbClr val="ED3832"/>
            </a:solidFill>
            <a:ln>
              <a:noFill/>
            </a:ln>
            <a:effectLst/>
          </c:spPr>
          <c:invertIfNegative val="0"/>
          <c:cat>
            <c:strRef>
              <c:f>'5. Bulk Mineralogy and Elements'!$V$3:$AJ$3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Elements'!$V$6:$AJ$6</c:f>
              <c:numCache>
                <c:formatCode>0.0</c:formatCode>
                <c:ptCount val="15"/>
                <c:pt idx="0" formatCode="0.00">
                  <c:v>0</c:v>
                </c:pt>
                <c:pt idx="1">
                  <c:v>6.6273889269143099E-2</c:v>
                </c:pt>
                <c:pt idx="2" formatCode="0.00">
                  <c:v>2.5355397747411596E-2</c:v>
                </c:pt>
                <c:pt idx="4" formatCode="0.00">
                  <c:v>0</c:v>
                </c:pt>
                <c:pt idx="5">
                  <c:v>4.0795602215703497E-2</c:v>
                </c:pt>
                <c:pt idx="6" formatCode="0.00">
                  <c:v>2.3464493601245719E-2</c:v>
                </c:pt>
                <c:pt idx="8" formatCode="0.00">
                  <c:v>0</c:v>
                </c:pt>
                <c:pt idx="9">
                  <c:v>0.49248131309985604</c:v>
                </c:pt>
                <c:pt idx="10" formatCode="0.00">
                  <c:v>0.20082825040107374</c:v>
                </c:pt>
                <c:pt idx="12" formatCode="0.00">
                  <c:v>0</c:v>
                </c:pt>
                <c:pt idx="13">
                  <c:v>0.25180416832521602</c:v>
                </c:pt>
                <c:pt idx="14" formatCode="0.00">
                  <c:v>0.26458414340857594</c:v>
                </c:pt>
              </c:numCache>
            </c:numRef>
          </c:val>
          <c:extLst>
            <c:ext xmlns:c16="http://schemas.microsoft.com/office/drawing/2014/chart" uri="{C3380CC4-5D6E-409C-BE32-E72D297353CC}">
              <c16:uniqueId val="{00000002-16B9-8646-94C8-E5D83DA180BB}"/>
            </c:ext>
          </c:extLst>
        </c:ser>
        <c:ser>
          <c:idx val="16"/>
          <c:order val="7"/>
          <c:tx>
            <c:strRef>
              <c:f>'5. Bulk Mineralogy and Elements'!$U$5</c:f>
              <c:strCache>
                <c:ptCount val="1"/>
                <c:pt idx="0">
                  <c:v>Fe-Sulfide</c:v>
                </c:pt>
              </c:strCache>
            </c:strRef>
          </c:tx>
          <c:spPr>
            <a:solidFill>
              <a:srgbClr val="FAF54F"/>
            </a:solidFill>
            <a:ln>
              <a:noFill/>
            </a:ln>
            <a:effectLst/>
          </c:spPr>
          <c:invertIfNegative val="0"/>
          <c:cat>
            <c:strRef>
              <c:f>'5. Bulk Mineralogy and Elements'!$V$3:$AJ$3</c:f>
              <c:strCache>
                <c:ptCount val="15"/>
                <c:pt idx="0">
                  <c:v>XRD </c:v>
                </c:pt>
                <c:pt idx="1">
                  <c:v>SCT</c:v>
                </c:pt>
                <c:pt idx="2">
                  <c:v>HCT</c:v>
                </c:pt>
                <c:pt idx="4">
                  <c:v>XRD </c:v>
                </c:pt>
                <c:pt idx="5">
                  <c:v>SCT</c:v>
                </c:pt>
                <c:pt idx="6">
                  <c:v>HCT</c:v>
                </c:pt>
                <c:pt idx="8">
                  <c:v>XRD </c:v>
                </c:pt>
                <c:pt idx="9">
                  <c:v>SCT</c:v>
                </c:pt>
                <c:pt idx="10">
                  <c:v>HCT</c:v>
                </c:pt>
                <c:pt idx="12">
                  <c:v>XRD </c:v>
                </c:pt>
                <c:pt idx="13">
                  <c:v>SCT</c:v>
                </c:pt>
                <c:pt idx="14">
                  <c:v>HCT</c:v>
                </c:pt>
              </c:strCache>
            </c:strRef>
          </c:cat>
          <c:val>
            <c:numRef>
              <c:f>'5. Bulk Mineralogy and Elements'!$V$5:$AJ$5</c:f>
              <c:numCache>
                <c:formatCode>0.0</c:formatCode>
                <c:ptCount val="15"/>
                <c:pt idx="0" formatCode="0.00">
                  <c:v>6.370000000000001</c:v>
                </c:pt>
                <c:pt idx="1">
                  <c:v>6.7925359875684004</c:v>
                </c:pt>
                <c:pt idx="2" formatCode="0.00">
                  <c:v>6.3898827117177142</c:v>
                </c:pt>
                <c:pt idx="4" formatCode="0.00">
                  <c:v>7.79</c:v>
                </c:pt>
                <c:pt idx="5">
                  <c:v>8.5773799403736266</c:v>
                </c:pt>
                <c:pt idx="6" formatCode="0.00">
                  <c:v>8.5528296447526841</c:v>
                </c:pt>
                <c:pt idx="8" formatCode="0.00">
                  <c:v>26.8</c:v>
                </c:pt>
                <c:pt idx="9">
                  <c:v>31.242794639199147</c:v>
                </c:pt>
                <c:pt idx="10" formatCode="0.00">
                  <c:v>27.955628725861661</c:v>
                </c:pt>
                <c:pt idx="12" formatCode="0.00">
                  <c:v>5.28</c:v>
                </c:pt>
                <c:pt idx="13">
                  <c:v>4.3080372252146857</c:v>
                </c:pt>
                <c:pt idx="14" formatCode="0.00">
                  <c:v>3.3405202314797129</c:v>
                </c:pt>
              </c:numCache>
            </c:numRef>
          </c:val>
          <c:extLst>
            <c:ext xmlns:c16="http://schemas.microsoft.com/office/drawing/2014/chart" uri="{C3380CC4-5D6E-409C-BE32-E72D297353CC}">
              <c16:uniqueId val="{00000000-16B9-8646-94C8-E5D83DA180BB}"/>
            </c:ext>
          </c:extLst>
        </c:ser>
        <c:dLbls>
          <c:showLegendKey val="0"/>
          <c:showVal val="0"/>
          <c:showCatName val="0"/>
          <c:showSerName val="0"/>
          <c:showPercent val="0"/>
          <c:showBubbleSize val="0"/>
        </c:dLbls>
        <c:gapWidth val="20"/>
        <c:overlap val="100"/>
        <c:axId val="380413504"/>
        <c:axId val="380413896"/>
      </c:barChart>
      <c:catAx>
        <c:axId val="380413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80413896"/>
        <c:crosses val="autoZero"/>
        <c:auto val="1"/>
        <c:lblAlgn val="ctr"/>
        <c:lblOffset val="100"/>
        <c:noMultiLvlLbl val="0"/>
      </c:catAx>
      <c:valAx>
        <c:axId val="3804138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r>
                  <a:rPr lang="en-ZA"/>
                  <a:t>Bulk</a:t>
                </a:r>
                <a:r>
                  <a:rPr lang="en-ZA" baseline="0"/>
                  <a:t> mineralogy (weight </a:t>
                </a:r>
                <a:r>
                  <a:rPr lang="en-ZA"/>
                  <a:t>%)</a:t>
                </a:r>
              </a:p>
            </c:rich>
          </c:tx>
          <c:overlay val="0"/>
          <c:spPr>
            <a:noFill/>
            <a:ln>
              <a:noFill/>
            </a:ln>
            <a:effectLst/>
          </c:spPr>
          <c:txPr>
            <a:bodyPr rot="-54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crossAx val="380413504"/>
        <c:crosses val="autoZero"/>
        <c:crossBetween val="between"/>
      </c:valAx>
      <c:spPr>
        <a:noFill/>
        <a:ln>
          <a:noFill/>
        </a:ln>
        <a:effectLst/>
      </c:spPr>
    </c:plotArea>
    <c:legend>
      <c:legendPos val="r"/>
      <c:layout>
        <c:manualLayout>
          <c:xMode val="edge"/>
          <c:yMode val="edge"/>
          <c:x val="0.77779020249510566"/>
          <c:y val="0.17355375067481088"/>
          <c:w val="0.20439294339568714"/>
          <c:h val="0.72123332804151097"/>
        </c:manualLayout>
      </c:layout>
      <c:overlay val="0"/>
      <c:spPr>
        <a:noFill/>
        <a:ln>
          <a:noFill/>
        </a:ln>
        <a:effectLst/>
      </c:spPr>
      <c:txPr>
        <a:bodyPr rot="0" spcFirstLastPara="1" vertOverflow="ellipsis" vert="horz" wrap="square" anchor="ctr" anchorCtr="1"/>
        <a:lstStyle/>
        <a:p>
          <a:pPr>
            <a:defRPr sz="2000" b="0" i="0" u="none" strike="noStrike" kern="1200" baseline="0">
              <a:solidFill>
                <a:sysClr val="windowText" lastClr="000000"/>
              </a:solidFill>
              <a:latin typeface="Times New Roman" panose="02020603050405020304" pitchFamily="18" charset="0"/>
              <a:ea typeface="+mn-ea"/>
              <a:cs typeface="Times New Roman" panose="02020603050405020304" pitchFamily="18"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2000">
          <a:solidFill>
            <a:sysClr val="windowText" lastClr="000000"/>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oneCellAnchor>
    <xdr:from>
      <xdr:col>2</xdr:col>
      <xdr:colOff>349250</xdr:colOff>
      <xdr:row>2</xdr:row>
      <xdr:rowOff>38100</xdr:rowOff>
    </xdr:from>
    <xdr:ext cx="2400978" cy="172098"/>
    <mc:AlternateContent xmlns:mc="http://schemas.openxmlformats.org/markup-compatibility/2006" xmlns:a14="http://schemas.microsoft.com/office/drawing/2010/main">
      <mc:Choice Requires="a14">
        <xdr:sp macro="" textlink="">
          <xdr:nvSpPr>
            <xdr:cNvPr id="2" name="TextBox 1">
              <a:extLst>
                <a:ext uri="{FF2B5EF4-FFF2-40B4-BE49-F238E27FC236}">
                  <a16:creationId xmlns:a16="http://schemas.microsoft.com/office/drawing/2014/main" id="{B5F719F5-6CD6-2F42-A53E-9D4EA33F953A}"/>
                </a:ext>
              </a:extLst>
            </xdr:cNvPr>
            <xdr:cNvSpPr txBox="1"/>
          </xdr:nvSpPr>
          <xdr:spPr>
            <a:xfrm>
              <a:off x="4413250" y="444500"/>
              <a:ext cx="2400978"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panose="02040503050406030204" pitchFamily="18" charset="0"/>
                        <a:ea typeface="+mn-ea"/>
                        <a:cs typeface="+mn-cs"/>
                      </a:rPr>
                      <m:t>𝑀𝑃𝐴</m:t>
                    </m:r>
                    <m:d>
                      <m:dPr>
                        <m:ctrlPr>
                          <a:rPr lang="en-ZA" sz="1100" i="1">
                            <a:solidFill>
                              <a:schemeClr val="tx1"/>
                            </a:solidFill>
                            <a:effectLst/>
                            <a:latin typeface="Cambria Math" panose="02040503050406030204" pitchFamily="18" charset="0"/>
                            <a:ea typeface="+mn-ea"/>
                            <a:cs typeface="+mn-cs"/>
                          </a:rPr>
                        </m:ctrlPr>
                      </m:dPr>
                      <m:e>
                        <m:r>
                          <a:rPr lang="en-GB" sz="1100" i="1">
                            <a:solidFill>
                              <a:schemeClr val="tx1"/>
                            </a:solidFill>
                            <a:effectLst/>
                            <a:latin typeface="Cambria Math" panose="02040503050406030204" pitchFamily="18" charset="0"/>
                            <a:ea typeface="+mn-ea"/>
                            <a:cs typeface="+mn-cs"/>
                          </a:rPr>
                          <m:t>𝑘𝑔</m:t>
                        </m:r>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𝐻</m:t>
                            </m:r>
                          </m:e>
                          <m:sub>
                            <m:r>
                              <a:rPr lang="en-GB" sz="1100">
                                <a:solidFill>
                                  <a:schemeClr val="tx1"/>
                                </a:solidFill>
                                <a:effectLst/>
                                <a:latin typeface="Cambria Math" panose="02040503050406030204" pitchFamily="18" charset="0"/>
                                <a:ea typeface="+mn-ea"/>
                                <a:cs typeface="+mn-cs"/>
                              </a:rPr>
                              <m:t>2</m:t>
                            </m:r>
                          </m:sub>
                        </m:sSub>
                        <m:r>
                          <a:rPr lang="en-GB" sz="1100" i="1">
                            <a:solidFill>
                              <a:schemeClr val="tx1"/>
                            </a:solidFill>
                            <a:effectLst/>
                            <a:latin typeface="Cambria Math" panose="02040503050406030204" pitchFamily="18" charset="0"/>
                            <a:ea typeface="+mn-ea"/>
                            <a:cs typeface="+mn-cs"/>
                          </a:rPr>
                          <m:t>𝑆</m:t>
                        </m:r>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𝑂</m:t>
                            </m:r>
                          </m:e>
                          <m:sub>
                            <m:r>
                              <a:rPr lang="en-GB" sz="1100">
                                <a:solidFill>
                                  <a:schemeClr val="tx1"/>
                                </a:solidFill>
                                <a:effectLst/>
                                <a:latin typeface="Cambria Math" panose="02040503050406030204" pitchFamily="18" charset="0"/>
                                <a:ea typeface="+mn-ea"/>
                                <a:cs typeface="+mn-cs"/>
                              </a:rPr>
                              <m:t>4</m:t>
                            </m:r>
                          </m:sub>
                        </m:sSub>
                        <m:r>
                          <a:rPr lang="en-GB" sz="1100">
                            <a:solidFill>
                              <a:schemeClr val="tx1"/>
                            </a:solidFill>
                            <a:effectLst/>
                            <a:latin typeface="Cambria Math" panose="02040503050406030204" pitchFamily="18" charset="0"/>
                            <a:ea typeface="+mn-ea"/>
                            <a:cs typeface="+mn-cs"/>
                          </a:rPr>
                          <m:t>/</m:t>
                        </m:r>
                        <m:r>
                          <a:rPr lang="en-GB" sz="1100" i="1">
                            <a:solidFill>
                              <a:schemeClr val="tx1"/>
                            </a:solidFill>
                            <a:effectLst/>
                            <a:latin typeface="Cambria Math" panose="02040503050406030204" pitchFamily="18" charset="0"/>
                            <a:ea typeface="+mn-ea"/>
                            <a:cs typeface="+mn-cs"/>
                          </a:rPr>
                          <m:t>𝑡</m:t>
                        </m:r>
                      </m:e>
                    </m:d>
                    <m:r>
                      <a:rPr lang="en-GB" sz="1100">
                        <a:solidFill>
                          <a:schemeClr val="tx1"/>
                        </a:solidFill>
                        <a:effectLst/>
                        <a:latin typeface="Cambria Math" panose="02040503050406030204" pitchFamily="18" charset="0"/>
                        <a:ea typeface="+mn-ea"/>
                        <a:cs typeface="+mn-cs"/>
                      </a:rPr>
                      <m:t>=(</m:t>
                    </m:r>
                    <m:r>
                      <a:rPr lang="en-GB" sz="1100" i="1">
                        <a:solidFill>
                          <a:schemeClr val="tx1"/>
                        </a:solidFill>
                        <a:effectLst/>
                        <a:latin typeface="Cambria Math" panose="02040503050406030204" pitchFamily="18" charset="0"/>
                        <a:ea typeface="+mn-ea"/>
                        <a:cs typeface="+mn-cs"/>
                      </a:rPr>
                      <m:t>𝑇𝑜𝑡𝑎𝑙</m:t>
                    </m:r>
                    <m:r>
                      <a:rPr lang="en-GB" sz="1100">
                        <a:solidFill>
                          <a:schemeClr val="tx1"/>
                        </a:solidFill>
                        <a:effectLst/>
                        <a:latin typeface="Cambria Math" panose="02040503050406030204" pitchFamily="18" charset="0"/>
                        <a:ea typeface="+mn-ea"/>
                        <a:cs typeface="+mn-cs"/>
                      </a:rPr>
                      <m:t> %</m:t>
                    </m:r>
                    <m:r>
                      <a:rPr lang="en-GB" sz="1100" i="1">
                        <a:solidFill>
                          <a:schemeClr val="tx1"/>
                        </a:solidFill>
                        <a:effectLst/>
                        <a:latin typeface="Cambria Math" panose="02040503050406030204" pitchFamily="18" charset="0"/>
                        <a:ea typeface="+mn-ea"/>
                        <a:cs typeface="+mn-cs"/>
                      </a:rPr>
                      <m:t>𝑆</m:t>
                    </m:r>
                    <m:r>
                      <a:rPr lang="en-GB" sz="1100">
                        <a:solidFill>
                          <a:schemeClr val="tx1"/>
                        </a:solidFill>
                        <a:effectLst/>
                        <a:latin typeface="Cambria Math" panose="02040503050406030204" pitchFamily="18" charset="0"/>
                        <a:ea typeface="+mn-ea"/>
                        <a:cs typeface="+mn-cs"/>
                      </a:rPr>
                      <m:t>)×30.6</m:t>
                    </m:r>
                    <m:r>
                      <m:rPr>
                        <m:nor/>
                      </m:rPr>
                      <a:rPr lang="en-ZA">
                        <a:effectLst/>
                      </a:rPr>
                      <m:t> </m:t>
                    </m:r>
                  </m:oMath>
                </m:oMathPara>
              </a14:m>
              <a:endParaRPr lang="en-GB" sz="1100"/>
            </a:p>
          </xdr:txBody>
        </xdr:sp>
      </mc:Choice>
      <mc:Fallback xmlns="">
        <xdr:sp macro="" textlink="">
          <xdr:nvSpPr>
            <xdr:cNvPr id="2" name="TextBox 1">
              <a:extLst>
                <a:ext uri="{FF2B5EF4-FFF2-40B4-BE49-F238E27FC236}">
                  <a16:creationId xmlns:a16="http://schemas.microsoft.com/office/drawing/2014/main" id="{B5F719F5-6CD6-2F42-A53E-9D4EA33F953A}"/>
                </a:ext>
              </a:extLst>
            </xdr:cNvPr>
            <xdr:cNvSpPr txBox="1"/>
          </xdr:nvSpPr>
          <xdr:spPr>
            <a:xfrm>
              <a:off x="4413250" y="444500"/>
              <a:ext cx="2400978"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GB" sz="1100" i="0">
                  <a:solidFill>
                    <a:schemeClr val="tx1"/>
                  </a:solidFill>
                  <a:effectLst/>
                  <a:latin typeface="+mn-lt"/>
                  <a:ea typeface="+mn-ea"/>
                  <a:cs typeface="+mn-cs"/>
                </a:rPr>
                <a:t>𝑀𝑃𝐴</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𝑘𝑔𝐻</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2 𝑆𝑂</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4/𝑡)=(𝑇𝑜𝑡𝑎𝑙 %𝑆)×30.6</a:t>
              </a:r>
              <a:r>
                <a:rPr lang="en-ZA" sz="1100" i="0">
                  <a:solidFill>
                    <a:schemeClr val="tx1"/>
                  </a:solidFill>
                  <a:effectLst/>
                  <a:latin typeface="Cambria Math" panose="02040503050406030204" pitchFamily="18" charset="0"/>
                  <a:ea typeface="+mn-ea"/>
                  <a:cs typeface="+mn-cs"/>
                </a:rPr>
                <a:t>"</a:t>
              </a:r>
              <a:r>
                <a:rPr lang="en-ZA" i="0">
                  <a:effectLst/>
                  <a:latin typeface="Cambria Math" panose="02040503050406030204" pitchFamily="18" charset="0"/>
                </a:rPr>
                <a:t> </a:t>
              </a:r>
              <a:r>
                <a:rPr lang="en-GB" i="0">
                  <a:effectLst/>
                </a:rPr>
                <a:t>"</a:t>
              </a:r>
              <a:endParaRPr lang="en-GB" sz="1100"/>
            </a:p>
          </xdr:txBody>
        </xdr:sp>
      </mc:Fallback>
    </mc:AlternateContent>
    <xdr:clientData/>
  </xdr:oneCellAnchor>
  <xdr:oneCellAnchor>
    <xdr:from>
      <xdr:col>2</xdr:col>
      <xdr:colOff>958850</xdr:colOff>
      <xdr:row>13</xdr:row>
      <xdr:rowOff>50800</xdr:rowOff>
    </xdr:from>
    <xdr:ext cx="1392754" cy="17209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994B4DBF-FB21-D542-9AB5-D76B943EBCEC}"/>
                </a:ext>
              </a:extLst>
            </xdr:cNvPr>
            <xdr:cNvSpPr txBox="1"/>
          </xdr:nvSpPr>
          <xdr:spPr>
            <a:xfrm>
              <a:off x="5022850" y="3175000"/>
              <a:ext cx="1392754"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panose="02040503050406030204" pitchFamily="18" charset="0"/>
                        <a:ea typeface="+mn-ea"/>
                        <a:cs typeface="+mn-cs"/>
                      </a:rPr>
                      <m:t>𝑁𝐴𝑃𝑃</m:t>
                    </m:r>
                    <m:r>
                      <a:rPr lang="en-GB" sz="1100">
                        <a:solidFill>
                          <a:schemeClr val="tx1"/>
                        </a:solidFill>
                        <a:effectLst/>
                        <a:latin typeface="Cambria Math" panose="02040503050406030204" pitchFamily="18" charset="0"/>
                        <a:ea typeface="+mn-ea"/>
                        <a:cs typeface="+mn-cs"/>
                      </a:rPr>
                      <m:t>=</m:t>
                    </m:r>
                    <m:r>
                      <a:rPr lang="en-GB" sz="1100" i="1">
                        <a:solidFill>
                          <a:schemeClr val="tx1"/>
                        </a:solidFill>
                        <a:effectLst/>
                        <a:latin typeface="Cambria Math" panose="02040503050406030204" pitchFamily="18" charset="0"/>
                        <a:ea typeface="+mn-ea"/>
                        <a:cs typeface="+mn-cs"/>
                      </a:rPr>
                      <m:t>𝑀𝑃𝐴</m:t>
                    </m:r>
                    <m:r>
                      <a:rPr lang="en-US" sz="1100" b="0" i="1">
                        <a:solidFill>
                          <a:schemeClr val="tx1"/>
                        </a:solidFill>
                        <a:effectLst/>
                        <a:latin typeface="Cambria Math" panose="02040503050406030204" pitchFamily="18" charset="0"/>
                        <a:ea typeface="+mn-ea"/>
                        <a:cs typeface="+mn-cs"/>
                      </a:rPr>
                      <m:t> −</m:t>
                    </m:r>
                    <m:r>
                      <a:rPr lang="en-US" sz="1100" b="0" i="1">
                        <a:solidFill>
                          <a:schemeClr val="tx1"/>
                        </a:solidFill>
                        <a:effectLst/>
                        <a:latin typeface="Cambria Math" panose="02040503050406030204" pitchFamily="18" charset="0"/>
                        <a:ea typeface="+mn-ea"/>
                        <a:cs typeface="+mn-cs"/>
                      </a:rPr>
                      <m:t>𝐴𝑁𝐶</m:t>
                    </m:r>
                    <m:r>
                      <m:rPr>
                        <m:nor/>
                      </m:rPr>
                      <a:rPr lang="en-ZA">
                        <a:effectLst/>
                      </a:rPr>
                      <m:t> </m:t>
                    </m:r>
                  </m:oMath>
                </m:oMathPara>
              </a14:m>
              <a:endParaRPr lang="en-GB" sz="1100"/>
            </a:p>
          </xdr:txBody>
        </xdr:sp>
      </mc:Choice>
      <mc:Fallback xmlns="">
        <xdr:sp macro="" textlink="">
          <xdr:nvSpPr>
            <xdr:cNvPr id="3" name="TextBox 2">
              <a:extLst>
                <a:ext uri="{FF2B5EF4-FFF2-40B4-BE49-F238E27FC236}">
                  <a16:creationId xmlns:a16="http://schemas.microsoft.com/office/drawing/2014/main" id="{994B4DBF-FB21-D542-9AB5-D76B943EBCEC}"/>
                </a:ext>
              </a:extLst>
            </xdr:cNvPr>
            <xdr:cNvSpPr txBox="1"/>
          </xdr:nvSpPr>
          <xdr:spPr>
            <a:xfrm>
              <a:off x="5022850" y="3175000"/>
              <a:ext cx="1392754" cy="17209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GB" sz="1100" i="0">
                  <a:solidFill>
                    <a:schemeClr val="tx1"/>
                  </a:solidFill>
                  <a:effectLst/>
                  <a:latin typeface="+mn-lt"/>
                  <a:ea typeface="+mn-ea"/>
                  <a:cs typeface="+mn-cs"/>
                </a:rPr>
                <a:t>𝑁𝐴𝑃𝑃=𝑀𝑃𝐴</a:t>
              </a:r>
              <a:r>
                <a:rPr lang="en-US" sz="1100" b="0" i="0">
                  <a:solidFill>
                    <a:schemeClr val="tx1"/>
                  </a:solidFill>
                  <a:effectLst/>
                  <a:latin typeface="Cambria Math" panose="02040503050406030204" pitchFamily="18" charset="0"/>
                  <a:ea typeface="+mn-ea"/>
                  <a:cs typeface="+mn-cs"/>
                </a:rPr>
                <a:t> −𝐴𝑁𝐶</a:t>
              </a:r>
              <a:r>
                <a:rPr lang="en-ZA" sz="1100" b="0" i="0">
                  <a:solidFill>
                    <a:schemeClr val="tx1"/>
                  </a:solidFill>
                  <a:effectLst/>
                  <a:latin typeface="Cambria Math" panose="02040503050406030204" pitchFamily="18" charset="0"/>
                  <a:ea typeface="+mn-ea"/>
                  <a:cs typeface="+mn-cs"/>
                </a:rPr>
                <a:t>"</a:t>
              </a:r>
              <a:r>
                <a:rPr lang="en-ZA" i="0">
                  <a:effectLst/>
                  <a:latin typeface="Cambria Math" panose="02040503050406030204" pitchFamily="18" charset="0"/>
                </a:rPr>
                <a:t> </a:t>
              </a:r>
              <a:r>
                <a:rPr lang="en-GB" i="0">
                  <a:effectLst/>
                </a:rPr>
                <a:t>"</a:t>
              </a:r>
              <a:endParaRPr lang="en-GB" sz="1100"/>
            </a:p>
          </xdr:txBody>
        </xdr:sp>
      </mc:Fallback>
    </mc:AlternateContent>
    <xdr:clientData/>
  </xdr:oneCellAnchor>
  <xdr:oneCellAnchor>
    <xdr:from>
      <xdr:col>2</xdr:col>
      <xdr:colOff>717550</xdr:colOff>
      <xdr:row>7</xdr:row>
      <xdr:rowOff>101600</xdr:rowOff>
    </xdr:from>
    <xdr:ext cx="1517915" cy="345416"/>
    <mc:AlternateContent xmlns:mc="http://schemas.openxmlformats.org/markup-compatibility/2006" xmlns:a14="http://schemas.microsoft.com/office/drawing/2010/main">
      <mc:Choice Requires="a14">
        <xdr:sp macro="" textlink="">
          <xdr:nvSpPr>
            <xdr:cNvPr id="5" name="TextBox 4">
              <a:extLst>
                <a:ext uri="{FF2B5EF4-FFF2-40B4-BE49-F238E27FC236}">
                  <a16:creationId xmlns:a16="http://schemas.microsoft.com/office/drawing/2014/main" id="{C0F7B8DD-209C-3B4C-AB7F-5BBC754B9B0F}"/>
                </a:ext>
              </a:extLst>
            </xdr:cNvPr>
            <xdr:cNvSpPr txBox="1"/>
          </xdr:nvSpPr>
          <xdr:spPr>
            <a:xfrm>
              <a:off x="4781550" y="1384300"/>
              <a:ext cx="1517915" cy="34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panose="02040503050406030204" pitchFamily="18" charset="0"/>
                        <a:ea typeface="+mn-ea"/>
                        <a:cs typeface="+mn-cs"/>
                      </a:rPr>
                      <m:t>𝐶</m:t>
                    </m:r>
                    <m:r>
                      <a:rPr lang="en-GB" sz="1100">
                        <a:solidFill>
                          <a:schemeClr val="tx1"/>
                        </a:solidFill>
                        <a:effectLst/>
                        <a:latin typeface="Cambria Math" panose="02040503050406030204" pitchFamily="18" charset="0"/>
                        <a:ea typeface="+mn-ea"/>
                        <a:cs typeface="+mn-cs"/>
                      </a:rPr>
                      <m:t>=</m:t>
                    </m:r>
                    <m:f>
                      <m:fPr>
                        <m:ctrlPr>
                          <a:rPr lang="en-ZA" sz="1100" i="1">
                            <a:solidFill>
                              <a:schemeClr val="tx1"/>
                            </a:solidFill>
                            <a:effectLst/>
                            <a:latin typeface="Cambria Math" panose="02040503050406030204" pitchFamily="18" charset="0"/>
                            <a:ea typeface="+mn-ea"/>
                            <a:cs typeface="+mn-cs"/>
                          </a:rPr>
                        </m:ctrlPr>
                      </m:fPr>
                      <m:num>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𝑉</m:t>
                            </m:r>
                          </m:e>
                          <m:sub>
                            <m:r>
                              <a:rPr lang="en-GB" sz="1100" i="1">
                                <a:solidFill>
                                  <a:schemeClr val="tx1"/>
                                </a:solidFill>
                                <a:effectLst/>
                                <a:latin typeface="Cambria Math" panose="02040503050406030204" pitchFamily="18" charset="0"/>
                                <a:ea typeface="+mn-ea"/>
                                <a:cs typeface="+mn-cs"/>
                              </a:rPr>
                              <m:t>𝐻𝐶𝑙</m:t>
                            </m:r>
                            <m:r>
                              <a:rPr lang="en-GB" sz="1100">
                                <a:solidFill>
                                  <a:schemeClr val="tx1"/>
                                </a:solidFill>
                                <a:effectLst/>
                                <a:latin typeface="Cambria Math" panose="02040503050406030204" pitchFamily="18" charset="0"/>
                                <a:ea typeface="+mn-ea"/>
                                <a:cs typeface="+mn-cs"/>
                              </a:rPr>
                              <m:t> </m:t>
                            </m:r>
                            <m:r>
                              <a:rPr lang="en-GB" sz="1100" i="1">
                                <a:solidFill>
                                  <a:schemeClr val="tx1"/>
                                </a:solidFill>
                                <a:effectLst/>
                                <a:latin typeface="Cambria Math" panose="02040503050406030204" pitchFamily="18" charset="0"/>
                                <a:ea typeface="+mn-ea"/>
                                <a:cs typeface="+mn-cs"/>
                              </a:rPr>
                              <m:t>𝑖𝑛</m:t>
                            </m:r>
                            <m:r>
                              <a:rPr lang="en-GB" sz="1100">
                                <a:solidFill>
                                  <a:schemeClr val="tx1"/>
                                </a:solidFill>
                                <a:effectLst/>
                                <a:latin typeface="Cambria Math" panose="02040503050406030204" pitchFamily="18" charset="0"/>
                                <a:ea typeface="+mn-ea"/>
                                <a:cs typeface="+mn-cs"/>
                              </a:rPr>
                              <m:t> </m:t>
                            </m:r>
                            <m:r>
                              <a:rPr lang="en-GB" sz="1100" i="1">
                                <a:solidFill>
                                  <a:schemeClr val="tx1"/>
                                </a:solidFill>
                                <a:effectLst/>
                                <a:latin typeface="Cambria Math" panose="02040503050406030204" pitchFamily="18" charset="0"/>
                                <a:ea typeface="+mn-ea"/>
                                <a:cs typeface="+mn-cs"/>
                              </a:rPr>
                              <m:t>𝑏𝑙𝑎𝑛𝑘</m:t>
                            </m:r>
                          </m:sub>
                        </m:sSub>
                      </m:num>
                      <m:den>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𝑉</m:t>
                            </m:r>
                          </m:e>
                          <m:sub>
                            <m:r>
                              <a:rPr lang="en-GB" sz="1100" i="1">
                                <a:solidFill>
                                  <a:schemeClr val="tx1"/>
                                </a:solidFill>
                                <a:effectLst/>
                                <a:latin typeface="Cambria Math" panose="02040503050406030204" pitchFamily="18" charset="0"/>
                                <a:ea typeface="+mn-ea"/>
                                <a:cs typeface="+mn-cs"/>
                              </a:rPr>
                              <m:t>𝑁𝑎𝑂𝐻</m:t>
                            </m:r>
                            <m:r>
                              <a:rPr lang="en-GB" sz="1100">
                                <a:solidFill>
                                  <a:schemeClr val="tx1"/>
                                </a:solidFill>
                                <a:effectLst/>
                                <a:latin typeface="Cambria Math" panose="02040503050406030204" pitchFamily="18" charset="0"/>
                                <a:ea typeface="+mn-ea"/>
                                <a:cs typeface="+mn-cs"/>
                              </a:rPr>
                              <m:t> </m:t>
                            </m:r>
                            <m:r>
                              <a:rPr lang="en-GB" sz="1100" i="1">
                                <a:solidFill>
                                  <a:schemeClr val="tx1"/>
                                </a:solidFill>
                                <a:effectLst/>
                                <a:latin typeface="Cambria Math" panose="02040503050406030204" pitchFamily="18" charset="0"/>
                                <a:ea typeface="+mn-ea"/>
                                <a:cs typeface="+mn-cs"/>
                              </a:rPr>
                              <m:t>𝑡𝑖𝑡𝑟𝑎𝑡𝑒𝑑</m:t>
                            </m:r>
                            <m:r>
                              <a:rPr lang="en-GB" sz="1100">
                                <a:solidFill>
                                  <a:schemeClr val="tx1"/>
                                </a:solidFill>
                                <a:effectLst/>
                                <a:latin typeface="Cambria Math" panose="02040503050406030204" pitchFamily="18" charset="0"/>
                                <a:ea typeface="+mn-ea"/>
                                <a:cs typeface="+mn-cs"/>
                              </a:rPr>
                              <m:t> </m:t>
                            </m:r>
                            <m:r>
                              <a:rPr lang="en-GB" sz="1100" i="1">
                                <a:solidFill>
                                  <a:schemeClr val="tx1"/>
                                </a:solidFill>
                                <a:effectLst/>
                                <a:latin typeface="Cambria Math" panose="02040503050406030204" pitchFamily="18" charset="0"/>
                                <a:ea typeface="+mn-ea"/>
                                <a:cs typeface="+mn-cs"/>
                              </a:rPr>
                              <m:t>𝑖𝑛</m:t>
                            </m:r>
                            <m:r>
                              <a:rPr lang="en-GB" sz="1100">
                                <a:solidFill>
                                  <a:schemeClr val="tx1"/>
                                </a:solidFill>
                                <a:effectLst/>
                                <a:latin typeface="Cambria Math" panose="02040503050406030204" pitchFamily="18" charset="0"/>
                                <a:ea typeface="+mn-ea"/>
                                <a:cs typeface="+mn-cs"/>
                              </a:rPr>
                              <m:t> </m:t>
                            </m:r>
                            <m:r>
                              <a:rPr lang="en-GB" sz="1100" i="1">
                                <a:solidFill>
                                  <a:schemeClr val="tx1"/>
                                </a:solidFill>
                                <a:effectLst/>
                                <a:latin typeface="Cambria Math" panose="02040503050406030204" pitchFamily="18" charset="0"/>
                                <a:ea typeface="+mn-ea"/>
                                <a:cs typeface="+mn-cs"/>
                              </a:rPr>
                              <m:t>𝑏𝑙𝑎𝑛𝑘</m:t>
                            </m:r>
                          </m:sub>
                        </m:sSub>
                      </m:den>
                    </m:f>
                    <m:r>
                      <m:rPr>
                        <m:nor/>
                      </m:rPr>
                      <a:rPr lang="en-ZA">
                        <a:effectLst/>
                      </a:rPr>
                      <m:t> </m:t>
                    </m:r>
                  </m:oMath>
                </m:oMathPara>
              </a14:m>
              <a:endParaRPr lang="en-GB" sz="1100"/>
            </a:p>
          </xdr:txBody>
        </xdr:sp>
      </mc:Choice>
      <mc:Fallback xmlns="">
        <xdr:sp macro="" textlink="">
          <xdr:nvSpPr>
            <xdr:cNvPr id="5" name="TextBox 4">
              <a:extLst>
                <a:ext uri="{FF2B5EF4-FFF2-40B4-BE49-F238E27FC236}">
                  <a16:creationId xmlns:a16="http://schemas.microsoft.com/office/drawing/2014/main" id="{C0F7B8DD-209C-3B4C-AB7F-5BBC754B9B0F}"/>
                </a:ext>
              </a:extLst>
            </xdr:cNvPr>
            <xdr:cNvSpPr txBox="1"/>
          </xdr:nvSpPr>
          <xdr:spPr>
            <a:xfrm>
              <a:off x="4781550" y="1384300"/>
              <a:ext cx="1517915" cy="3454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GB" sz="1100" i="0">
                  <a:solidFill>
                    <a:schemeClr val="tx1"/>
                  </a:solidFill>
                  <a:effectLst/>
                  <a:latin typeface="+mn-lt"/>
                  <a:ea typeface="+mn-ea"/>
                  <a:cs typeface="+mn-cs"/>
                </a:rPr>
                <a:t>𝐶=𝑉</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𝐻𝐶𝑙 𝑖𝑛 𝑏𝑙𝑎𝑛𝑘</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𝑉</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𝑁𝑎𝑂𝐻 𝑡𝑖𝑡𝑟𝑎𝑡𝑒𝑑 𝑖𝑛 𝑏𝑙𝑎𝑛𝑘</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 </a:t>
              </a:r>
              <a:r>
                <a:rPr lang="en-ZA" sz="1100" i="0">
                  <a:solidFill>
                    <a:schemeClr val="tx1"/>
                  </a:solidFill>
                  <a:effectLst/>
                  <a:latin typeface="+mn-lt"/>
                  <a:ea typeface="+mn-ea"/>
                  <a:cs typeface="+mn-cs"/>
                </a:rPr>
                <a:t> </a:t>
              </a:r>
              <a:r>
                <a:rPr lang="en-ZA" sz="1100" i="0">
                  <a:solidFill>
                    <a:schemeClr val="tx1"/>
                  </a:solidFill>
                  <a:effectLst/>
                  <a:latin typeface="Cambria Math" panose="02040503050406030204" pitchFamily="18" charset="0"/>
                  <a:ea typeface="+mn-ea"/>
                  <a:cs typeface="+mn-cs"/>
                </a:rPr>
                <a:t>"</a:t>
              </a:r>
              <a:r>
                <a:rPr lang="en-ZA" i="0">
                  <a:effectLst/>
                  <a:latin typeface="Cambria Math" panose="02040503050406030204" pitchFamily="18" charset="0"/>
                </a:rPr>
                <a:t> </a:t>
              </a:r>
              <a:r>
                <a:rPr lang="en-GB" i="0">
                  <a:effectLst/>
                </a:rPr>
                <a:t>"</a:t>
              </a:r>
              <a:endParaRPr lang="en-GB" sz="1100"/>
            </a:p>
          </xdr:txBody>
        </xdr:sp>
      </mc:Fallback>
    </mc:AlternateContent>
    <xdr:clientData/>
  </xdr:oneCellAnchor>
  <xdr:oneCellAnchor>
    <xdr:from>
      <xdr:col>2</xdr:col>
      <xdr:colOff>317500</xdr:colOff>
      <xdr:row>3</xdr:row>
      <xdr:rowOff>63500</xdr:rowOff>
    </xdr:from>
    <xdr:ext cx="2410788" cy="416332"/>
    <mc:AlternateContent xmlns:mc="http://schemas.openxmlformats.org/markup-compatibility/2006" xmlns:a14="http://schemas.microsoft.com/office/drawing/2010/main">
      <mc:Choice Requires="a14">
        <xdr:sp macro="" textlink="">
          <xdr:nvSpPr>
            <xdr:cNvPr id="6" name="TextBox 5">
              <a:extLst>
                <a:ext uri="{FF2B5EF4-FFF2-40B4-BE49-F238E27FC236}">
                  <a16:creationId xmlns:a16="http://schemas.microsoft.com/office/drawing/2014/main" id="{F1C7BDEC-15F5-364B-8391-848224F03C53}"/>
                </a:ext>
              </a:extLst>
            </xdr:cNvPr>
            <xdr:cNvSpPr txBox="1"/>
          </xdr:nvSpPr>
          <xdr:spPr>
            <a:xfrm>
              <a:off x="4381500" y="774700"/>
              <a:ext cx="2410788" cy="416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panose="02040503050406030204" pitchFamily="18" charset="0"/>
                        <a:ea typeface="+mn-ea"/>
                        <a:cs typeface="+mn-cs"/>
                      </a:rPr>
                      <m:t>𝐴𝑁𝐶</m:t>
                    </m:r>
                    <m:r>
                      <a:rPr lang="en-GB" sz="1100">
                        <a:solidFill>
                          <a:schemeClr val="tx1"/>
                        </a:solidFill>
                        <a:effectLst/>
                        <a:latin typeface="Cambria Math" panose="02040503050406030204" pitchFamily="18" charset="0"/>
                        <a:ea typeface="+mn-ea"/>
                        <a:cs typeface="+mn-cs"/>
                      </a:rPr>
                      <m:t>=</m:t>
                    </m:r>
                    <m:f>
                      <m:fPr>
                        <m:ctrlPr>
                          <a:rPr lang="en-ZA" sz="1100" i="1">
                            <a:solidFill>
                              <a:schemeClr val="tx1"/>
                            </a:solidFill>
                            <a:effectLst/>
                            <a:latin typeface="Cambria Math" panose="02040503050406030204" pitchFamily="18" charset="0"/>
                            <a:ea typeface="+mn-ea"/>
                            <a:cs typeface="+mn-cs"/>
                          </a:rPr>
                        </m:ctrlPr>
                      </m:fPr>
                      <m:num>
                        <m:r>
                          <a:rPr lang="en-GB" sz="1100">
                            <a:solidFill>
                              <a:schemeClr val="tx1"/>
                            </a:solidFill>
                            <a:effectLst/>
                            <a:latin typeface="Cambria Math" panose="02040503050406030204" pitchFamily="18" charset="0"/>
                            <a:ea typeface="+mn-ea"/>
                            <a:cs typeface="+mn-cs"/>
                          </a:rPr>
                          <m:t>[</m:t>
                        </m:r>
                        <m:r>
                          <a:rPr lang="en-GB" sz="1100" i="1">
                            <a:solidFill>
                              <a:schemeClr val="tx1"/>
                            </a:solidFill>
                            <a:effectLst/>
                            <a:latin typeface="Cambria Math" panose="02040503050406030204" pitchFamily="18" charset="0"/>
                            <a:ea typeface="+mn-ea"/>
                            <a:cs typeface="+mn-cs"/>
                          </a:rPr>
                          <m:t>𝑉</m:t>
                        </m:r>
                        <m:sSub>
                          <m:sSubPr>
                            <m:ctrlPr>
                              <a:rPr lang="en-ZA" sz="1100" i="1">
                                <a:solidFill>
                                  <a:schemeClr val="tx1"/>
                                </a:solidFill>
                                <a:effectLst/>
                                <a:latin typeface="Cambria Math" panose="02040503050406030204" pitchFamily="18" charset="0"/>
                                <a:ea typeface="+mn-ea"/>
                                <a:cs typeface="+mn-cs"/>
                              </a:rPr>
                            </m:ctrlPr>
                          </m:sSubPr>
                          <m:e>
                            <m:r>
                              <a:rPr lang="en-GB" sz="1100">
                                <a:solidFill>
                                  <a:schemeClr val="tx1"/>
                                </a:solidFill>
                                <a:effectLst/>
                                <a:latin typeface="Cambria Math" panose="02040503050406030204" pitchFamily="18" charset="0"/>
                                <a:ea typeface="+mn-ea"/>
                                <a:cs typeface="+mn-cs"/>
                              </a:rPr>
                              <m:t>­</m:t>
                            </m:r>
                          </m:e>
                          <m:sub>
                            <m:r>
                              <a:rPr lang="en-GB" sz="1100" i="1">
                                <a:solidFill>
                                  <a:schemeClr val="tx1"/>
                                </a:solidFill>
                                <a:effectLst/>
                                <a:latin typeface="Cambria Math" panose="02040503050406030204" pitchFamily="18" charset="0"/>
                                <a:ea typeface="+mn-ea"/>
                                <a:cs typeface="+mn-cs"/>
                              </a:rPr>
                              <m:t>𝐻𝐶𝑙</m:t>
                            </m:r>
                          </m:sub>
                        </m:sSub>
                        <m:r>
                          <a:rPr lang="en-GB" sz="1100" i="1">
                            <a:solidFill>
                              <a:schemeClr val="tx1"/>
                            </a:solidFill>
                            <a:effectLst/>
                            <a:latin typeface="Cambria Math" panose="02040503050406030204" pitchFamily="18" charset="0"/>
                            <a:ea typeface="+mn-ea"/>
                            <a:cs typeface="+mn-cs"/>
                          </a:rPr>
                          <m:t>−</m:t>
                        </m:r>
                        <m:r>
                          <a:rPr lang="en-GB" sz="1100">
                            <a:solidFill>
                              <a:schemeClr val="tx1"/>
                            </a:solidFill>
                            <a:effectLst/>
                            <a:latin typeface="Cambria Math" panose="02040503050406030204" pitchFamily="18" charset="0"/>
                            <a:ea typeface="+mn-ea"/>
                            <a:cs typeface="+mn-cs"/>
                          </a:rPr>
                          <m:t>(</m:t>
                        </m:r>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𝑉</m:t>
                            </m:r>
                          </m:e>
                          <m:sub>
                            <m:r>
                              <a:rPr lang="en-GB" sz="1100" i="1">
                                <a:solidFill>
                                  <a:schemeClr val="tx1"/>
                                </a:solidFill>
                                <a:effectLst/>
                                <a:latin typeface="Cambria Math" panose="02040503050406030204" pitchFamily="18" charset="0"/>
                                <a:ea typeface="+mn-ea"/>
                                <a:cs typeface="+mn-cs"/>
                              </a:rPr>
                              <m:t>𝑁𝑎𝑂𝐻</m:t>
                            </m:r>
                          </m:sub>
                        </m:sSub>
                        <m:r>
                          <a:rPr lang="en-GB" sz="1100">
                            <a:solidFill>
                              <a:schemeClr val="tx1"/>
                            </a:solidFill>
                            <a:effectLst/>
                            <a:latin typeface="Cambria Math" panose="02040503050406030204" pitchFamily="18" charset="0"/>
                            <a:ea typeface="+mn-ea"/>
                            <a:cs typeface="+mn-cs"/>
                          </a:rPr>
                          <m:t>×</m:t>
                        </m:r>
                        <m:r>
                          <a:rPr lang="en-GB" sz="1100" i="1">
                            <a:solidFill>
                              <a:schemeClr val="tx1"/>
                            </a:solidFill>
                            <a:effectLst/>
                            <a:latin typeface="Cambria Math" panose="02040503050406030204" pitchFamily="18" charset="0"/>
                            <a:ea typeface="+mn-ea"/>
                            <a:cs typeface="+mn-cs"/>
                          </a:rPr>
                          <m:t>𝐶</m:t>
                        </m:r>
                        <m:r>
                          <a:rPr lang="en-GB" sz="1100">
                            <a:solidFill>
                              <a:schemeClr val="tx1"/>
                            </a:solidFill>
                            <a:effectLst/>
                            <a:latin typeface="Cambria Math" panose="02040503050406030204" pitchFamily="18" charset="0"/>
                            <a:ea typeface="+mn-ea"/>
                            <a:cs typeface="+mn-cs"/>
                          </a:rPr>
                          <m:t>)]×49</m:t>
                        </m:r>
                        <m:r>
                          <a:rPr lang="en-GB" sz="1100" i="1">
                            <a:solidFill>
                              <a:schemeClr val="tx1"/>
                            </a:solidFill>
                            <a:effectLst/>
                            <a:latin typeface="Cambria Math" panose="02040503050406030204" pitchFamily="18" charset="0"/>
                            <a:ea typeface="Cambria Math" panose="02040503050406030204" pitchFamily="18" charset="0"/>
                            <a:cs typeface="+mn-cs"/>
                          </a:rPr>
                          <m:t>×</m:t>
                        </m:r>
                        <m:sSub>
                          <m:sSubPr>
                            <m:ctrlPr>
                              <a:rPr lang="en-US" sz="1100" b="0" i="1">
                                <a:solidFill>
                                  <a:schemeClr val="tx1"/>
                                </a:solidFill>
                                <a:effectLst/>
                                <a:latin typeface="Cambria Math" panose="02040503050406030204" pitchFamily="18" charset="0"/>
                                <a:ea typeface="Cambria Math" panose="02040503050406030204" pitchFamily="18" charset="0"/>
                                <a:cs typeface="+mn-cs"/>
                              </a:rPr>
                            </m:ctrlPr>
                          </m:sSubPr>
                          <m:e>
                            <m:r>
                              <a:rPr lang="en-US" sz="1100" b="0" i="1">
                                <a:solidFill>
                                  <a:schemeClr val="tx1"/>
                                </a:solidFill>
                                <a:effectLst/>
                                <a:latin typeface="Cambria Math" panose="02040503050406030204" pitchFamily="18" charset="0"/>
                                <a:ea typeface="Cambria Math" panose="02040503050406030204" pitchFamily="18" charset="0"/>
                                <a:cs typeface="+mn-cs"/>
                              </a:rPr>
                              <m:t>𝑀</m:t>
                            </m:r>
                          </m:e>
                          <m:sub>
                            <m:r>
                              <a:rPr lang="en-US" sz="1100" b="0" i="1">
                                <a:solidFill>
                                  <a:schemeClr val="tx1"/>
                                </a:solidFill>
                                <a:effectLst/>
                                <a:latin typeface="Cambria Math" panose="02040503050406030204" pitchFamily="18" charset="0"/>
                                <a:ea typeface="Cambria Math" panose="02040503050406030204" pitchFamily="18" charset="0"/>
                                <a:cs typeface="+mn-cs"/>
                              </a:rPr>
                              <m:t>𝐻𝐶𝑙</m:t>
                            </m:r>
                          </m:sub>
                        </m:sSub>
                      </m:num>
                      <m:den>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𝑊</m:t>
                            </m:r>
                          </m:e>
                          <m:sub>
                            <m:r>
                              <a:rPr lang="en-GB" sz="1100" i="1">
                                <a:solidFill>
                                  <a:schemeClr val="tx1"/>
                                </a:solidFill>
                                <a:effectLst/>
                                <a:latin typeface="Cambria Math" panose="02040503050406030204" pitchFamily="18" charset="0"/>
                                <a:ea typeface="+mn-ea"/>
                                <a:cs typeface="+mn-cs"/>
                              </a:rPr>
                              <m:t>𝑆𝑎𝑚𝑝𝑙𝑒</m:t>
                            </m:r>
                          </m:sub>
                        </m:sSub>
                      </m:den>
                    </m:f>
                    <m:r>
                      <m:rPr>
                        <m:nor/>
                      </m:rPr>
                      <a:rPr lang="en-ZA">
                        <a:effectLst/>
                      </a:rPr>
                      <m:t> </m:t>
                    </m:r>
                  </m:oMath>
                </m:oMathPara>
              </a14:m>
              <a:endParaRPr lang="en-GB" sz="1100"/>
            </a:p>
          </xdr:txBody>
        </xdr:sp>
      </mc:Choice>
      <mc:Fallback xmlns="">
        <xdr:sp macro="" textlink="">
          <xdr:nvSpPr>
            <xdr:cNvPr id="6" name="TextBox 5">
              <a:extLst>
                <a:ext uri="{FF2B5EF4-FFF2-40B4-BE49-F238E27FC236}">
                  <a16:creationId xmlns:a16="http://schemas.microsoft.com/office/drawing/2014/main" id="{F1C7BDEC-15F5-364B-8391-848224F03C53}"/>
                </a:ext>
              </a:extLst>
            </xdr:cNvPr>
            <xdr:cNvSpPr txBox="1"/>
          </xdr:nvSpPr>
          <xdr:spPr>
            <a:xfrm>
              <a:off x="4381500" y="774700"/>
              <a:ext cx="2410788" cy="4163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GB" sz="1100" i="0">
                  <a:solidFill>
                    <a:schemeClr val="tx1"/>
                  </a:solidFill>
                  <a:effectLst/>
                  <a:latin typeface="+mn-lt"/>
                  <a:ea typeface="+mn-ea"/>
                  <a:cs typeface="+mn-cs"/>
                </a:rPr>
                <a:t>𝐴𝑁𝐶=</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[𝑉­</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𝐻𝐶𝑙−(𝑉</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𝑁𝑎𝑂𝐻×𝐶)]×49</a:t>
              </a:r>
              <a:r>
                <a:rPr lang="en-GB" sz="1100" i="0">
                  <a:solidFill>
                    <a:schemeClr val="tx1"/>
                  </a:solidFill>
                  <a:effectLst/>
                  <a:latin typeface="Cambria Math" panose="02040503050406030204" pitchFamily="18" charset="0"/>
                  <a:ea typeface="Cambria Math" panose="02040503050406030204" pitchFamily="18" charset="0"/>
                  <a:cs typeface="+mn-cs"/>
                </a:rPr>
                <a:t>×</a:t>
              </a:r>
              <a:r>
                <a:rPr lang="en-US" sz="1100" b="0" i="0">
                  <a:solidFill>
                    <a:schemeClr val="tx1"/>
                  </a:solidFill>
                  <a:effectLst/>
                  <a:latin typeface="Cambria Math" panose="02040503050406030204" pitchFamily="18" charset="0"/>
                  <a:ea typeface="Cambria Math" panose="02040503050406030204" pitchFamily="18" charset="0"/>
                  <a:cs typeface="+mn-cs"/>
                </a:rPr>
                <a:t>𝑀_𝐻𝐶𝑙</a:t>
              </a:r>
              <a:r>
                <a:rPr lang="en-ZA" sz="1100" b="0" i="0">
                  <a:solidFill>
                    <a:schemeClr val="tx1"/>
                  </a:solidFill>
                  <a:effectLst/>
                  <a:latin typeface="+mn-lt"/>
                  <a:ea typeface="+mn-ea"/>
                  <a:cs typeface="+mn-cs"/>
                </a:rPr>
                <a:t>)/</a:t>
              </a:r>
              <a:r>
                <a:rPr lang="en-GB" sz="1100" i="0">
                  <a:solidFill>
                    <a:schemeClr val="tx1"/>
                  </a:solidFill>
                  <a:effectLst/>
                  <a:latin typeface="+mn-lt"/>
                  <a:ea typeface="+mn-ea"/>
                  <a:cs typeface="+mn-cs"/>
                </a:rPr>
                <a:t>𝑊</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𝑆𝑎𝑚𝑝𝑙𝑒 </a:t>
              </a:r>
              <a:r>
                <a:rPr lang="en-ZA" sz="1100" i="0">
                  <a:solidFill>
                    <a:schemeClr val="tx1"/>
                  </a:solidFill>
                  <a:effectLst/>
                  <a:latin typeface="+mn-lt"/>
                  <a:ea typeface="+mn-ea"/>
                  <a:cs typeface="+mn-cs"/>
                </a:rPr>
                <a:t> </a:t>
              </a:r>
              <a:r>
                <a:rPr lang="en-ZA" sz="1100" i="0">
                  <a:solidFill>
                    <a:schemeClr val="tx1"/>
                  </a:solidFill>
                  <a:effectLst/>
                  <a:latin typeface="Cambria Math" panose="02040503050406030204" pitchFamily="18" charset="0"/>
                  <a:ea typeface="+mn-ea"/>
                  <a:cs typeface="+mn-cs"/>
                </a:rPr>
                <a:t>"</a:t>
              </a:r>
              <a:r>
                <a:rPr lang="en-ZA" i="0">
                  <a:effectLst/>
                  <a:latin typeface="Cambria Math" panose="02040503050406030204" pitchFamily="18" charset="0"/>
                </a:rPr>
                <a:t> </a:t>
              </a:r>
              <a:r>
                <a:rPr lang="en-GB" i="0">
                  <a:effectLst/>
                </a:rPr>
                <a:t>"</a:t>
              </a:r>
              <a:endParaRPr lang="en-GB" sz="1100"/>
            </a:p>
          </xdr:txBody>
        </xdr:sp>
      </mc:Fallback>
    </mc:AlternateContent>
    <xdr:clientData/>
  </xdr:oneCellAnchor>
  <xdr:oneCellAnchor>
    <xdr:from>
      <xdr:col>2</xdr:col>
      <xdr:colOff>920750</xdr:colOff>
      <xdr:row>14</xdr:row>
      <xdr:rowOff>69850</xdr:rowOff>
    </xdr:from>
    <xdr:ext cx="1776961" cy="479362"/>
    <mc:AlternateContent xmlns:mc="http://schemas.openxmlformats.org/markup-compatibility/2006" xmlns:a14="http://schemas.microsoft.com/office/drawing/2010/main">
      <mc:Choice Requires="a14">
        <xdr:sp macro="" textlink="">
          <xdr:nvSpPr>
            <xdr:cNvPr id="7" name="TextBox 6">
              <a:extLst>
                <a:ext uri="{FF2B5EF4-FFF2-40B4-BE49-F238E27FC236}">
                  <a16:creationId xmlns:a16="http://schemas.microsoft.com/office/drawing/2014/main" id="{31C7F219-BAB2-914E-9EA3-9A2C8B673979}"/>
                </a:ext>
              </a:extLst>
            </xdr:cNvPr>
            <xdr:cNvSpPr txBox="1"/>
          </xdr:nvSpPr>
          <xdr:spPr>
            <a:xfrm>
              <a:off x="4984750" y="3448050"/>
              <a:ext cx="1776961" cy="4793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panose="02040503050406030204" pitchFamily="18" charset="0"/>
                        <a:ea typeface="+mn-ea"/>
                        <a:cs typeface="+mn-cs"/>
                      </a:rPr>
                      <m:t>𝑁𝑃</m:t>
                    </m:r>
                    <m:r>
                      <a:rPr lang="en-GB" sz="1100">
                        <a:solidFill>
                          <a:schemeClr val="tx1"/>
                        </a:solidFill>
                        <a:effectLst/>
                        <a:latin typeface="Cambria Math" panose="02040503050406030204" pitchFamily="18" charset="0"/>
                        <a:ea typeface="+mn-ea"/>
                        <a:cs typeface="+mn-cs"/>
                      </a:rPr>
                      <m:t>=</m:t>
                    </m:r>
                    <m:nary>
                      <m:naryPr>
                        <m:chr m:val="∑"/>
                        <m:limLoc m:val="undOvr"/>
                        <m:ctrlPr>
                          <a:rPr lang="en-ZA" sz="1100" i="1">
                            <a:solidFill>
                              <a:schemeClr val="tx1"/>
                            </a:solidFill>
                            <a:effectLst/>
                            <a:latin typeface="Cambria Math" panose="02040503050406030204" pitchFamily="18" charset="0"/>
                            <a:ea typeface="+mn-ea"/>
                            <a:cs typeface="+mn-cs"/>
                          </a:rPr>
                        </m:ctrlPr>
                      </m:naryPr>
                      <m:sub>
                        <m:r>
                          <a:rPr lang="en-GB" sz="1100" i="1">
                            <a:solidFill>
                              <a:schemeClr val="tx1"/>
                            </a:solidFill>
                            <a:effectLst/>
                            <a:latin typeface="Cambria Math" panose="02040503050406030204" pitchFamily="18" charset="0"/>
                            <a:ea typeface="+mn-ea"/>
                            <a:cs typeface="+mn-cs"/>
                          </a:rPr>
                          <m:t>𝑖</m:t>
                        </m:r>
                        <m:r>
                          <a:rPr lang="en-GB" sz="1100">
                            <a:solidFill>
                              <a:schemeClr val="tx1"/>
                            </a:solidFill>
                            <a:effectLst/>
                            <a:latin typeface="Cambria Math" panose="02040503050406030204" pitchFamily="18" charset="0"/>
                            <a:ea typeface="+mn-ea"/>
                            <a:cs typeface="+mn-cs"/>
                          </a:rPr>
                          <m:t>=1</m:t>
                        </m:r>
                      </m:sub>
                      <m:sup>
                        <m:r>
                          <a:rPr lang="en-GB" sz="1100" i="1">
                            <a:solidFill>
                              <a:schemeClr val="tx1"/>
                            </a:solidFill>
                            <a:effectLst/>
                            <a:latin typeface="Cambria Math" panose="02040503050406030204" pitchFamily="18" charset="0"/>
                            <a:ea typeface="+mn-ea"/>
                            <a:cs typeface="+mn-cs"/>
                          </a:rPr>
                          <m:t>𝑘</m:t>
                        </m:r>
                      </m:sup>
                      <m:e>
                        <m:f>
                          <m:fPr>
                            <m:ctrlPr>
                              <a:rPr lang="en-ZA" sz="1100" i="1">
                                <a:solidFill>
                                  <a:schemeClr val="tx1"/>
                                </a:solidFill>
                                <a:effectLst/>
                                <a:latin typeface="Cambria Math" panose="02040503050406030204" pitchFamily="18" charset="0"/>
                                <a:ea typeface="+mn-ea"/>
                                <a:cs typeface="+mn-cs"/>
                              </a:rPr>
                            </m:ctrlPr>
                          </m:fPr>
                          <m:num>
                            <m:r>
                              <a:rPr lang="en-GB" sz="1100">
                                <a:solidFill>
                                  <a:schemeClr val="tx1"/>
                                </a:solidFill>
                                <a:effectLst/>
                                <a:latin typeface="Cambria Math" panose="02040503050406030204" pitchFamily="18" charset="0"/>
                                <a:ea typeface="+mn-ea"/>
                                <a:cs typeface="+mn-cs"/>
                              </a:rPr>
                              <m:t>98×10×</m:t>
                            </m:r>
                            <m:r>
                              <a:rPr lang="en-GB" sz="1100" i="1">
                                <a:solidFill>
                                  <a:schemeClr val="tx1"/>
                                </a:solidFill>
                                <a:effectLst/>
                                <a:latin typeface="Cambria Math" panose="02040503050406030204" pitchFamily="18" charset="0"/>
                                <a:ea typeface="+mn-ea"/>
                                <a:cs typeface="+mn-cs"/>
                              </a:rPr>
                              <m:t>𝑋</m:t>
                            </m:r>
                            <m:sSub>
                              <m:sSubPr>
                                <m:ctrlPr>
                                  <a:rPr lang="en-ZA" sz="1100" i="1">
                                    <a:solidFill>
                                      <a:schemeClr val="tx1"/>
                                    </a:solidFill>
                                    <a:effectLst/>
                                    <a:latin typeface="Cambria Math" panose="02040503050406030204" pitchFamily="18" charset="0"/>
                                    <a:ea typeface="+mn-ea"/>
                                    <a:cs typeface="+mn-cs"/>
                                  </a:rPr>
                                </m:ctrlPr>
                              </m:sSubPr>
                              <m:e>
                                <m:r>
                                  <a:rPr lang="en-GB" sz="1100">
                                    <a:solidFill>
                                      <a:schemeClr val="tx1"/>
                                    </a:solidFill>
                                    <a:effectLst/>
                                    <a:latin typeface="Cambria Math" panose="02040503050406030204" pitchFamily="18" charset="0"/>
                                    <a:ea typeface="+mn-ea"/>
                                    <a:cs typeface="+mn-cs"/>
                                  </a:rPr>
                                  <m:t>­</m:t>
                                </m:r>
                              </m:e>
                              <m:sub>
                                <m:r>
                                  <a:rPr lang="en-GB" sz="1100" i="1">
                                    <a:solidFill>
                                      <a:schemeClr val="tx1"/>
                                    </a:solidFill>
                                    <a:effectLst/>
                                    <a:latin typeface="Cambria Math" panose="02040503050406030204" pitchFamily="18" charset="0"/>
                                    <a:ea typeface="+mn-ea"/>
                                    <a:cs typeface="+mn-cs"/>
                                  </a:rPr>
                                  <m:t>𝑖</m:t>
                                </m:r>
                              </m:sub>
                            </m:sSub>
                            <m:r>
                              <a:rPr lang="en-GB" sz="1100">
                                <a:solidFill>
                                  <a:schemeClr val="tx1"/>
                                </a:solidFill>
                                <a:effectLst/>
                                <a:latin typeface="Cambria Math" panose="02040503050406030204" pitchFamily="18" charset="0"/>
                                <a:ea typeface="+mn-ea"/>
                                <a:cs typeface="+mn-cs"/>
                              </a:rPr>
                              <m:t>×</m:t>
                            </m:r>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𝑐</m:t>
                                </m:r>
                              </m:e>
                              <m:sub>
                                <m:r>
                                  <a:rPr lang="en-GB" sz="1100" i="1">
                                    <a:solidFill>
                                      <a:schemeClr val="tx1"/>
                                    </a:solidFill>
                                    <a:effectLst/>
                                    <a:latin typeface="Cambria Math" panose="02040503050406030204" pitchFamily="18" charset="0"/>
                                    <a:ea typeface="+mn-ea"/>
                                    <a:cs typeface="+mn-cs"/>
                                  </a:rPr>
                                  <m:t>𝑖</m:t>
                                </m:r>
                              </m:sub>
                            </m:sSub>
                            <m:r>
                              <a:rPr lang="en-GB" sz="1100">
                                <a:solidFill>
                                  <a:schemeClr val="tx1"/>
                                </a:solidFill>
                                <a:effectLst/>
                                <a:latin typeface="Cambria Math" panose="02040503050406030204" pitchFamily="18" charset="0"/>
                                <a:ea typeface="+mn-ea"/>
                                <a:cs typeface="+mn-cs"/>
                              </a:rPr>
                              <m:t>×</m:t>
                            </m:r>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𝑛</m:t>
                                </m:r>
                              </m:e>
                              <m:sub>
                                <m:r>
                                  <a:rPr lang="en-GB" sz="1100" i="1">
                                    <a:solidFill>
                                      <a:schemeClr val="tx1"/>
                                    </a:solidFill>
                                    <a:effectLst/>
                                    <a:latin typeface="Cambria Math" panose="02040503050406030204" pitchFamily="18" charset="0"/>
                                    <a:ea typeface="+mn-ea"/>
                                    <a:cs typeface="+mn-cs"/>
                                  </a:rPr>
                                  <m:t>𝑠</m:t>
                                </m:r>
                              </m:sub>
                            </m:sSub>
                          </m:num>
                          <m:den>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𝑛</m:t>
                                </m:r>
                              </m:e>
                              <m:sub>
                                <m:r>
                                  <a:rPr lang="en-GB" sz="1100" i="1">
                                    <a:solidFill>
                                      <a:schemeClr val="tx1"/>
                                    </a:solidFill>
                                    <a:effectLst/>
                                    <a:latin typeface="Cambria Math" panose="02040503050406030204" pitchFamily="18" charset="0"/>
                                    <a:ea typeface="+mn-ea"/>
                                    <a:cs typeface="+mn-cs"/>
                                  </a:rPr>
                                  <m:t>𝑖</m:t>
                                </m:r>
                              </m:sub>
                            </m:sSub>
                            <m:r>
                              <a:rPr lang="en-GB" sz="1100">
                                <a:solidFill>
                                  <a:schemeClr val="tx1"/>
                                </a:solidFill>
                                <a:effectLst/>
                                <a:latin typeface="Cambria Math" panose="02040503050406030204" pitchFamily="18" charset="0"/>
                                <a:ea typeface="+mn-ea"/>
                                <a:cs typeface="+mn-cs"/>
                              </a:rPr>
                              <m:t>×</m:t>
                            </m:r>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𝜔</m:t>
                                </m:r>
                              </m:e>
                              <m:sub>
                                <m:r>
                                  <a:rPr lang="en-GB" sz="1100" i="1">
                                    <a:solidFill>
                                      <a:schemeClr val="tx1"/>
                                    </a:solidFill>
                                    <a:effectLst/>
                                    <a:latin typeface="Cambria Math" panose="02040503050406030204" pitchFamily="18" charset="0"/>
                                    <a:ea typeface="+mn-ea"/>
                                    <a:cs typeface="+mn-cs"/>
                                  </a:rPr>
                                  <m:t>𝑖</m:t>
                                </m:r>
                              </m:sub>
                            </m:sSub>
                          </m:den>
                        </m:f>
                      </m:e>
                    </m:nary>
                    <m:r>
                      <m:rPr>
                        <m:nor/>
                      </m:rPr>
                      <a:rPr lang="en-ZA">
                        <a:effectLst/>
                      </a:rPr>
                      <m:t> </m:t>
                    </m:r>
                  </m:oMath>
                </m:oMathPara>
              </a14:m>
              <a:endParaRPr lang="en-GB" sz="1100"/>
            </a:p>
          </xdr:txBody>
        </xdr:sp>
      </mc:Choice>
      <mc:Fallback xmlns="">
        <xdr:sp macro="" textlink="">
          <xdr:nvSpPr>
            <xdr:cNvPr id="7" name="TextBox 6">
              <a:extLst>
                <a:ext uri="{FF2B5EF4-FFF2-40B4-BE49-F238E27FC236}">
                  <a16:creationId xmlns:a16="http://schemas.microsoft.com/office/drawing/2014/main" id="{31C7F219-BAB2-914E-9EA3-9A2C8B673979}"/>
                </a:ext>
              </a:extLst>
            </xdr:cNvPr>
            <xdr:cNvSpPr txBox="1"/>
          </xdr:nvSpPr>
          <xdr:spPr>
            <a:xfrm>
              <a:off x="4984750" y="3448050"/>
              <a:ext cx="1776961" cy="4793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GB" sz="1100" i="0">
                  <a:solidFill>
                    <a:schemeClr val="tx1"/>
                  </a:solidFill>
                  <a:effectLst/>
                  <a:latin typeface="+mn-lt"/>
                  <a:ea typeface="+mn-ea"/>
                  <a:cs typeface="+mn-cs"/>
                </a:rPr>
                <a:t>𝑁𝑃=</a:t>
              </a:r>
              <a:r>
                <a:rPr lang="en-ZA" sz="1100" i="0">
                  <a:solidFill>
                    <a:schemeClr val="tx1"/>
                  </a:solidFill>
                  <a:effectLst/>
                  <a:latin typeface="+mn-lt"/>
                  <a:ea typeface="+mn-ea"/>
                  <a:cs typeface="+mn-cs"/>
                </a:rPr>
                <a:t>∑1</a:t>
              </a:r>
              <a:r>
                <a:rPr lang="en-GB" sz="1100" i="0">
                  <a:solidFill>
                    <a:schemeClr val="tx1"/>
                  </a:solidFill>
                  <a:effectLst/>
                  <a:latin typeface="+mn-lt"/>
                  <a:ea typeface="+mn-ea"/>
                  <a:cs typeface="+mn-cs"/>
                </a:rPr>
                <a:t>_</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𝑖=1</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^𝑘▒</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98×10×𝑋­</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𝑖×𝑐</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𝑖×𝑛</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𝑠</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𝑛</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𝑖×𝜔</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𝑖 </a:t>
              </a:r>
              <a:r>
                <a:rPr lang="en-ZA" sz="1100" i="0">
                  <a:solidFill>
                    <a:schemeClr val="tx1"/>
                  </a:solidFill>
                  <a:effectLst/>
                  <a:latin typeface="+mn-lt"/>
                  <a:ea typeface="+mn-ea"/>
                  <a:cs typeface="+mn-cs"/>
                </a:rPr>
                <a:t>) </a:t>
              </a:r>
              <a:r>
                <a:rPr lang="en-ZA" sz="1100" i="0">
                  <a:solidFill>
                    <a:schemeClr val="tx1"/>
                  </a:solidFill>
                  <a:effectLst/>
                  <a:latin typeface="Cambria Math" panose="02040503050406030204" pitchFamily="18" charset="0"/>
                  <a:ea typeface="+mn-ea"/>
                  <a:cs typeface="+mn-cs"/>
                </a:rPr>
                <a:t>"</a:t>
              </a:r>
              <a:r>
                <a:rPr lang="en-ZA" i="0">
                  <a:effectLst/>
                  <a:latin typeface="Cambria Math" panose="02040503050406030204" pitchFamily="18" charset="0"/>
                </a:rPr>
                <a:t> </a:t>
              </a:r>
              <a:r>
                <a:rPr lang="en-GB" i="0">
                  <a:effectLst/>
                </a:rPr>
                <a:t>"</a:t>
              </a:r>
              <a:endParaRPr lang="en-GB" sz="1100"/>
            </a:p>
          </xdr:txBody>
        </xdr:sp>
      </mc:Fallback>
    </mc:AlternateContent>
    <xdr:clientData/>
  </xdr:oneCellAnchor>
  <xdr:oneCellAnchor>
    <xdr:from>
      <xdr:col>2</xdr:col>
      <xdr:colOff>933450</xdr:colOff>
      <xdr:row>17</xdr:row>
      <xdr:rowOff>69850</xdr:rowOff>
    </xdr:from>
    <xdr:ext cx="1567609" cy="462114"/>
    <mc:AlternateContent xmlns:mc="http://schemas.openxmlformats.org/markup-compatibility/2006" xmlns:a14="http://schemas.microsoft.com/office/drawing/2010/main">
      <mc:Choice Requires="a14">
        <xdr:sp macro="" textlink="">
          <xdr:nvSpPr>
            <xdr:cNvPr id="8" name="TextBox 7">
              <a:extLst>
                <a:ext uri="{FF2B5EF4-FFF2-40B4-BE49-F238E27FC236}">
                  <a16:creationId xmlns:a16="http://schemas.microsoft.com/office/drawing/2014/main" id="{BE9D790F-222F-1E4F-BB5B-E96D0F8589C8}"/>
                </a:ext>
              </a:extLst>
            </xdr:cNvPr>
            <xdr:cNvSpPr txBox="1"/>
          </xdr:nvSpPr>
          <xdr:spPr>
            <a:xfrm>
              <a:off x="4997450" y="4133850"/>
              <a:ext cx="1567609" cy="462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GB" sz="1100" i="1">
                        <a:solidFill>
                          <a:schemeClr val="tx1"/>
                        </a:solidFill>
                        <a:effectLst/>
                        <a:latin typeface="Cambria Math" panose="02040503050406030204" pitchFamily="18" charset="0"/>
                        <a:ea typeface="+mn-ea"/>
                        <a:cs typeface="+mn-cs"/>
                      </a:rPr>
                      <m:t>𝐴𝑃</m:t>
                    </m:r>
                    <m:r>
                      <a:rPr lang="en-GB" sz="1100">
                        <a:solidFill>
                          <a:schemeClr val="tx1"/>
                        </a:solidFill>
                        <a:effectLst/>
                        <a:latin typeface="Cambria Math" panose="02040503050406030204" pitchFamily="18" charset="0"/>
                        <a:ea typeface="+mn-ea"/>
                        <a:cs typeface="+mn-cs"/>
                      </a:rPr>
                      <m:t>=</m:t>
                    </m:r>
                    <m:nary>
                      <m:naryPr>
                        <m:chr m:val="∑"/>
                        <m:limLoc m:val="undOvr"/>
                        <m:ctrlPr>
                          <a:rPr lang="en-ZA" sz="1100" i="1">
                            <a:solidFill>
                              <a:schemeClr val="tx1"/>
                            </a:solidFill>
                            <a:effectLst/>
                            <a:latin typeface="Cambria Math" panose="02040503050406030204" pitchFamily="18" charset="0"/>
                            <a:ea typeface="+mn-ea"/>
                            <a:cs typeface="+mn-cs"/>
                          </a:rPr>
                        </m:ctrlPr>
                      </m:naryPr>
                      <m:sub>
                        <m:r>
                          <a:rPr lang="en-GB" sz="1100" i="1">
                            <a:solidFill>
                              <a:schemeClr val="tx1"/>
                            </a:solidFill>
                            <a:effectLst/>
                            <a:latin typeface="Cambria Math" panose="02040503050406030204" pitchFamily="18" charset="0"/>
                            <a:ea typeface="+mn-ea"/>
                            <a:cs typeface="+mn-cs"/>
                          </a:rPr>
                          <m:t>𝑠</m:t>
                        </m:r>
                        <m:r>
                          <a:rPr lang="en-GB" sz="1100">
                            <a:solidFill>
                              <a:schemeClr val="tx1"/>
                            </a:solidFill>
                            <a:effectLst/>
                            <a:latin typeface="Cambria Math" panose="02040503050406030204" pitchFamily="18" charset="0"/>
                            <a:ea typeface="+mn-ea"/>
                            <a:cs typeface="+mn-cs"/>
                          </a:rPr>
                          <m:t>=1</m:t>
                        </m:r>
                      </m:sub>
                      <m:sup>
                        <m:r>
                          <a:rPr lang="en-GB" sz="1100" i="1">
                            <a:solidFill>
                              <a:schemeClr val="tx1"/>
                            </a:solidFill>
                            <a:effectLst/>
                            <a:latin typeface="Cambria Math" panose="02040503050406030204" pitchFamily="18" charset="0"/>
                            <a:ea typeface="+mn-ea"/>
                            <a:cs typeface="+mn-cs"/>
                          </a:rPr>
                          <m:t>𝑚</m:t>
                        </m:r>
                      </m:sup>
                      <m:e>
                        <m:f>
                          <m:fPr>
                            <m:ctrlPr>
                              <a:rPr lang="en-ZA" sz="1100" i="1">
                                <a:solidFill>
                                  <a:schemeClr val="tx1"/>
                                </a:solidFill>
                                <a:effectLst/>
                                <a:latin typeface="Cambria Math" panose="02040503050406030204" pitchFamily="18" charset="0"/>
                                <a:ea typeface="+mn-ea"/>
                                <a:cs typeface="+mn-cs"/>
                              </a:rPr>
                            </m:ctrlPr>
                          </m:fPr>
                          <m:num>
                            <m:r>
                              <a:rPr lang="en-GB" sz="1100">
                                <a:solidFill>
                                  <a:schemeClr val="tx1"/>
                                </a:solidFill>
                                <a:effectLst/>
                                <a:latin typeface="Cambria Math" panose="02040503050406030204" pitchFamily="18" charset="0"/>
                                <a:ea typeface="+mn-ea"/>
                                <a:cs typeface="+mn-cs"/>
                              </a:rPr>
                              <m:t>98×10×</m:t>
                            </m:r>
                            <m:r>
                              <a:rPr lang="en-GB" sz="1100" i="1">
                                <a:solidFill>
                                  <a:schemeClr val="tx1"/>
                                </a:solidFill>
                                <a:effectLst/>
                                <a:latin typeface="Cambria Math" panose="02040503050406030204" pitchFamily="18" charset="0"/>
                                <a:ea typeface="+mn-ea"/>
                                <a:cs typeface="+mn-cs"/>
                              </a:rPr>
                              <m:t>𝑋</m:t>
                            </m:r>
                            <m:sSub>
                              <m:sSubPr>
                                <m:ctrlPr>
                                  <a:rPr lang="en-ZA" sz="1100" i="1">
                                    <a:solidFill>
                                      <a:schemeClr val="tx1"/>
                                    </a:solidFill>
                                    <a:effectLst/>
                                    <a:latin typeface="Cambria Math" panose="02040503050406030204" pitchFamily="18" charset="0"/>
                                    <a:ea typeface="+mn-ea"/>
                                    <a:cs typeface="+mn-cs"/>
                                  </a:rPr>
                                </m:ctrlPr>
                              </m:sSubPr>
                              <m:e>
                                <m:r>
                                  <a:rPr lang="en-GB" sz="1100">
                                    <a:solidFill>
                                      <a:schemeClr val="tx1"/>
                                    </a:solidFill>
                                    <a:effectLst/>
                                    <a:latin typeface="Cambria Math" panose="02040503050406030204" pitchFamily="18" charset="0"/>
                                    <a:ea typeface="+mn-ea"/>
                                    <a:cs typeface="+mn-cs"/>
                                  </a:rPr>
                                  <m:t>­</m:t>
                                </m:r>
                              </m:e>
                              <m:sub>
                                <m:r>
                                  <a:rPr lang="en-GB" sz="1100" i="1">
                                    <a:solidFill>
                                      <a:schemeClr val="tx1"/>
                                    </a:solidFill>
                                    <a:effectLst/>
                                    <a:latin typeface="Cambria Math" panose="02040503050406030204" pitchFamily="18" charset="0"/>
                                    <a:ea typeface="+mn-ea"/>
                                    <a:cs typeface="+mn-cs"/>
                                  </a:rPr>
                                  <m:t>𝑠</m:t>
                                </m:r>
                              </m:sub>
                            </m:sSub>
                            <m:r>
                              <a:rPr lang="en-GB" sz="1100">
                                <a:solidFill>
                                  <a:schemeClr val="tx1"/>
                                </a:solidFill>
                                <a:effectLst/>
                                <a:latin typeface="Cambria Math" panose="02040503050406030204" pitchFamily="18" charset="0"/>
                                <a:ea typeface="+mn-ea"/>
                                <a:cs typeface="+mn-cs"/>
                              </a:rPr>
                              <m:t>×</m:t>
                            </m:r>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𝑛</m:t>
                                </m:r>
                              </m:e>
                              <m:sub>
                                <m:r>
                                  <a:rPr lang="en-GB" sz="1100" i="1">
                                    <a:solidFill>
                                      <a:schemeClr val="tx1"/>
                                    </a:solidFill>
                                    <a:effectLst/>
                                    <a:latin typeface="Cambria Math" panose="02040503050406030204" pitchFamily="18" charset="0"/>
                                    <a:ea typeface="+mn-ea"/>
                                    <a:cs typeface="+mn-cs"/>
                                  </a:rPr>
                                  <m:t>𝑠</m:t>
                                </m:r>
                              </m:sub>
                            </m:sSub>
                          </m:num>
                          <m:den>
                            <m:sSub>
                              <m:sSubPr>
                                <m:ctrlPr>
                                  <a:rPr lang="en-ZA" sz="1100" i="1">
                                    <a:solidFill>
                                      <a:schemeClr val="tx1"/>
                                    </a:solidFill>
                                    <a:effectLst/>
                                    <a:latin typeface="Cambria Math" panose="02040503050406030204" pitchFamily="18" charset="0"/>
                                    <a:ea typeface="+mn-ea"/>
                                    <a:cs typeface="+mn-cs"/>
                                  </a:rPr>
                                </m:ctrlPr>
                              </m:sSubPr>
                              <m:e>
                                <m:r>
                                  <a:rPr lang="en-GB" sz="1100" i="1">
                                    <a:solidFill>
                                      <a:schemeClr val="tx1"/>
                                    </a:solidFill>
                                    <a:effectLst/>
                                    <a:latin typeface="Cambria Math" panose="02040503050406030204" pitchFamily="18" charset="0"/>
                                    <a:ea typeface="+mn-ea"/>
                                    <a:cs typeface="+mn-cs"/>
                                  </a:rPr>
                                  <m:t>𝑤</m:t>
                                </m:r>
                              </m:e>
                              <m:sub>
                                <m:r>
                                  <a:rPr lang="en-GB" sz="1100" i="1">
                                    <a:solidFill>
                                      <a:schemeClr val="tx1"/>
                                    </a:solidFill>
                                    <a:effectLst/>
                                    <a:latin typeface="Cambria Math" panose="02040503050406030204" pitchFamily="18" charset="0"/>
                                    <a:ea typeface="+mn-ea"/>
                                    <a:cs typeface="+mn-cs"/>
                                  </a:rPr>
                                  <m:t>𝑠</m:t>
                                </m:r>
                              </m:sub>
                            </m:sSub>
                          </m:den>
                        </m:f>
                      </m:e>
                    </m:nary>
                    <m:r>
                      <m:rPr>
                        <m:nor/>
                      </m:rPr>
                      <a:rPr lang="en-ZA">
                        <a:effectLst/>
                      </a:rPr>
                      <m:t> </m:t>
                    </m:r>
                  </m:oMath>
                </m:oMathPara>
              </a14:m>
              <a:endParaRPr lang="en-GB" sz="1100"/>
            </a:p>
          </xdr:txBody>
        </xdr:sp>
      </mc:Choice>
      <mc:Fallback xmlns="">
        <xdr:sp macro="" textlink="">
          <xdr:nvSpPr>
            <xdr:cNvPr id="8" name="TextBox 7">
              <a:extLst>
                <a:ext uri="{FF2B5EF4-FFF2-40B4-BE49-F238E27FC236}">
                  <a16:creationId xmlns:a16="http://schemas.microsoft.com/office/drawing/2014/main" id="{BE9D790F-222F-1E4F-BB5B-E96D0F8589C8}"/>
                </a:ext>
              </a:extLst>
            </xdr:cNvPr>
            <xdr:cNvSpPr txBox="1"/>
          </xdr:nvSpPr>
          <xdr:spPr>
            <a:xfrm>
              <a:off x="4997450" y="4133850"/>
              <a:ext cx="1567609" cy="46211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GB" sz="1100" i="0">
                  <a:solidFill>
                    <a:schemeClr val="tx1"/>
                  </a:solidFill>
                  <a:effectLst/>
                  <a:latin typeface="+mn-lt"/>
                  <a:ea typeface="+mn-ea"/>
                  <a:cs typeface="+mn-cs"/>
                </a:rPr>
                <a:t>𝐴𝑃=</a:t>
              </a:r>
              <a:r>
                <a:rPr lang="en-ZA" sz="1100" i="0">
                  <a:solidFill>
                    <a:schemeClr val="tx1"/>
                  </a:solidFill>
                  <a:effectLst/>
                  <a:latin typeface="+mn-lt"/>
                  <a:ea typeface="+mn-ea"/>
                  <a:cs typeface="+mn-cs"/>
                </a:rPr>
                <a:t>∑1</a:t>
              </a:r>
              <a:r>
                <a:rPr lang="en-GB" sz="1100" i="0">
                  <a:solidFill>
                    <a:schemeClr val="tx1"/>
                  </a:solidFill>
                  <a:effectLst/>
                  <a:latin typeface="+mn-lt"/>
                  <a:ea typeface="+mn-ea"/>
                  <a:cs typeface="+mn-cs"/>
                </a:rPr>
                <a:t>_</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𝑠=1</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^𝑚▒</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98×10×𝑋­</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𝑠×𝑛</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𝑠</a:t>
              </a:r>
              <a:r>
                <a:rPr lang="en-ZA" sz="1100" i="0">
                  <a:solidFill>
                    <a:schemeClr val="tx1"/>
                  </a:solidFill>
                  <a:effectLst/>
                  <a:latin typeface="+mn-lt"/>
                  <a:ea typeface="+mn-ea"/>
                  <a:cs typeface="+mn-cs"/>
                </a:rPr>
                <a:t>)/</a:t>
              </a:r>
              <a:r>
                <a:rPr lang="en-GB" sz="1100" i="0">
                  <a:solidFill>
                    <a:schemeClr val="tx1"/>
                  </a:solidFill>
                  <a:effectLst/>
                  <a:latin typeface="+mn-lt"/>
                  <a:ea typeface="+mn-ea"/>
                  <a:cs typeface="+mn-cs"/>
                </a:rPr>
                <a:t>𝑤</a:t>
              </a:r>
              <a:r>
                <a:rPr lang="en-ZA" sz="1100" i="0">
                  <a:solidFill>
                    <a:schemeClr val="tx1"/>
                  </a:solidFill>
                  <a:effectLst/>
                  <a:latin typeface="+mn-lt"/>
                  <a:ea typeface="+mn-ea"/>
                  <a:cs typeface="+mn-cs"/>
                </a:rPr>
                <a:t>_</a:t>
              </a:r>
              <a:r>
                <a:rPr lang="en-GB" sz="1100" i="0">
                  <a:solidFill>
                    <a:schemeClr val="tx1"/>
                  </a:solidFill>
                  <a:effectLst/>
                  <a:latin typeface="+mn-lt"/>
                  <a:ea typeface="+mn-ea"/>
                  <a:cs typeface="+mn-cs"/>
                </a:rPr>
                <a:t>𝑠 </a:t>
              </a:r>
              <a:r>
                <a:rPr lang="en-ZA" sz="1100" i="0">
                  <a:solidFill>
                    <a:schemeClr val="tx1"/>
                  </a:solidFill>
                  <a:effectLst/>
                  <a:latin typeface="+mn-lt"/>
                  <a:ea typeface="+mn-ea"/>
                  <a:cs typeface="+mn-cs"/>
                </a:rPr>
                <a:t> </a:t>
              </a:r>
              <a:r>
                <a:rPr lang="en-ZA" sz="1100" i="0">
                  <a:solidFill>
                    <a:schemeClr val="tx1"/>
                  </a:solidFill>
                  <a:effectLst/>
                  <a:latin typeface="Cambria Math" panose="02040503050406030204" pitchFamily="18" charset="0"/>
                  <a:ea typeface="+mn-ea"/>
                  <a:cs typeface="+mn-cs"/>
                </a:rPr>
                <a:t>"</a:t>
              </a:r>
              <a:r>
                <a:rPr lang="en-ZA" i="0">
                  <a:effectLst/>
                  <a:latin typeface="Cambria Math" panose="02040503050406030204" pitchFamily="18" charset="0"/>
                </a:rPr>
                <a:t> </a:t>
              </a:r>
              <a:r>
                <a:rPr lang="en-GB" i="0">
                  <a:effectLst/>
                </a:rPr>
                <a:t>"</a:t>
              </a:r>
              <a:endParaRPr lang="en-GB" sz="1100"/>
            </a:p>
          </xdr:txBody>
        </xdr:sp>
      </mc:Fallback>
    </mc:AlternateContent>
    <xdr:clientData/>
  </xdr:oneCellAnchor>
  <xdr:oneCellAnchor>
    <xdr:from>
      <xdr:col>6</xdr:col>
      <xdr:colOff>69850</xdr:colOff>
      <xdr:row>1</xdr:row>
      <xdr:rowOff>196850</xdr:rowOff>
    </xdr:from>
    <xdr:ext cx="4277838" cy="320344"/>
    <mc:AlternateContent xmlns:mc="http://schemas.openxmlformats.org/markup-compatibility/2006" xmlns:a14="http://schemas.microsoft.com/office/drawing/2010/main">
      <mc:Choice Requires="a14">
        <xdr:sp macro="" textlink="">
          <xdr:nvSpPr>
            <xdr:cNvPr id="4" name="TextBox 3">
              <a:extLst>
                <a:ext uri="{FF2B5EF4-FFF2-40B4-BE49-F238E27FC236}">
                  <a16:creationId xmlns:a16="http://schemas.microsoft.com/office/drawing/2014/main" id="{BD65984B-38A8-B147-9B77-788BEBF51A69}"/>
                </a:ext>
              </a:extLst>
            </xdr:cNvPr>
            <xdr:cNvSpPr txBox="1"/>
          </xdr:nvSpPr>
          <xdr:spPr>
            <a:xfrm>
              <a:off x="8705850" y="425450"/>
              <a:ext cx="4277838" cy="320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𝑃𝑦𝑟𝑖𝑡𝑒</m:t>
                    </m:r>
                    <m:r>
                      <a:rPr lang="en-US" sz="1100" b="0" i="1">
                        <a:latin typeface="Cambria Math" panose="02040503050406030204" pitchFamily="18" charset="0"/>
                      </a:rPr>
                      <m:t>: </m:t>
                    </m:r>
                    <m:r>
                      <a:rPr lang="en-US" sz="1100" b="0" i="1">
                        <a:latin typeface="Cambria Math" panose="02040503050406030204" pitchFamily="18" charset="0"/>
                      </a:rPr>
                      <m:t>𝐹𝑒</m:t>
                    </m:r>
                    <m:sSub>
                      <m:sSubPr>
                        <m:ctrlPr>
                          <a:rPr lang="en-US" sz="1100" b="0" i="1">
                            <a:latin typeface="Cambria Math" panose="02040503050406030204" pitchFamily="18" charset="0"/>
                          </a:rPr>
                        </m:ctrlPr>
                      </m:sSubPr>
                      <m:e>
                        <m:r>
                          <a:rPr lang="en-US" sz="1100" b="0" i="1">
                            <a:latin typeface="Cambria Math" panose="02040503050406030204" pitchFamily="18" charset="0"/>
                          </a:rPr>
                          <m:t>𝑆</m:t>
                        </m:r>
                      </m:e>
                      <m:sub>
                        <m:r>
                          <a:rPr lang="en-US" sz="1100" b="0" i="1">
                            <a:latin typeface="Cambria Math" panose="02040503050406030204" pitchFamily="18" charset="0"/>
                          </a:rPr>
                          <m:t>2(</m:t>
                        </m:r>
                        <m:r>
                          <a:rPr lang="en-US" sz="1100" b="0" i="1">
                            <a:latin typeface="Cambria Math" panose="02040503050406030204" pitchFamily="18" charset="0"/>
                          </a:rPr>
                          <m:t>𝑠</m:t>
                        </m:r>
                        <m:r>
                          <a:rPr lang="en-US" sz="1100" b="0" i="1">
                            <a:latin typeface="Cambria Math" panose="02040503050406030204" pitchFamily="18" charset="0"/>
                          </a:rPr>
                          <m:t>)</m:t>
                        </m:r>
                      </m:sub>
                    </m:sSub>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15</m:t>
                        </m:r>
                      </m:num>
                      <m:den>
                        <m:r>
                          <a:rPr lang="en-US" sz="1100" b="0" i="1">
                            <a:latin typeface="Cambria Math" panose="02040503050406030204" pitchFamily="18" charset="0"/>
                          </a:rPr>
                          <m:t>4</m:t>
                        </m:r>
                      </m:den>
                    </m:f>
                    <m:sSub>
                      <m:sSubPr>
                        <m:ctrlPr>
                          <a:rPr lang="en-US" sz="1100" b="0" i="1">
                            <a:latin typeface="Cambria Math" panose="02040503050406030204" pitchFamily="18" charset="0"/>
                          </a:rPr>
                        </m:ctrlPr>
                      </m:sSubPr>
                      <m:e>
                        <m:r>
                          <a:rPr lang="en-US" sz="1100" b="0" i="1">
                            <a:latin typeface="Cambria Math" panose="02040503050406030204" pitchFamily="18" charset="0"/>
                          </a:rPr>
                          <m:t>𝑂</m:t>
                        </m:r>
                      </m:e>
                      <m:sub>
                        <m:r>
                          <a:rPr lang="en-US" sz="1100" b="0" i="1">
                            <a:latin typeface="Cambria Math" panose="02040503050406030204" pitchFamily="18" charset="0"/>
                          </a:rPr>
                          <m:t>2(</m:t>
                        </m:r>
                        <m:r>
                          <a:rPr lang="en-US" sz="1100" b="0" i="1">
                            <a:latin typeface="Cambria Math" panose="02040503050406030204" pitchFamily="18" charset="0"/>
                          </a:rPr>
                          <m:t>𝑔</m:t>
                        </m:r>
                        <m:r>
                          <a:rPr lang="en-US" sz="1100" b="0" i="1">
                            <a:latin typeface="Cambria Math" panose="02040503050406030204" pitchFamily="18" charset="0"/>
                          </a:rPr>
                          <m:t>)</m:t>
                        </m:r>
                      </m:sub>
                    </m:sSub>
                    <m:r>
                      <a:rPr lang="en-US" sz="1100" b="0" i="1">
                        <a:latin typeface="Cambria Math" panose="02040503050406030204" pitchFamily="18" charset="0"/>
                      </a:rPr>
                      <m:t>+</m:t>
                    </m:r>
                    <m:f>
                      <m:fPr>
                        <m:ctrlPr>
                          <a:rPr lang="en-US" sz="1100" b="0" i="1">
                            <a:latin typeface="Cambria Math" panose="02040503050406030204" pitchFamily="18" charset="0"/>
                          </a:rPr>
                        </m:ctrlPr>
                      </m:fPr>
                      <m:num>
                        <m:r>
                          <a:rPr lang="en-US" sz="1100" b="0" i="1">
                            <a:latin typeface="Cambria Math" panose="02040503050406030204" pitchFamily="18" charset="0"/>
                          </a:rPr>
                          <m:t>7</m:t>
                        </m:r>
                      </m:num>
                      <m:den>
                        <m:r>
                          <a:rPr lang="en-US" sz="1100" b="0" i="1">
                            <a:latin typeface="Cambria Math" panose="02040503050406030204" pitchFamily="18" charset="0"/>
                          </a:rPr>
                          <m:t>2</m:t>
                        </m:r>
                      </m:den>
                    </m:f>
                    <m:sSub>
                      <m:sSubPr>
                        <m:ctrlPr>
                          <a:rPr lang="en-US" sz="1100" b="0" i="1">
                            <a:latin typeface="Cambria Math" panose="02040503050406030204" pitchFamily="18" charset="0"/>
                          </a:rPr>
                        </m:ctrlPr>
                      </m:sSubPr>
                      <m:e>
                        <m:r>
                          <a:rPr lang="en-US" sz="1100" b="0" i="1">
                            <a:latin typeface="Cambria Math" panose="02040503050406030204" pitchFamily="18" charset="0"/>
                          </a:rPr>
                          <m:t>𝐻</m:t>
                        </m:r>
                      </m:e>
                      <m:sub>
                        <m:r>
                          <a:rPr lang="en-US" sz="1100" b="0" i="1">
                            <a:latin typeface="Cambria Math" panose="02040503050406030204" pitchFamily="18" charset="0"/>
                          </a:rPr>
                          <m:t>2</m:t>
                        </m:r>
                      </m:sub>
                    </m:sSub>
                    <m:sSub>
                      <m:sSubPr>
                        <m:ctrlPr>
                          <a:rPr lang="en-US" sz="1100" b="0" i="1">
                            <a:latin typeface="Cambria Math" panose="02040503050406030204" pitchFamily="18" charset="0"/>
                          </a:rPr>
                        </m:ctrlPr>
                      </m:sSubPr>
                      <m:e>
                        <m:r>
                          <a:rPr lang="en-US" sz="1100" b="0" i="1">
                            <a:latin typeface="Cambria Math" panose="02040503050406030204" pitchFamily="18" charset="0"/>
                          </a:rPr>
                          <m:t>𝑂</m:t>
                        </m:r>
                      </m:e>
                      <m:sub>
                        <m:r>
                          <a:rPr lang="en-US" sz="1100" b="0" i="1">
                            <a:latin typeface="Cambria Math" panose="02040503050406030204" pitchFamily="18" charset="0"/>
                          </a:rPr>
                          <m:t>(</m:t>
                        </m:r>
                        <m:r>
                          <a:rPr lang="en-US" sz="1100" b="0" i="1">
                            <a:latin typeface="Cambria Math" panose="02040503050406030204" pitchFamily="18" charset="0"/>
                          </a:rPr>
                          <m:t>𝑙</m:t>
                        </m:r>
                        <m:r>
                          <a:rPr lang="en-US" sz="1100" b="0" i="1">
                            <a:latin typeface="Cambria Math" panose="02040503050406030204" pitchFamily="18" charset="0"/>
                          </a:rPr>
                          <m:t>)</m:t>
                        </m:r>
                      </m:sub>
                    </m:sSub>
                    <m:r>
                      <a:rPr lang="en-US" sz="1100" b="0" i="1">
                        <a:latin typeface="Cambria Math" panose="02040503050406030204" pitchFamily="18" charset="0"/>
                      </a:rPr>
                      <m:t>→</m:t>
                    </m:r>
                    <m:r>
                      <a:rPr lang="en-US" sz="1100" b="0" i="1">
                        <a:latin typeface="Cambria Math" panose="02040503050406030204" pitchFamily="18" charset="0"/>
                      </a:rPr>
                      <m:t>𝐹𝑒</m:t>
                    </m:r>
                    <m:sSub>
                      <m:sSubPr>
                        <m:ctrlPr>
                          <a:rPr lang="en-US" sz="1100" b="0" i="1">
                            <a:latin typeface="Cambria Math" panose="02040503050406030204" pitchFamily="18" charset="0"/>
                          </a:rPr>
                        </m:ctrlPr>
                      </m:sSubPr>
                      <m:e>
                        <m:d>
                          <m:dPr>
                            <m:ctrlPr>
                              <a:rPr lang="en-US" sz="1100" b="0" i="1">
                                <a:latin typeface="Cambria Math" panose="02040503050406030204" pitchFamily="18" charset="0"/>
                              </a:rPr>
                            </m:ctrlPr>
                          </m:dPr>
                          <m:e>
                            <m:r>
                              <a:rPr lang="en-US" sz="1100" b="0" i="1">
                                <a:latin typeface="Cambria Math" panose="02040503050406030204" pitchFamily="18" charset="0"/>
                              </a:rPr>
                              <m:t>𝑂𝐻</m:t>
                            </m:r>
                          </m:e>
                        </m:d>
                      </m:e>
                      <m:sub>
                        <m:r>
                          <a:rPr lang="en-US" sz="1100" b="0" i="1">
                            <a:latin typeface="Cambria Math" panose="02040503050406030204" pitchFamily="18" charset="0"/>
                          </a:rPr>
                          <m:t>3(</m:t>
                        </m:r>
                        <m:r>
                          <a:rPr lang="en-US" sz="1100" b="0" i="1">
                            <a:latin typeface="Cambria Math" panose="02040503050406030204" pitchFamily="18" charset="0"/>
                          </a:rPr>
                          <m:t>𝑠</m:t>
                        </m:r>
                        <m:r>
                          <a:rPr lang="en-US" sz="1100" b="0" i="1">
                            <a:latin typeface="Cambria Math" panose="02040503050406030204" pitchFamily="18" charset="0"/>
                          </a:rPr>
                          <m:t>)</m:t>
                        </m:r>
                      </m:sub>
                    </m:sSub>
                    <m:r>
                      <a:rPr lang="en-US" sz="1100" b="0" i="1">
                        <a:latin typeface="Cambria Math" panose="02040503050406030204" pitchFamily="18" charset="0"/>
                      </a:rPr>
                      <m:t>+2</m:t>
                    </m:r>
                    <m:r>
                      <a:rPr lang="en-US" sz="1100" b="0" i="1">
                        <a:latin typeface="Cambria Math" panose="02040503050406030204" pitchFamily="18" charset="0"/>
                      </a:rPr>
                      <m:t>𝑆</m:t>
                    </m:r>
                    <m:sSubSup>
                      <m:sSubSupPr>
                        <m:ctrlPr>
                          <a:rPr lang="en-US" sz="1100" b="0" i="1">
                            <a:latin typeface="Cambria Math" panose="02040503050406030204" pitchFamily="18" charset="0"/>
                          </a:rPr>
                        </m:ctrlPr>
                      </m:sSubSupPr>
                      <m:e>
                        <m:r>
                          <a:rPr lang="en-US" sz="1100" b="0" i="1">
                            <a:latin typeface="Cambria Math" panose="02040503050406030204" pitchFamily="18" charset="0"/>
                          </a:rPr>
                          <m:t>𝑂</m:t>
                        </m:r>
                      </m:e>
                      <m:sub>
                        <m:r>
                          <a:rPr lang="en-US" sz="1100" b="0" i="1">
                            <a:latin typeface="Cambria Math" panose="02040503050406030204" pitchFamily="18" charset="0"/>
                          </a:rPr>
                          <m:t>4(</m:t>
                        </m:r>
                        <m:r>
                          <a:rPr lang="en-US" sz="1100" b="0" i="1">
                            <a:latin typeface="Cambria Math" panose="02040503050406030204" pitchFamily="18" charset="0"/>
                          </a:rPr>
                          <m:t>𝑎𝑞</m:t>
                        </m:r>
                        <m:r>
                          <a:rPr lang="en-US" sz="1100" b="0" i="1">
                            <a:latin typeface="Cambria Math" panose="02040503050406030204" pitchFamily="18" charset="0"/>
                          </a:rPr>
                          <m:t>)</m:t>
                        </m:r>
                      </m:sub>
                      <m:sup>
                        <m:r>
                          <a:rPr lang="en-US" sz="1100" b="0" i="1">
                            <a:latin typeface="Cambria Math" panose="02040503050406030204" pitchFamily="18" charset="0"/>
                          </a:rPr>
                          <m:t>2−</m:t>
                        </m:r>
                      </m:sup>
                    </m:sSubSup>
                    <m:r>
                      <a:rPr lang="en-US" sz="1100" b="0" i="1">
                        <a:latin typeface="Cambria Math" panose="02040503050406030204" pitchFamily="18" charset="0"/>
                      </a:rPr>
                      <m:t>+4</m:t>
                    </m:r>
                    <m:sSubSup>
                      <m:sSubSupPr>
                        <m:ctrlPr>
                          <a:rPr lang="en-US" sz="1100" b="0" i="1">
                            <a:latin typeface="Cambria Math" panose="02040503050406030204" pitchFamily="18" charset="0"/>
                          </a:rPr>
                        </m:ctrlPr>
                      </m:sSubSupPr>
                      <m:e>
                        <m:r>
                          <a:rPr lang="ru-RU" sz="1100" b="0" i="1">
                            <a:latin typeface="Cambria Math" panose="02040503050406030204" pitchFamily="18" charset="0"/>
                          </a:rPr>
                          <m:t>𝐻</m:t>
                        </m:r>
                      </m:e>
                      <m:sub>
                        <m:r>
                          <a:rPr lang="en-US" sz="1100" b="0" i="1">
                            <a:latin typeface="Cambria Math" panose="02040503050406030204" pitchFamily="18" charset="0"/>
                          </a:rPr>
                          <m:t>𝑎𝑞</m:t>
                        </m:r>
                      </m:sub>
                      <m:sup>
                        <m:r>
                          <a:rPr lang="en-US" sz="1100" b="0" i="1">
                            <a:latin typeface="Cambria Math" panose="02040503050406030204" pitchFamily="18" charset="0"/>
                          </a:rPr>
                          <m:t>+</m:t>
                        </m:r>
                      </m:sup>
                    </m:sSubSup>
                  </m:oMath>
                </m:oMathPara>
              </a14:m>
              <a:endParaRPr lang="en-US" sz="1100" b="0"/>
            </a:p>
          </xdr:txBody>
        </xdr:sp>
      </mc:Choice>
      <mc:Fallback xmlns="">
        <xdr:sp macro="" textlink="">
          <xdr:nvSpPr>
            <xdr:cNvPr id="4" name="TextBox 3">
              <a:extLst>
                <a:ext uri="{FF2B5EF4-FFF2-40B4-BE49-F238E27FC236}">
                  <a16:creationId xmlns:a16="http://schemas.microsoft.com/office/drawing/2014/main" id="{BD65984B-38A8-B147-9B77-788BEBF51A69}"/>
                </a:ext>
              </a:extLst>
            </xdr:cNvPr>
            <xdr:cNvSpPr txBox="1"/>
          </xdr:nvSpPr>
          <xdr:spPr>
            <a:xfrm>
              <a:off x="8705850" y="425450"/>
              <a:ext cx="4277838" cy="3203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𝑃𝑦𝑟𝑖𝑡𝑒: 𝐹𝑒𝑆_(2(𝑠))+15/4 𝑂_(2(𝑔))+7/2 𝐻_2 𝑂_((𝑙))→𝐹𝑒(𝑂𝐻)_(3(𝑠))+2𝑆𝑂_(4(𝑎𝑞))^(2−)+4</a:t>
              </a:r>
              <a:r>
                <a:rPr lang="ru-RU" sz="1100" b="0" i="0">
                  <a:latin typeface="Cambria Math" panose="02040503050406030204" pitchFamily="18" charset="0"/>
                </a:rPr>
                <a:t>𝐻</a:t>
              </a:r>
              <a:r>
                <a:rPr lang="en-US" sz="1100" b="0" i="0">
                  <a:latin typeface="Cambria Math" panose="02040503050406030204" pitchFamily="18" charset="0"/>
                </a:rPr>
                <a:t>_𝑎𝑞^+</a:t>
              </a:r>
              <a:endParaRPr lang="en-US" sz="1100" b="0"/>
            </a:p>
          </xdr:txBody>
        </xdr:sp>
      </mc:Fallback>
    </mc:AlternateContent>
    <xdr:clientData/>
  </xdr:oneCellAnchor>
  <xdr:oneCellAnchor>
    <xdr:from>
      <xdr:col>6</xdr:col>
      <xdr:colOff>0</xdr:colOff>
      <xdr:row>4</xdr:row>
      <xdr:rowOff>12700</xdr:rowOff>
    </xdr:from>
    <xdr:ext cx="5175327" cy="201850"/>
    <mc:AlternateContent xmlns:mc="http://schemas.openxmlformats.org/markup-compatibility/2006" xmlns:a14="http://schemas.microsoft.com/office/drawing/2010/main">
      <mc:Choice Requires="a14">
        <xdr:sp macro="" textlink="">
          <xdr:nvSpPr>
            <xdr:cNvPr id="9" name="TextBox 8">
              <a:extLst>
                <a:ext uri="{FF2B5EF4-FFF2-40B4-BE49-F238E27FC236}">
                  <a16:creationId xmlns:a16="http://schemas.microsoft.com/office/drawing/2014/main" id="{CA35A4AF-EBB4-FD41-B64D-A12A1BEF62F8}"/>
                </a:ext>
              </a:extLst>
            </xdr:cNvPr>
            <xdr:cNvSpPr txBox="1"/>
          </xdr:nvSpPr>
          <xdr:spPr>
            <a:xfrm>
              <a:off x="8636000" y="927100"/>
              <a:ext cx="5175327" cy="20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𝑃𝑦𝑟𝑟h𝑜𝑡𝑖𝑡𝑒</m:t>
                    </m:r>
                    <m:r>
                      <a:rPr lang="en-US" sz="1100" b="0" i="1">
                        <a:latin typeface="Cambria Math" panose="02040503050406030204" pitchFamily="18" charset="0"/>
                      </a:rPr>
                      <m:t>: </m:t>
                    </m:r>
                    <m:r>
                      <a:rPr lang="en-US" sz="1100" b="0" i="1">
                        <a:latin typeface="Cambria Math" panose="02040503050406030204" pitchFamily="18" charset="0"/>
                      </a:rPr>
                      <m:t>𝐹</m:t>
                    </m:r>
                    <m:sSub>
                      <m:sSubPr>
                        <m:ctrlPr>
                          <a:rPr lang="en-US" sz="1100" b="0" i="1">
                            <a:latin typeface="Cambria Math" panose="02040503050406030204" pitchFamily="18" charset="0"/>
                          </a:rPr>
                        </m:ctrlPr>
                      </m:sSubPr>
                      <m:e>
                        <m:r>
                          <a:rPr lang="en-US" sz="1100" b="0" i="1">
                            <a:latin typeface="Cambria Math" panose="02040503050406030204" pitchFamily="18" charset="0"/>
                          </a:rPr>
                          <m:t>𝑒</m:t>
                        </m:r>
                      </m:e>
                      <m:sub>
                        <m:r>
                          <a:rPr lang="en-US" sz="1100" b="0" i="1">
                            <a:latin typeface="Cambria Math" panose="02040503050406030204" pitchFamily="18" charset="0"/>
                          </a:rPr>
                          <m:t>0.9</m:t>
                        </m:r>
                      </m:sub>
                    </m:sSub>
                    <m:sSub>
                      <m:sSubPr>
                        <m:ctrlPr>
                          <a:rPr lang="en-US" sz="1100" b="0" i="1">
                            <a:latin typeface="Cambria Math" panose="02040503050406030204" pitchFamily="18" charset="0"/>
                          </a:rPr>
                        </m:ctrlPr>
                      </m:sSubPr>
                      <m:e>
                        <m:r>
                          <a:rPr lang="en-US" sz="1100" b="0" i="1">
                            <a:latin typeface="Cambria Math" panose="02040503050406030204" pitchFamily="18" charset="0"/>
                          </a:rPr>
                          <m:t>𝑆</m:t>
                        </m:r>
                      </m:e>
                      <m:sub>
                        <m:r>
                          <a:rPr lang="en-US" sz="1100" b="0" i="1">
                            <a:latin typeface="Cambria Math" panose="02040503050406030204" pitchFamily="18" charset="0"/>
                          </a:rPr>
                          <m:t>(</m:t>
                        </m:r>
                        <m:r>
                          <a:rPr lang="en-US" sz="1100" b="0" i="1">
                            <a:latin typeface="Cambria Math" panose="02040503050406030204" pitchFamily="18" charset="0"/>
                          </a:rPr>
                          <m:t>𝑠</m:t>
                        </m:r>
                        <m:r>
                          <a:rPr lang="en-US" sz="1100" b="0" i="1">
                            <a:latin typeface="Cambria Math" panose="02040503050406030204" pitchFamily="18" charset="0"/>
                          </a:rPr>
                          <m:t>)</m:t>
                        </m:r>
                      </m:sub>
                    </m:sSub>
                    <m:r>
                      <a:rPr lang="en-US" sz="1100" b="0" i="1">
                        <a:latin typeface="Cambria Math" panose="02040503050406030204" pitchFamily="18" charset="0"/>
                      </a:rPr>
                      <m:t>+2.175</m:t>
                    </m:r>
                    <m:sSub>
                      <m:sSubPr>
                        <m:ctrlPr>
                          <a:rPr lang="en-US" sz="1100" b="0" i="1">
                            <a:latin typeface="Cambria Math" panose="02040503050406030204" pitchFamily="18" charset="0"/>
                          </a:rPr>
                        </m:ctrlPr>
                      </m:sSubPr>
                      <m:e>
                        <m:r>
                          <a:rPr lang="en-US" sz="1100" b="0" i="1">
                            <a:latin typeface="Cambria Math" panose="02040503050406030204" pitchFamily="18" charset="0"/>
                          </a:rPr>
                          <m:t>𝑂</m:t>
                        </m:r>
                      </m:e>
                      <m:sub>
                        <m:r>
                          <a:rPr lang="en-US" sz="1100" b="0" i="1">
                            <a:latin typeface="Cambria Math" panose="02040503050406030204" pitchFamily="18" charset="0"/>
                          </a:rPr>
                          <m:t>2(</m:t>
                        </m:r>
                        <m:r>
                          <a:rPr lang="en-US" sz="1100" b="0" i="1">
                            <a:latin typeface="Cambria Math" panose="02040503050406030204" pitchFamily="18" charset="0"/>
                          </a:rPr>
                          <m:t>𝑔</m:t>
                        </m:r>
                        <m:r>
                          <a:rPr lang="en-US" sz="1100" b="0" i="1">
                            <a:latin typeface="Cambria Math" panose="02040503050406030204" pitchFamily="18" charset="0"/>
                          </a:rPr>
                          <m:t>)</m:t>
                        </m:r>
                      </m:sub>
                    </m:sSub>
                    <m:r>
                      <a:rPr lang="en-US" sz="1100" b="0" i="1">
                        <a:latin typeface="Cambria Math" panose="02040503050406030204" pitchFamily="18" charset="0"/>
                      </a:rPr>
                      <m:t>+2.35</m:t>
                    </m:r>
                    <m:sSub>
                      <m:sSubPr>
                        <m:ctrlPr>
                          <a:rPr lang="en-US" sz="1100" b="0" i="1">
                            <a:latin typeface="Cambria Math" panose="02040503050406030204" pitchFamily="18" charset="0"/>
                          </a:rPr>
                        </m:ctrlPr>
                      </m:sSubPr>
                      <m:e>
                        <m:r>
                          <a:rPr lang="en-US" sz="1100" b="0" i="1">
                            <a:latin typeface="Cambria Math" panose="02040503050406030204" pitchFamily="18" charset="0"/>
                          </a:rPr>
                          <m:t>𝐻</m:t>
                        </m:r>
                      </m:e>
                      <m:sub>
                        <m:r>
                          <a:rPr lang="en-US" sz="1100" b="0" i="1">
                            <a:latin typeface="Cambria Math" panose="02040503050406030204" pitchFamily="18" charset="0"/>
                          </a:rPr>
                          <m:t>2</m:t>
                        </m:r>
                      </m:sub>
                    </m:sSub>
                    <m:sSub>
                      <m:sSubPr>
                        <m:ctrlPr>
                          <a:rPr lang="en-US" sz="1100" b="0" i="1">
                            <a:latin typeface="Cambria Math" panose="02040503050406030204" pitchFamily="18" charset="0"/>
                          </a:rPr>
                        </m:ctrlPr>
                      </m:sSubPr>
                      <m:e>
                        <m:r>
                          <a:rPr lang="en-US" sz="1100" b="0" i="1">
                            <a:latin typeface="Cambria Math" panose="02040503050406030204" pitchFamily="18" charset="0"/>
                          </a:rPr>
                          <m:t>𝑂</m:t>
                        </m:r>
                      </m:e>
                      <m:sub>
                        <m:r>
                          <a:rPr lang="en-US" sz="1100" b="0" i="1">
                            <a:latin typeface="Cambria Math" panose="02040503050406030204" pitchFamily="18" charset="0"/>
                          </a:rPr>
                          <m:t>(</m:t>
                        </m:r>
                        <m:r>
                          <a:rPr lang="en-US" sz="1100" b="0" i="1">
                            <a:latin typeface="Cambria Math" panose="02040503050406030204" pitchFamily="18" charset="0"/>
                          </a:rPr>
                          <m:t>𝑙</m:t>
                        </m:r>
                        <m:r>
                          <a:rPr lang="en-US" sz="1100" b="0" i="1">
                            <a:latin typeface="Cambria Math" panose="02040503050406030204" pitchFamily="18" charset="0"/>
                          </a:rPr>
                          <m:t>)</m:t>
                        </m:r>
                      </m:sub>
                    </m:sSub>
                    <m:r>
                      <a:rPr lang="en-US" sz="1100" b="0" i="1">
                        <a:latin typeface="Cambria Math" panose="02040503050406030204" pitchFamily="18" charset="0"/>
                      </a:rPr>
                      <m:t>→0.9</m:t>
                    </m:r>
                    <m:r>
                      <a:rPr lang="en-US" sz="1100" b="0" i="1">
                        <a:latin typeface="Cambria Math" panose="02040503050406030204" pitchFamily="18" charset="0"/>
                      </a:rPr>
                      <m:t>𝐹𝑒</m:t>
                    </m:r>
                    <m:sSub>
                      <m:sSubPr>
                        <m:ctrlPr>
                          <a:rPr lang="en-US" sz="1100" b="0" i="1">
                            <a:latin typeface="Cambria Math" panose="02040503050406030204" pitchFamily="18" charset="0"/>
                          </a:rPr>
                        </m:ctrlPr>
                      </m:sSubPr>
                      <m:e>
                        <m:d>
                          <m:dPr>
                            <m:ctrlPr>
                              <a:rPr lang="en-US" sz="1100" b="0" i="1">
                                <a:latin typeface="Cambria Math" panose="02040503050406030204" pitchFamily="18" charset="0"/>
                              </a:rPr>
                            </m:ctrlPr>
                          </m:dPr>
                          <m:e>
                            <m:r>
                              <a:rPr lang="en-US" sz="1100" b="0" i="1">
                                <a:latin typeface="Cambria Math" panose="02040503050406030204" pitchFamily="18" charset="0"/>
                              </a:rPr>
                              <m:t>𝑂𝐻</m:t>
                            </m:r>
                          </m:e>
                        </m:d>
                      </m:e>
                      <m:sub>
                        <m:r>
                          <a:rPr lang="en-US" sz="1100" b="0" i="1">
                            <a:latin typeface="Cambria Math" panose="02040503050406030204" pitchFamily="18" charset="0"/>
                          </a:rPr>
                          <m:t>3(</m:t>
                        </m:r>
                        <m:r>
                          <a:rPr lang="en-US" sz="1100" b="0" i="1">
                            <a:latin typeface="Cambria Math" panose="02040503050406030204" pitchFamily="18" charset="0"/>
                          </a:rPr>
                          <m:t>𝑠</m:t>
                        </m:r>
                        <m:r>
                          <a:rPr lang="en-US" sz="1100" b="0" i="1">
                            <a:latin typeface="Cambria Math" panose="02040503050406030204" pitchFamily="18" charset="0"/>
                          </a:rPr>
                          <m:t>)</m:t>
                        </m:r>
                      </m:sub>
                    </m:sSub>
                    <m:r>
                      <a:rPr lang="en-US" sz="1100" b="0" i="1">
                        <a:latin typeface="Cambria Math" panose="02040503050406030204" pitchFamily="18" charset="0"/>
                      </a:rPr>
                      <m:t>+</m:t>
                    </m:r>
                    <m:r>
                      <a:rPr lang="en-US" sz="1100" b="0" i="1">
                        <a:latin typeface="Cambria Math" panose="02040503050406030204" pitchFamily="18" charset="0"/>
                      </a:rPr>
                      <m:t>𝑆</m:t>
                    </m:r>
                    <m:sSubSup>
                      <m:sSubSupPr>
                        <m:ctrlPr>
                          <a:rPr lang="en-US" sz="1100" b="0" i="1">
                            <a:latin typeface="Cambria Math" panose="02040503050406030204" pitchFamily="18" charset="0"/>
                          </a:rPr>
                        </m:ctrlPr>
                      </m:sSubSupPr>
                      <m:e>
                        <m:r>
                          <a:rPr lang="en-US" sz="1100" b="0" i="1">
                            <a:latin typeface="Cambria Math" panose="02040503050406030204" pitchFamily="18" charset="0"/>
                          </a:rPr>
                          <m:t>𝑂</m:t>
                        </m:r>
                      </m:e>
                      <m:sub>
                        <m:r>
                          <a:rPr lang="en-US" sz="1100" b="0" i="1">
                            <a:latin typeface="Cambria Math" panose="02040503050406030204" pitchFamily="18" charset="0"/>
                          </a:rPr>
                          <m:t>4(</m:t>
                        </m:r>
                        <m:r>
                          <a:rPr lang="en-US" sz="1100" b="0" i="1">
                            <a:latin typeface="Cambria Math" panose="02040503050406030204" pitchFamily="18" charset="0"/>
                          </a:rPr>
                          <m:t>𝑎𝑞</m:t>
                        </m:r>
                        <m:r>
                          <a:rPr lang="en-US" sz="1100" b="0" i="1">
                            <a:latin typeface="Cambria Math" panose="02040503050406030204" pitchFamily="18" charset="0"/>
                          </a:rPr>
                          <m:t>)</m:t>
                        </m:r>
                      </m:sub>
                      <m:sup>
                        <m:r>
                          <a:rPr lang="en-US" sz="1100" b="0" i="1">
                            <a:latin typeface="Cambria Math" panose="02040503050406030204" pitchFamily="18" charset="0"/>
                          </a:rPr>
                          <m:t>2−</m:t>
                        </m:r>
                      </m:sup>
                    </m:sSubSup>
                    <m:r>
                      <a:rPr lang="en-US" sz="1100" b="0" i="1">
                        <a:latin typeface="Cambria Math" panose="02040503050406030204" pitchFamily="18" charset="0"/>
                      </a:rPr>
                      <m:t>+2</m:t>
                    </m:r>
                    <m:sSubSup>
                      <m:sSubSupPr>
                        <m:ctrlPr>
                          <a:rPr lang="en-US" sz="1100" b="0" i="1">
                            <a:latin typeface="Cambria Math" panose="02040503050406030204" pitchFamily="18" charset="0"/>
                          </a:rPr>
                        </m:ctrlPr>
                      </m:sSubSupPr>
                      <m:e>
                        <m:r>
                          <a:rPr lang="ru-RU" sz="1100" b="0" i="1">
                            <a:latin typeface="Cambria Math" panose="02040503050406030204" pitchFamily="18" charset="0"/>
                          </a:rPr>
                          <m:t>𝐻</m:t>
                        </m:r>
                      </m:e>
                      <m:sub>
                        <m:r>
                          <a:rPr lang="en-US" sz="1100" b="0" i="1">
                            <a:latin typeface="Cambria Math" panose="02040503050406030204" pitchFamily="18" charset="0"/>
                          </a:rPr>
                          <m:t>𝑎𝑞</m:t>
                        </m:r>
                      </m:sub>
                      <m:sup>
                        <m:r>
                          <a:rPr lang="en-US" sz="1100" b="0" i="1">
                            <a:latin typeface="Cambria Math" panose="02040503050406030204" pitchFamily="18" charset="0"/>
                          </a:rPr>
                          <m:t>+</m:t>
                        </m:r>
                      </m:sup>
                    </m:sSubSup>
                  </m:oMath>
                </m:oMathPara>
              </a14:m>
              <a:endParaRPr lang="en-US" sz="1100" b="0"/>
            </a:p>
          </xdr:txBody>
        </xdr:sp>
      </mc:Choice>
      <mc:Fallback xmlns="">
        <xdr:sp macro="" textlink="">
          <xdr:nvSpPr>
            <xdr:cNvPr id="9" name="TextBox 8">
              <a:extLst>
                <a:ext uri="{FF2B5EF4-FFF2-40B4-BE49-F238E27FC236}">
                  <a16:creationId xmlns:a16="http://schemas.microsoft.com/office/drawing/2014/main" id="{CA35A4AF-EBB4-FD41-B64D-A12A1BEF62F8}"/>
                </a:ext>
              </a:extLst>
            </xdr:cNvPr>
            <xdr:cNvSpPr txBox="1"/>
          </xdr:nvSpPr>
          <xdr:spPr>
            <a:xfrm>
              <a:off x="8636000" y="927100"/>
              <a:ext cx="5175327" cy="201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𝑃𝑦𝑟𝑟ℎ𝑜𝑡𝑖𝑡𝑒: 𝐹𝑒_0.9 𝑆_((𝑠))+2.175𝑂_(2(𝑔))+2.35𝐻_2 𝑂_((𝑙))→0.9𝐹𝑒(𝑂𝐻)_(3(𝑠))+𝑆𝑂_(4(𝑎𝑞))^(2−)+2</a:t>
              </a:r>
              <a:r>
                <a:rPr lang="ru-RU" sz="1100" b="0" i="0">
                  <a:latin typeface="Cambria Math" panose="02040503050406030204" pitchFamily="18" charset="0"/>
                </a:rPr>
                <a:t>𝐻</a:t>
              </a:r>
              <a:r>
                <a:rPr lang="en-US" sz="1100" b="0" i="0">
                  <a:latin typeface="Cambria Math" panose="02040503050406030204" pitchFamily="18" charset="0"/>
                </a:rPr>
                <a:t>_𝑎𝑞^+</a:t>
              </a:r>
              <a:endParaRPr lang="en-US" sz="1100" b="0"/>
            </a:p>
          </xdr:txBody>
        </xdr:sp>
      </mc:Fallback>
    </mc:AlternateContent>
    <xdr:clientData/>
  </xdr:oneCellAnchor>
  <xdr:oneCellAnchor>
    <xdr:from>
      <xdr:col>6</xdr:col>
      <xdr:colOff>38100</xdr:colOff>
      <xdr:row>6</xdr:row>
      <xdr:rowOff>12700</xdr:rowOff>
    </xdr:from>
    <xdr:ext cx="3333861" cy="177613"/>
    <mc:AlternateContent xmlns:mc="http://schemas.openxmlformats.org/markup-compatibility/2006" xmlns:a14="http://schemas.microsoft.com/office/drawing/2010/main">
      <mc:Choice Requires="a14">
        <xdr:sp macro="" textlink="">
          <xdr:nvSpPr>
            <xdr:cNvPr id="10" name="TextBox 9">
              <a:extLst>
                <a:ext uri="{FF2B5EF4-FFF2-40B4-BE49-F238E27FC236}">
                  <a16:creationId xmlns:a16="http://schemas.microsoft.com/office/drawing/2014/main" id="{7A21076E-AD56-5A46-8B29-241FCE1731A5}"/>
                </a:ext>
              </a:extLst>
            </xdr:cNvPr>
            <xdr:cNvSpPr txBox="1"/>
          </xdr:nvSpPr>
          <xdr:spPr>
            <a:xfrm>
              <a:off x="8674100" y="1346200"/>
              <a:ext cx="3333861" cy="177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n-US" sz="1100" b="0" i="1">
                        <a:latin typeface="Cambria Math" panose="02040503050406030204" pitchFamily="18" charset="0"/>
                      </a:rPr>
                      <m:t>𝐶𝑎𝑙𝑐𝑖𝑡𝑒</m:t>
                    </m:r>
                    <m:r>
                      <a:rPr lang="en-US" sz="1100" b="0" i="1">
                        <a:latin typeface="Cambria Math" panose="02040503050406030204" pitchFamily="18" charset="0"/>
                      </a:rPr>
                      <m:t>:</m:t>
                    </m:r>
                    <m:r>
                      <a:rPr lang="en-US" sz="1100" b="0" i="1">
                        <a:latin typeface="Cambria Math" panose="02040503050406030204" pitchFamily="18" charset="0"/>
                      </a:rPr>
                      <m:t>𝐶𝑎𝐶</m:t>
                    </m:r>
                    <m:sSub>
                      <m:sSubPr>
                        <m:ctrlPr>
                          <a:rPr lang="en-US" sz="1100" b="0" i="1">
                            <a:latin typeface="Cambria Math" panose="02040503050406030204" pitchFamily="18" charset="0"/>
                          </a:rPr>
                        </m:ctrlPr>
                      </m:sSubPr>
                      <m:e>
                        <m:r>
                          <a:rPr lang="en-US" sz="1100" b="0" i="1">
                            <a:latin typeface="Cambria Math" panose="02040503050406030204" pitchFamily="18" charset="0"/>
                          </a:rPr>
                          <m:t>𝑂</m:t>
                        </m:r>
                      </m:e>
                      <m:sub>
                        <m:r>
                          <a:rPr lang="en-US" sz="1100" b="0" i="1">
                            <a:latin typeface="Cambria Math" panose="02040503050406030204" pitchFamily="18" charset="0"/>
                          </a:rPr>
                          <m:t>3</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𝐻</m:t>
                        </m:r>
                      </m:e>
                      <m:sub>
                        <m:r>
                          <a:rPr lang="en-US" sz="1100" b="0" i="1">
                            <a:latin typeface="Cambria Math" panose="02040503050406030204" pitchFamily="18" charset="0"/>
                          </a:rPr>
                          <m:t>2</m:t>
                        </m:r>
                      </m:sub>
                    </m:sSub>
                    <m:r>
                      <a:rPr lang="en-US" sz="1100" b="0" i="1">
                        <a:latin typeface="Cambria Math" panose="02040503050406030204" pitchFamily="18" charset="0"/>
                      </a:rPr>
                      <m:t>𝑆</m:t>
                    </m:r>
                    <m:sSub>
                      <m:sSubPr>
                        <m:ctrlPr>
                          <a:rPr lang="en-US" sz="1100" b="0" i="1">
                            <a:latin typeface="Cambria Math" panose="02040503050406030204" pitchFamily="18" charset="0"/>
                          </a:rPr>
                        </m:ctrlPr>
                      </m:sSubPr>
                      <m:e>
                        <m:r>
                          <a:rPr lang="en-US" sz="1100" b="0" i="1">
                            <a:latin typeface="Cambria Math" panose="02040503050406030204" pitchFamily="18" charset="0"/>
                          </a:rPr>
                          <m:t>𝑂</m:t>
                        </m:r>
                      </m:e>
                      <m:sub>
                        <m:r>
                          <a:rPr lang="en-US" sz="1100" b="0" i="1">
                            <a:latin typeface="Cambria Math" panose="02040503050406030204" pitchFamily="18" charset="0"/>
                          </a:rPr>
                          <m:t>4</m:t>
                        </m:r>
                      </m:sub>
                    </m:sSub>
                    <m:r>
                      <a:rPr lang="en-US" sz="1100" b="0" i="1">
                        <a:latin typeface="Cambria Math" panose="02040503050406030204" pitchFamily="18" charset="0"/>
                      </a:rPr>
                      <m:t>→</m:t>
                    </m:r>
                    <m:r>
                      <a:rPr lang="en-US" sz="1100" b="0" i="1">
                        <a:latin typeface="Cambria Math" panose="02040503050406030204" pitchFamily="18" charset="0"/>
                      </a:rPr>
                      <m:t>𝐶</m:t>
                    </m:r>
                    <m:sSup>
                      <m:sSupPr>
                        <m:ctrlPr>
                          <a:rPr lang="en-US" sz="1100" b="0" i="1">
                            <a:latin typeface="Cambria Math" panose="02040503050406030204" pitchFamily="18" charset="0"/>
                          </a:rPr>
                        </m:ctrlPr>
                      </m:sSupPr>
                      <m:e>
                        <m:r>
                          <a:rPr lang="en-US" sz="1100" b="0" i="1">
                            <a:latin typeface="Cambria Math" panose="02040503050406030204" pitchFamily="18" charset="0"/>
                          </a:rPr>
                          <m:t>𝑎</m:t>
                        </m:r>
                      </m:e>
                      <m:sup>
                        <m:r>
                          <a:rPr lang="en-US" sz="1100" b="0" i="1">
                            <a:latin typeface="Cambria Math" panose="02040503050406030204" pitchFamily="18" charset="0"/>
                          </a:rPr>
                          <m:t>2+</m:t>
                        </m:r>
                      </m:sup>
                    </m:sSup>
                    <m:r>
                      <a:rPr lang="en-US" sz="1100" b="0" i="1">
                        <a:latin typeface="Cambria Math" panose="02040503050406030204" pitchFamily="18" charset="0"/>
                      </a:rPr>
                      <m:t>+</m:t>
                    </m:r>
                    <m:r>
                      <a:rPr lang="en-US" sz="1100" b="0" i="1">
                        <a:latin typeface="Cambria Math" panose="02040503050406030204" pitchFamily="18" charset="0"/>
                      </a:rPr>
                      <m:t>𝐶</m:t>
                    </m:r>
                    <m:sSub>
                      <m:sSubPr>
                        <m:ctrlPr>
                          <a:rPr lang="en-US" sz="1100" b="0" i="1">
                            <a:latin typeface="Cambria Math" panose="02040503050406030204" pitchFamily="18" charset="0"/>
                          </a:rPr>
                        </m:ctrlPr>
                      </m:sSubPr>
                      <m:e>
                        <m:r>
                          <a:rPr lang="en-US" sz="1100" b="0" i="1">
                            <a:latin typeface="Cambria Math" panose="02040503050406030204" pitchFamily="18" charset="0"/>
                          </a:rPr>
                          <m:t>𝑂</m:t>
                        </m:r>
                      </m:e>
                      <m:sub>
                        <m:r>
                          <a:rPr lang="en-US" sz="1100" b="0" i="1">
                            <a:latin typeface="Cambria Math" panose="02040503050406030204" pitchFamily="18" charset="0"/>
                          </a:rPr>
                          <m:t>2</m:t>
                        </m:r>
                      </m:sub>
                    </m:sSub>
                    <m:r>
                      <a:rPr lang="en-US" sz="1100" b="0" i="1">
                        <a:latin typeface="Cambria Math" panose="02040503050406030204" pitchFamily="18" charset="0"/>
                      </a:rPr>
                      <m:t>+</m:t>
                    </m:r>
                    <m:sSub>
                      <m:sSubPr>
                        <m:ctrlPr>
                          <a:rPr lang="en-US" sz="1100" b="0" i="1">
                            <a:latin typeface="Cambria Math" panose="02040503050406030204" pitchFamily="18" charset="0"/>
                          </a:rPr>
                        </m:ctrlPr>
                      </m:sSubPr>
                      <m:e>
                        <m:r>
                          <a:rPr lang="en-US" sz="1100" b="0" i="1">
                            <a:latin typeface="Cambria Math" panose="02040503050406030204" pitchFamily="18" charset="0"/>
                          </a:rPr>
                          <m:t>𝐻</m:t>
                        </m:r>
                      </m:e>
                      <m:sub>
                        <m:r>
                          <a:rPr lang="en-US" sz="1100" b="0" i="1">
                            <a:latin typeface="Cambria Math" panose="02040503050406030204" pitchFamily="18" charset="0"/>
                          </a:rPr>
                          <m:t>2</m:t>
                        </m:r>
                      </m:sub>
                    </m:sSub>
                    <m:r>
                      <a:rPr lang="en-US" sz="1100" b="0" i="1">
                        <a:latin typeface="Cambria Math" panose="02040503050406030204" pitchFamily="18" charset="0"/>
                      </a:rPr>
                      <m:t>𝑂</m:t>
                    </m:r>
                    <m:r>
                      <a:rPr lang="en-US" sz="1100" b="0" i="1">
                        <a:latin typeface="Cambria Math" panose="02040503050406030204" pitchFamily="18" charset="0"/>
                      </a:rPr>
                      <m:t>+</m:t>
                    </m:r>
                    <m:r>
                      <a:rPr lang="en-US" sz="1100" b="0" i="1">
                        <a:latin typeface="Cambria Math" panose="02040503050406030204" pitchFamily="18" charset="0"/>
                      </a:rPr>
                      <m:t>𝑆</m:t>
                    </m:r>
                    <m:sSubSup>
                      <m:sSubSupPr>
                        <m:ctrlPr>
                          <a:rPr lang="en-US" sz="1100" b="0" i="1">
                            <a:latin typeface="Cambria Math" panose="02040503050406030204" pitchFamily="18" charset="0"/>
                          </a:rPr>
                        </m:ctrlPr>
                      </m:sSubSupPr>
                      <m:e>
                        <m:r>
                          <a:rPr lang="en-US" sz="1100" b="0" i="1">
                            <a:latin typeface="Cambria Math" panose="02040503050406030204" pitchFamily="18" charset="0"/>
                          </a:rPr>
                          <m:t>𝑂</m:t>
                        </m:r>
                      </m:e>
                      <m:sub>
                        <m:r>
                          <a:rPr lang="en-US" sz="1100" b="0" i="1">
                            <a:latin typeface="Cambria Math" panose="02040503050406030204" pitchFamily="18" charset="0"/>
                          </a:rPr>
                          <m:t>4</m:t>
                        </m:r>
                      </m:sub>
                      <m:sup>
                        <m:r>
                          <a:rPr lang="en-US" sz="1100" b="0" i="1">
                            <a:latin typeface="Cambria Math" panose="02040503050406030204" pitchFamily="18" charset="0"/>
                          </a:rPr>
                          <m:t>2−</m:t>
                        </m:r>
                      </m:sup>
                    </m:sSubSup>
                  </m:oMath>
                </m:oMathPara>
              </a14:m>
              <a:endParaRPr lang="en-US" sz="1100" b="0"/>
            </a:p>
          </xdr:txBody>
        </xdr:sp>
      </mc:Choice>
      <mc:Fallback xmlns="">
        <xdr:sp macro="" textlink="">
          <xdr:nvSpPr>
            <xdr:cNvPr id="10" name="TextBox 9">
              <a:extLst>
                <a:ext uri="{FF2B5EF4-FFF2-40B4-BE49-F238E27FC236}">
                  <a16:creationId xmlns:a16="http://schemas.microsoft.com/office/drawing/2014/main" id="{7A21076E-AD56-5A46-8B29-241FCE1731A5}"/>
                </a:ext>
              </a:extLst>
            </xdr:cNvPr>
            <xdr:cNvSpPr txBox="1"/>
          </xdr:nvSpPr>
          <xdr:spPr>
            <a:xfrm>
              <a:off x="8674100" y="1346200"/>
              <a:ext cx="3333861" cy="1776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n-US" sz="1100" b="0" i="0">
                  <a:latin typeface="Cambria Math" panose="02040503050406030204" pitchFamily="18" charset="0"/>
                </a:rPr>
                <a:t>𝐶𝑎𝑙𝑐𝑖𝑡𝑒:𝐶𝑎𝐶𝑂_3+𝐻_2 𝑆𝑂_4→𝐶𝑎^(2+)+𝐶𝑂_2+𝐻_2 𝑂+𝑆𝑂_4^(2−)</a:t>
              </a:r>
              <a:endParaRPr lang="en-US" sz="1100" b="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12</xdr:col>
      <xdr:colOff>166286</xdr:colOff>
      <xdr:row>2</xdr:row>
      <xdr:rowOff>106626</xdr:rowOff>
    </xdr:from>
    <xdr:to>
      <xdr:col>24</xdr:col>
      <xdr:colOff>197943</xdr:colOff>
      <xdr:row>42</xdr:row>
      <xdr:rowOff>155041</xdr:rowOff>
    </xdr:to>
    <xdr:graphicFrame macro="">
      <xdr:nvGraphicFramePr>
        <xdr:cNvPr id="2" name="Chart 1">
          <a:extLst>
            <a:ext uri="{FF2B5EF4-FFF2-40B4-BE49-F238E27FC236}">
              <a16:creationId xmlns:a16="http://schemas.microsoft.com/office/drawing/2014/main" id="{8C052B01-A4BD-FF45-82A0-5351BBB9DDA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239098</xdr:colOff>
      <xdr:row>43</xdr:row>
      <xdr:rowOff>176014</xdr:rowOff>
    </xdr:from>
    <xdr:to>
      <xdr:col>27</xdr:col>
      <xdr:colOff>122577</xdr:colOff>
      <xdr:row>83</xdr:row>
      <xdr:rowOff>141969</xdr:rowOff>
    </xdr:to>
    <xdr:graphicFrame macro="">
      <xdr:nvGraphicFramePr>
        <xdr:cNvPr id="4" name="Chart 3">
          <a:extLst>
            <a:ext uri="{FF2B5EF4-FFF2-40B4-BE49-F238E27FC236}">
              <a16:creationId xmlns:a16="http://schemas.microsoft.com/office/drawing/2014/main" id="{1F3EF696-5D4F-8D4C-AE31-3D7EED8F3A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0.87341</cdr:x>
      <cdr:y>0.6115</cdr:y>
    </cdr:from>
    <cdr:to>
      <cdr:x>0.96314</cdr:x>
      <cdr:y>0.69166</cdr:y>
    </cdr:to>
    <cdr:sp macro="" textlink="">
      <cdr:nvSpPr>
        <cdr:cNvPr id="2" name="Rectangle 1">
          <a:extLst xmlns:a="http://schemas.openxmlformats.org/drawingml/2006/main">
            <a:ext uri="{FF2B5EF4-FFF2-40B4-BE49-F238E27FC236}">
              <a16:creationId xmlns:a16="http://schemas.microsoft.com/office/drawing/2014/main" id="{915A682D-A0CA-6B4E-A855-D39A29B6DDB1}"/>
            </a:ext>
          </a:extLst>
        </cdr:cNvPr>
        <cdr:cNvSpPr/>
      </cdr:nvSpPr>
      <cdr:spPr>
        <a:xfrm xmlns:a="http://schemas.openxmlformats.org/drawingml/2006/main">
          <a:off x="13436232" y="4914348"/>
          <a:ext cx="1380435" cy="644203"/>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r>
            <a:rPr lang="en-US" sz="1800">
              <a:latin typeface="Times New Roman" panose="02020603050405020304" pitchFamily="18" charset="0"/>
              <a:cs typeface="Times New Roman" panose="02020603050405020304" pitchFamily="18" charset="0"/>
            </a:rPr>
            <a:t>PAF</a:t>
          </a:r>
        </a:p>
      </cdr:txBody>
    </cdr:sp>
  </cdr:relSizeAnchor>
  <cdr:relSizeAnchor xmlns:cdr="http://schemas.openxmlformats.org/drawingml/2006/chartDrawing">
    <cdr:from>
      <cdr:x>0.12454</cdr:x>
      <cdr:y>0.04297</cdr:y>
    </cdr:from>
    <cdr:to>
      <cdr:x>0.21427</cdr:x>
      <cdr:y>0.12312</cdr:y>
    </cdr:to>
    <cdr:sp macro="" textlink="">
      <cdr:nvSpPr>
        <cdr:cNvPr id="3" name="Rectangle 2">
          <a:extLst xmlns:a="http://schemas.openxmlformats.org/drawingml/2006/main">
            <a:ext uri="{FF2B5EF4-FFF2-40B4-BE49-F238E27FC236}">
              <a16:creationId xmlns:a16="http://schemas.microsoft.com/office/drawing/2014/main" id="{8069E5DF-D4D4-1045-8E2A-2CA7289CA1DA}"/>
            </a:ext>
          </a:extLst>
        </cdr:cNvPr>
        <cdr:cNvSpPr/>
      </cdr:nvSpPr>
      <cdr:spPr>
        <a:xfrm xmlns:a="http://schemas.openxmlformats.org/drawingml/2006/main">
          <a:off x="1359979" y="348430"/>
          <a:ext cx="979833" cy="649911"/>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800">
              <a:latin typeface="Times New Roman" panose="02020603050405020304" pitchFamily="18" charset="0"/>
              <a:cs typeface="Times New Roman" panose="02020603050405020304" pitchFamily="18" charset="0"/>
            </a:rPr>
            <a:t>NAF</a:t>
          </a:r>
        </a:p>
      </cdr:txBody>
    </cdr:sp>
  </cdr:relSizeAnchor>
  <cdr:relSizeAnchor xmlns:cdr="http://schemas.openxmlformats.org/drawingml/2006/chartDrawing">
    <cdr:from>
      <cdr:x>0.12454</cdr:x>
      <cdr:y>0.61324</cdr:y>
    </cdr:from>
    <cdr:to>
      <cdr:x>0.22413</cdr:x>
      <cdr:y>0.6934</cdr:y>
    </cdr:to>
    <cdr:sp macro="" textlink="">
      <cdr:nvSpPr>
        <cdr:cNvPr id="4" name="Rectangle 3">
          <a:extLst xmlns:a="http://schemas.openxmlformats.org/drawingml/2006/main">
            <a:ext uri="{FF2B5EF4-FFF2-40B4-BE49-F238E27FC236}">
              <a16:creationId xmlns:a16="http://schemas.microsoft.com/office/drawing/2014/main" id="{B9976514-A61A-F042-BA76-DE2BBDA155F9}"/>
            </a:ext>
          </a:extLst>
        </cdr:cNvPr>
        <cdr:cNvSpPr/>
      </cdr:nvSpPr>
      <cdr:spPr>
        <a:xfrm xmlns:a="http://schemas.openxmlformats.org/drawingml/2006/main">
          <a:off x="1359979" y="4972568"/>
          <a:ext cx="1087502" cy="649992"/>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800">
              <a:latin typeface="Times New Roman" panose="02020603050405020304" pitchFamily="18" charset="0"/>
              <a:cs typeface="Times New Roman" panose="02020603050405020304" pitchFamily="18" charset="0"/>
            </a:rPr>
            <a:t>UC</a:t>
          </a:r>
        </a:p>
      </cdr:txBody>
    </cdr:sp>
  </cdr:relSizeAnchor>
  <cdr:relSizeAnchor xmlns:cdr="http://schemas.openxmlformats.org/drawingml/2006/chartDrawing">
    <cdr:from>
      <cdr:x>0.85786</cdr:x>
      <cdr:y>0.04526</cdr:y>
    </cdr:from>
    <cdr:to>
      <cdr:x>0.96286</cdr:x>
      <cdr:y>0.12542</cdr:y>
    </cdr:to>
    <cdr:sp macro="" textlink="">
      <cdr:nvSpPr>
        <cdr:cNvPr id="5" name="Rectangle 4">
          <a:extLst xmlns:a="http://schemas.openxmlformats.org/drawingml/2006/main">
            <a:ext uri="{FF2B5EF4-FFF2-40B4-BE49-F238E27FC236}">
              <a16:creationId xmlns:a16="http://schemas.microsoft.com/office/drawing/2014/main" id="{3CD6559A-4E48-C04B-9AE4-08C3C0868963}"/>
            </a:ext>
          </a:extLst>
        </cdr:cNvPr>
        <cdr:cNvSpPr/>
      </cdr:nvSpPr>
      <cdr:spPr>
        <a:xfrm xmlns:a="http://schemas.openxmlformats.org/drawingml/2006/main">
          <a:off x="13196958" y="363699"/>
          <a:ext cx="1615292" cy="644203"/>
        </a:xfrm>
        <a:prstGeom xmlns:a="http://schemas.openxmlformats.org/drawingml/2006/main" prst="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sz="1800">
              <a:latin typeface="Times New Roman" panose="02020603050405020304" pitchFamily="18" charset="0"/>
              <a:cs typeface="Times New Roman" panose="02020603050405020304" pitchFamily="18" charset="0"/>
            </a:rPr>
            <a:t>UC</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247650</xdr:colOff>
      <xdr:row>40</xdr:row>
      <xdr:rowOff>38100</xdr:rowOff>
    </xdr:from>
    <xdr:to>
      <xdr:col>6</xdr:col>
      <xdr:colOff>1435100</xdr:colOff>
      <xdr:row>62</xdr:row>
      <xdr:rowOff>190500</xdr:rowOff>
    </xdr:to>
    <xdr:graphicFrame macro="">
      <xdr:nvGraphicFramePr>
        <xdr:cNvPr id="2" name="Chart 1">
          <a:extLst>
            <a:ext uri="{FF2B5EF4-FFF2-40B4-BE49-F238E27FC236}">
              <a16:creationId xmlns:a16="http://schemas.microsoft.com/office/drawing/2014/main" id="{DA04CC7D-E826-EF44-A11A-393203EEAE9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40</xdr:row>
      <xdr:rowOff>0</xdr:rowOff>
    </xdr:from>
    <xdr:to>
      <xdr:col>14</xdr:col>
      <xdr:colOff>1098550</xdr:colOff>
      <xdr:row>62</xdr:row>
      <xdr:rowOff>152400</xdr:rowOff>
    </xdr:to>
    <xdr:graphicFrame macro="">
      <xdr:nvGraphicFramePr>
        <xdr:cNvPr id="3" name="Chart 2">
          <a:extLst>
            <a:ext uri="{FF2B5EF4-FFF2-40B4-BE49-F238E27FC236}">
              <a16:creationId xmlns:a16="http://schemas.microsoft.com/office/drawing/2014/main" id="{B22D96F0-9DC3-AE4A-AB7A-64F9EC2B2EA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0.63178</cdr:x>
      <cdr:y>0.24824</cdr:y>
    </cdr:from>
    <cdr:to>
      <cdr:x>0.83158</cdr:x>
      <cdr:y>0.52113</cdr:y>
    </cdr:to>
    <cdr:sp macro="" textlink="">
      <cdr:nvSpPr>
        <cdr:cNvPr id="2" name="TextBox 1">
          <a:extLst xmlns:a="http://schemas.openxmlformats.org/drawingml/2006/main">
            <a:ext uri="{FF2B5EF4-FFF2-40B4-BE49-F238E27FC236}">
              <a16:creationId xmlns:a16="http://schemas.microsoft.com/office/drawing/2014/main" id="{333CBE68-7D8D-B94E-ADA3-5D7BCA7EEEF2}"/>
            </a:ext>
          </a:extLst>
        </cdr:cNvPr>
        <cdr:cNvSpPr txBox="1"/>
      </cdr:nvSpPr>
      <cdr:spPr>
        <a:xfrm xmlns:a="http://schemas.openxmlformats.org/drawingml/2006/main">
          <a:off x="5227224" y="1145230"/>
          <a:ext cx="1653145" cy="12589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ysClr val="windowText" lastClr="000000"/>
              </a:solidFill>
              <a:latin typeface="Times New Roman" panose="02020603050405020304" pitchFamily="18" charset="0"/>
              <a:cs typeface="Times New Roman" panose="02020603050405020304" pitchFamily="18" charset="0"/>
            </a:rPr>
            <a:t>d</a:t>
          </a:r>
          <a:r>
            <a:rPr lang="en-GB" sz="1400" baseline="-25000">
              <a:solidFill>
                <a:sysClr val="windowText" lastClr="000000"/>
              </a:solidFill>
              <a:latin typeface="Times New Roman" panose="02020603050405020304" pitchFamily="18" charset="0"/>
              <a:cs typeface="Times New Roman" panose="02020603050405020304" pitchFamily="18" charset="0"/>
            </a:rPr>
            <a:t>50</a:t>
          </a:r>
        </a:p>
        <a:p xmlns:a="http://schemas.openxmlformats.org/drawingml/2006/main">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r>
            <a:rPr lang="en-GB" sz="1400">
              <a:solidFill>
                <a:sysClr val="windowText" lastClr="000000"/>
              </a:solidFill>
              <a:latin typeface="Times New Roman" panose="02020603050405020304" pitchFamily="18" charset="0"/>
              <a:cs typeface="Times New Roman" panose="02020603050405020304" pitchFamily="18" charset="0"/>
            </a:rPr>
            <a:t>Sample A -</a:t>
          </a:r>
          <a:r>
            <a:rPr lang="en-GB" sz="1400" baseline="0">
              <a:solidFill>
                <a:sysClr val="windowText" lastClr="000000"/>
              </a:solidFill>
              <a:latin typeface="Times New Roman" panose="02020603050405020304" pitchFamily="18" charset="0"/>
              <a:cs typeface="Times New Roman" panose="02020603050405020304" pitchFamily="18" charset="0"/>
            </a:rPr>
            <a:t> 21μm</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B -</a:t>
          </a:r>
          <a:r>
            <a:rPr lang="en-GB" sz="1400" baseline="0">
              <a:solidFill>
                <a:sysClr val="windowText" lastClr="000000"/>
              </a:solidFill>
              <a:latin typeface="Times New Roman" panose="02020603050405020304" pitchFamily="18" charset="0"/>
              <a:cs typeface="Times New Roman" panose="02020603050405020304" pitchFamily="18" charset="0"/>
            </a:rPr>
            <a:t> 20μm</a:t>
          </a:r>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C -</a:t>
          </a:r>
          <a:r>
            <a:rPr lang="en-GB" sz="1400" baseline="0">
              <a:solidFill>
                <a:sysClr val="windowText" lastClr="000000"/>
              </a:solidFill>
              <a:latin typeface="Times New Roman" panose="02020603050405020304" pitchFamily="18" charset="0"/>
              <a:cs typeface="Times New Roman" panose="02020603050405020304" pitchFamily="18" charset="0"/>
            </a:rPr>
            <a:t> 22μm</a:t>
          </a:r>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D -</a:t>
          </a:r>
          <a:r>
            <a:rPr lang="en-GB" sz="1400" baseline="0">
              <a:solidFill>
                <a:sysClr val="windowText" lastClr="000000"/>
              </a:solidFill>
              <a:latin typeface="Times New Roman" panose="02020603050405020304" pitchFamily="18" charset="0"/>
              <a:cs typeface="Times New Roman" panose="02020603050405020304" pitchFamily="18" charset="0"/>
            </a:rPr>
            <a:t> 22μm</a:t>
          </a:r>
          <a:endParaRPr lang="en-GB" sz="1400">
            <a:solidFill>
              <a:sysClr val="windowText" lastClr="000000"/>
            </a:solidFill>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0.63178</cdr:x>
      <cdr:y>0.5581</cdr:y>
    </cdr:from>
    <cdr:to>
      <cdr:x>0.83261</cdr:x>
      <cdr:y>0.83099</cdr:y>
    </cdr:to>
    <cdr:sp macro="" textlink="">
      <cdr:nvSpPr>
        <cdr:cNvPr id="3" name="TextBox 1">
          <a:extLst xmlns:a="http://schemas.openxmlformats.org/drawingml/2006/main">
            <a:ext uri="{FF2B5EF4-FFF2-40B4-BE49-F238E27FC236}">
              <a16:creationId xmlns:a16="http://schemas.microsoft.com/office/drawing/2014/main" id="{E289B5C8-21BB-9D40-B9F0-17A2051B898F}"/>
            </a:ext>
          </a:extLst>
        </cdr:cNvPr>
        <cdr:cNvSpPr txBox="1"/>
      </cdr:nvSpPr>
      <cdr:spPr>
        <a:xfrm xmlns:a="http://schemas.openxmlformats.org/drawingml/2006/main">
          <a:off x="5227224" y="2574738"/>
          <a:ext cx="1661627" cy="1258941"/>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ysClr val="windowText" lastClr="000000"/>
              </a:solidFill>
              <a:latin typeface="Times New Roman" panose="02020603050405020304" pitchFamily="18" charset="0"/>
              <a:cs typeface="Times New Roman" panose="02020603050405020304" pitchFamily="18" charset="0"/>
            </a:rPr>
            <a:t>d</a:t>
          </a:r>
          <a:r>
            <a:rPr lang="en-GB" sz="1400" baseline="-25000">
              <a:solidFill>
                <a:sysClr val="windowText" lastClr="000000"/>
              </a:solidFill>
              <a:latin typeface="Times New Roman" panose="02020603050405020304" pitchFamily="18" charset="0"/>
              <a:cs typeface="Times New Roman" panose="02020603050405020304" pitchFamily="18" charset="0"/>
            </a:rPr>
            <a:t>90</a:t>
          </a:r>
        </a:p>
        <a:p xmlns:a="http://schemas.openxmlformats.org/drawingml/2006/main">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r>
            <a:rPr lang="en-GB" sz="1400">
              <a:solidFill>
                <a:sysClr val="windowText" lastClr="000000"/>
              </a:solidFill>
              <a:latin typeface="Times New Roman" panose="02020603050405020304" pitchFamily="18" charset="0"/>
              <a:cs typeface="Times New Roman" panose="02020603050405020304" pitchFamily="18" charset="0"/>
            </a:rPr>
            <a:t>Sample A -</a:t>
          </a:r>
          <a:r>
            <a:rPr lang="en-GB" sz="1400" baseline="0">
              <a:solidFill>
                <a:sysClr val="windowText" lastClr="000000"/>
              </a:solidFill>
              <a:latin typeface="Times New Roman" panose="02020603050405020304" pitchFamily="18" charset="0"/>
              <a:cs typeface="Times New Roman" panose="02020603050405020304" pitchFamily="18" charset="0"/>
            </a:rPr>
            <a:t> 110μm</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B -</a:t>
          </a:r>
          <a:r>
            <a:rPr lang="en-GB" sz="1400" baseline="0">
              <a:solidFill>
                <a:sysClr val="windowText" lastClr="000000"/>
              </a:solidFill>
              <a:latin typeface="Times New Roman" panose="02020603050405020304" pitchFamily="18" charset="0"/>
              <a:cs typeface="Times New Roman" panose="02020603050405020304" pitchFamily="18" charset="0"/>
            </a:rPr>
            <a:t> 105μm</a:t>
          </a:r>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C -</a:t>
          </a:r>
          <a:r>
            <a:rPr lang="en-GB" sz="1400" baseline="0">
              <a:solidFill>
                <a:sysClr val="windowText" lastClr="000000"/>
              </a:solidFill>
              <a:latin typeface="Times New Roman" panose="02020603050405020304" pitchFamily="18" charset="0"/>
              <a:cs typeface="Times New Roman" panose="02020603050405020304" pitchFamily="18" charset="0"/>
            </a:rPr>
            <a:t> 90μm</a:t>
          </a:r>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D -</a:t>
          </a:r>
          <a:r>
            <a:rPr lang="en-GB" sz="1400" baseline="0">
              <a:solidFill>
                <a:sysClr val="windowText" lastClr="000000"/>
              </a:solidFill>
              <a:latin typeface="Times New Roman" panose="02020603050405020304" pitchFamily="18" charset="0"/>
              <a:cs typeface="Times New Roman" panose="02020603050405020304" pitchFamily="18" charset="0"/>
            </a:rPr>
            <a:t> 85μm</a:t>
          </a:r>
          <a:endParaRPr lang="en-GB" sz="1400">
            <a:solidFill>
              <a:sysClr val="windowText" lastClr="000000"/>
            </a:solidFill>
            <a:latin typeface="Times New Roman" panose="02020603050405020304" pitchFamily="18" charset="0"/>
            <a:cs typeface="Times New Roman" panose="02020603050405020304" pitchFamily="18" charset="0"/>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0.58586</cdr:x>
      <cdr:y>0.27289</cdr:y>
    </cdr:from>
    <cdr:to>
      <cdr:x>0.81303</cdr:x>
      <cdr:y>0.57602</cdr:y>
    </cdr:to>
    <cdr:sp macro="" textlink="">
      <cdr:nvSpPr>
        <cdr:cNvPr id="2" name="TextBox 1">
          <a:extLst xmlns:a="http://schemas.openxmlformats.org/drawingml/2006/main">
            <a:ext uri="{FF2B5EF4-FFF2-40B4-BE49-F238E27FC236}">
              <a16:creationId xmlns:a16="http://schemas.microsoft.com/office/drawing/2014/main" id="{DC169972-5E36-C244-AD78-94FD4ABE9A9F}"/>
            </a:ext>
          </a:extLst>
        </cdr:cNvPr>
        <cdr:cNvSpPr txBox="1"/>
      </cdr:nvSpPr>
      <cdr:spPr>
        <a:xfrm xmlns:a="http://schemas.openxmlformats.org/drawingml/2006/main">
          <a:off x="4845211" y="1258941"/>
          <a:ext cx="1878795" cy="1398454"/>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lstStyle xmlns:a="http://schemas.openxmlformats.org/drawingml/2006/main"/>
        <a:p xmlns:a="http://schemas.openxmlformats.org/drawingml/2006/main">
          <a:r>
            <a:rPr lang="en-GB" sz="1400">
              <a:solidFill>
                <a:sysClr val="windowText" lastClr="000000"/>
              </a:solidFill>
              <a:latin typeface="Times New Roman" panose="02020603050405020304" pitchFamily="18" charset="0"/>
              <a:cs typeface="Times New Roman" panose="02020603050405020304" pitchFamily="18" charset="0"/>
            </a:rPr>
            <a:t>d</a:t>
          </a:r>
          <a:r>
            <a:rPr lang="en-GB" sz="1400" baseline="-25000">
              <a:solidFill>
                <a:sysClr val="windowText" lastClr="000000"/>
              </a:solidFill>
              <a:latin typeface="Times New Roman" panose="02020603050405020304" pitchFamily="18" charset="0"/>
              <a:cs typeface="Times New Roman" panose="02020603050405020304" pitchFamily="18" charset="0"/>
            </a:rPr>
            <a:t>50</a:t>
          </a:r>
        </a:p>
        <a:p xmlns:a="http://schemas.openxmlformats.org/drawingml/2006/main">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r>
            <a:rPr lang="en-GB" sz="1400">
              <a:solidFill>
                <a:sysClr val="windowText" lastClr="000000"/>
              </a:solidFill>
              <a:latin typeface="Times New Roman" panose="02020603050405020304" pitchFamily="18" charset="0"/>
              <a:cs typeface="Times New Roman" panose="02020603050405020304" pitchFamily="18" charset="0"/>
            </a:rPr>
            <a:t>Sample A -</a:t>
          </a:r>
          <a:r>
            <a:rPr lang="en-GB" sz="1400" baseline="0">
              <a:solidFill>
                <a:sysClr val="windowText" lastClr="000000"/>
              </a:solidFill>
              <a:latin typeface="Times New Roman" panose="02020603050405020304" pitchFamily="18" charset="0"/>
              <a:cs typeface="Times New Roman" panose="02020603050405020304" pitchFamily="18" charset="0"/>
            </a:rPr>
            <a:t> 2900μm</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B -</a:t>
          </a:r>
          <a:r>
            <a:rPr lang="en-GB" sz="1400" baseline="0">
              <a:solidFill>
                <a:sysClr val="windowText" lastClr="000000"/>
              </a:solidFill>
              <a:latin typeface="Times New Roman" panose="02020603050405020304" pitchFamily="18" charset="0"/>
              <a:cs typeface="Times New Roman" panose="02020603050405020304" pitchFamily="18" charset="0"/>
            </a:rPr>
            <a:t> 2900μm</a:t>
          </a:r>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C -</a:t>
          </a:r>
          <a:r>
            <a:rPr lang="en-GB" sz="1400" baseline="0">
              <a:solidFill>
                <a:sysClr val="windowText" lastClr="000000"/>
              </a:solidFill>
              <a:latin typeface="Times New Roman" panose="02020603050405020304" pitchFamily="18" charset="0"/>
              <a:cs typeface="Times New Roman" panose="02020603050405020304" pitchFamily="18" charset="0"/>
            </a:rPr>
            <a:t> 2500μm</a:t>
          </a:r>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D -</a:t>
          </a:r>
          <a:r>
            <a:rPr lang="en-GB" sz="1400" baseline="0">
              <a:solidFill>
                <a:sysClr val="windowText" lastClr="000000"/>
              </a:solidFill>
              <a:latin typeface="Times New Roman" panose="02020603050405020304" pitchFamily="18" charset="0"/>
              <a:cs typeface="Times New Roman" panose="02020603050405020304" pitchFamily="18" charset="0"/>
            </a:rPr>
            <a:t> 2250μm</a:t>
          </a:r>
          <a:endParaRPr lang="en-GB" sz="1400">
            <a:solidFill>
              <a:sysClr val="windowText" lastClr="000000"/>
            </a:solidFill>
            <a:latin typeface="Times New Roman" panose="02020603050405020304" pitchFamily="18" charset="0"/>
            <a:cs typeface="Times New Roman" panose="02020603050405020304" pitchFamily="18" charset="0"/>
          </a:endParaRPr>
        </a:p>
      </cdr:txBody>
    </cdr:sp>
  </cdr:relSizeAnchor>
  <cdr:relSizeAnchor xmlns:cdr="http://schemas.openxmlformats.org/drawingml/2006/chartDrawing">
    <cdr:from>
      <cdr:x>0.58973</cdr:x>
      <cdr:y>0.57118</cdr:y>
    </cdr:from>
    <cdr:to>
      <cdr:x>0.81405</cdr:x>
      <cdr:y>0.84407</cdr:y>
    </cdr:to>
    <cdr:sp macro="" textlink="">
      <cdr:nvSpPr>
        <cdr:cNvPr id="3" name="TextBox 1">
          <a:extLst xmlns:a="http://schemas.openxmlformats.org/drawingml/2006/main">
            <a:ext uri="{FF2B5EF4-FFF2-40B4-BE49-F238E27FC236}">
              <a16:creationId xmlns:a16="http://schemas.microsoft.com/office/drawing/2014/main" id="{2EE92A0E-CBDF-CF4D-A9C3-24734CA26C71}"/>
            </a:ext>
          </a:extLst>
        </cdr:cNvPr>
        <cdr:cNvSpPr txBox="1"/>
      </cdr:nvSpPr>
      <cdr:spPr>
        <a:xfrm xmlns:a="http://schemas.openxmlformats.org/drawingml/2006/main">
          <a:off x="4877228" y="2635088"/>
          <a:ext cx="1855262" cy="1258940"/>
        </a:xfrm>
        <a:prstGeom xmlns:a="http://schemas.openxmlformats.org/drawingml/2006/main" prst="rect">
          <a:avLst/>
        </a:prstGeom>
        <a:solidFill xmlns:a="http://schemas.openxmlformats.org/drawingml/2006/main">
          <a:schemeClr val="bg1"/>
        </a:solidFill>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400">
              <a:solidFill>
                <a:sysClr val="windowText" lastClr="000000"/>
              </a:solidFill>
              <a:latin typeface="Times New Roman" panose="02020603050405020304" pitchFamily="18" charset="0"/>
              <a:cs typeface="Times New Roman" panose="02020603050405020304" pitchFamily="18" charset="0"/>
            </a:rPr>
            <a:t>d</a:t>
          </a:r>
          <a:r>
            <a:rPr lang="en-GB" sz="1400" baseline="-25000">
              <a:solidFill>
                <a:sysClr val="windowText" lastClr="000000"/>
              </a:solidFill>
              <a:latin typeface="Times New Roman" panose="02020603050405020304" pitchFamily="18" charset="0"/>
              <a:cs typeface="Times New Roman" panose="02020603050405020304" pitchFamily="18" charset="0"/>
            </a:rPr>
            <a:t>90</a:t>
          </a:r>
        </a:p>
        <a:p xmlns:a="http://schemas.openxmlformats.org/drawingml/2006/main">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r>
            <a:rPr lang="en-GB" sz="1400">
              <a:solidFill>
                <a:sysClr val="windowText" lastClr="000000"/>
              </a:solidFill>
              <a:latin typeface="Times New Roman" panose="02020603050405020304" pitchFamily="18" charset="0"/>
              <a:cs typeface="Times New Roman" panose="02020603050405020304" pitchFamily="18" charset="0"/>
            </a:rPr>
            <a:t>Sample A -</a:t>
          </a:r>
          <a:r>
            <a:rPr lang="en-GB" sz="1400" baseline="0">
              <a:solidFill>
                <a:sysClr val="windowText" lastClr="000000"/>
              </a:solidFill>
              <a:latin typeface="Times New Roman" panose="02020603050405020304" pitchFamily="18" charset="0"/>
              <a:cs typeface="Times New Roman" panose="02020603050405020304" pitchFamily="18" charset="0"/>
            </a:rPr>
            <a:t> 5800μm</a:t>
          </a: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B -</a:t>
          </a:r>
          <a:r>
            <a:rPr lang="en-GB" sz="1400" baseline="0">
              <a:solidFill>
                <a:sysClr val="windowText" lastClr="000000"/>
              </a:solidFill>
              <a:latin typeface="Times New Roman" panose="02020603050405020304" pitchFamily="18" charset="0"/>
              <a:cs typeface="Times New Roman" panose="02020603050405020304" pitchFamily="18" charset="0"/>
            </a:rPr>
            <a:t> 5900μm</a:t>
          </a:r>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C -</a:t>
          </a:r>
          <a:r>
            <a:rPr lang="en-GB" sz="1400" baseline="0">
              <a:solidFill>
                <a:sysClr val="windowText" lastClr="000000"/>
              </a:solidFill>
              <a:latin typeface="Times New Roman" panose="02020603050405020304" pitchFamily="18" charset="0"/>
              <a:cs typeface="Times New Roman" panose="02020603050405020304" pitchFamily="18" charset="0"/>
            </a:rPr>
            <a:t> 6300μm</a:t>
          </a:r>
          <a:endParaRPr lang="en-GB" sz="1400">
            <a:solidFill>
              <a:sysClr val="windowText" lastClr="000000"/>
            </a:solidFill>
            <a:latin typeface="Times New Roman" panose="02020603050405020304" pitchFamily="18" charset="0"/>
            <a:cs typeface="Times New Roman" panose="02020603050405020304" pitchFamily="18" charset="0"/>
          </a:endParaRPr>
        </a:p>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en-GB" sz="1400">
              <a:solidFill>
                <a:sysClr val="windowText" lastClr="000000"/>
              </a:solidFill>
              <a:latin typeface="Times New Roman" panose="02020603050405020304" pitchFamily="18" charset="0"/>
              <a:cs typeface="Times New Roman" panose="02020603050405020304" pitchFamily="18" charset="0"/>
            </a:rPr>
            <a:t>Sample D -</a:t>
          </a:r>
          <a:r>
            <a:rPr lang="en-GB" sz="1400" baseline="0">
              <a:solidFill>
                <a:sysClr val="windowText" lastClr="000000"/>
              </a:solidFill>
              <a:latin typeface="Times New Roman" panose="02020603050405020304" pitchFamily="18" charset="0"/>
              <a:cs typeface="Times New Roman" panose="02020603050405020304" pitchFamily="18" charset="0"/>
            </a:rPr>
            <a:t> 5800μm</a:t>
          </a:r>
          <a:endParaRPr lang="en-GB" sz="1400">
            <a:solidFill>
              <a:sysClr val="windowText" lastClr="000000"/>
            </a:solidFill>
            <a:latin typeface="Times New Roman" panose="02020603050405020304" pitchFamily="18" charset="0"/>
            <a:cs typeface="Times New Roman" panose="02020603050405020304" pitchFamily="18"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304800</xdr:colOff>
      <xdr:row>22</xdr:row>
      <xdr:rowOff>88724</xdr:rowOff>
    </xdr:from>
    <xdr:to>
      <xdr:col>19</xdr:col>
      <xdr:colOff>0</xdr:colOff>
      <xdr:row>69</xdr:row>
      <xdr:rowOff>194733</xdr:rowOff>
    </xdr:to>
    <xdr:graphicFrame macro="">
      <xdr:nvGraphicFramePr>
        <xdr:cNvPr id="2" name="Chart 1">
          <a:extLst>
            <a:ext uri="{FF2B5EF4-FFF2-40B4-BE49-F238E27FC236}">
              <a16:creationId xmlns:a16="http://schemas.microsoft.com/office/drawing/2014/main" id="{4812DE3E-E892-FE40-8882-934C9CDB8C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1023375</xdr:colOff>
      <xdr:row>65</xdr:row>
      <xdr:rowOff>72102</xdr:rowOff>
    </xdr:from>
    <xdr:to>
      <xdr:col>4</xdr:col>
      <xdr:colOff>159774</xdr:colOff>
      <xdr:row>68</xdr:row>
      <xdr:rowOff>113070</xdr:rowOff>
    </xdr:to>
    <xdr:sp macro="" textlink="">
      <xdr:nvSpPr>
        <xdr:cNvPr id="3" name="Rectangle 2">
          <a:extLst>
            <a:ext uri="{FF2B5EF4-FFF2-40B4-BE49-F238E27FC236}">
              <a16:creationId xmlns:a16="http://schemas.microsoft.com/office/drawing/2014/main" id="{10C0C419-F38A-5840-8550-759D4303085C}"/>
            </a:ext>
          </a:extLst>
        </xdr:cNvPr>
        <xdr:cNvSpPr/>
      </xdr:nvSpPr>
      <xdr:spPr>
        <a:xfrm>
          <a:off x="1378975" y="13305502"/>
          <a:ext cx="2057399" cy="650568"/>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2200">
              <a:latin typeface="Times New Roman" panose="02020603050405020304" pitchFamily="18" charset="0"/>
              <a:cs typeface="Times New Roman" panose="02020603050405020304" pitchFamily="18" charset="0"/>
            </a:rPr>
            <a:t>Sample A</a:t>
          </a:r>
        </a:p>
      </xdr:txBody>
    </xdr:sp>
    <xdr:clientData/>
  </xdr:twoCellAnchor>
  <xdr:twoCellAnchor>
    <xdr:from>
      <xdr:col>4</xdr:col>
      <xdr:colOff>511825</xdr:colOff>
      <xdr:row>65</xdr:row>
      <xdr:rowOff>72102</xdr:rowOff>
    </xdr:from>
    <xdr:to>
      <xdr:col>8</xdr:col>
      <xdr:colOff>18573</xdr:colOff>
      <xdr:row>68</xdr:row>
      <xdr:rowOff>113070</xdr:rowOff>
    </xdr:to>
    <xdr:sp macro="" textlink="">
      <xdr:nvSpPr>
        <xdr:cNvPr id="4" name="Rectangle 3">
          <a:extLst>
            <a:ext uri="{FF2B5EF4-FFF2-40B4-BE49-F238E27FC236}">
              <a16:creationId xmlns:a16="http://schemas.microsoft.com/office/drawing/2014/main" id="{17D94F32-25E2-9349-9BF0-5EFE183B4151}"/>
            </a:ext>
          </a:extLst>
        </xdr:cNvPr>
        <xdr:cNvSpPr/>
      </xdr:nvSpPr>
      <xdr:spPr>
        <a:xfrm>
          <a:off x="3788425" y="13305502"/>
          <a:ext cx="1995948" cy="650568"/>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2200">
              <a:latin typeface="Times New Roman" panose="02020603050405020304" pitchFamily="18" charset="0"/>
              <a:cs typeface="Times New Roman" panose="02020603050405020304" pitchFamily="18" charset="0"/>
            </a:rPr>
            <a:t>Sample B</a:t>
          </a:r>
        </a:p>
      </xdr:txBody>
    </xdr:sp>
    <xdr:clientData/>
  </xdr:twoCellAnchor>
  <xdr:twoCellAnchor>
    <xdr:from>
      <xdr:col>8</xdr:col>
      <xdr:colOff>368985</xdr:colOff>
      <xdr:row>65</xdr:row>
      <xdr:rowOff>72102</xdr:rowOff>
    </xdr:from>
    <xdr:to>
      <xdr:col>11</xdr:col>
      <xdr:colOff>250997</xdr:colOff>
      <xdr:row>68</xdr:row>
      <xdr:rowOff>113070</xdr:rowOff>
    </xdr:to>
    <xdr:sp macro="" textlink="">
      <xdr:nvSpPr>
        <xdr:cNvPr id="5" name="Rectangle 4">
          <a:extLst>
            <a:ext uri="{FF2B5EF4-FFF2-40B4-BE49-F238E27FC236}">
              <a16:creationId xmlns:a16="http://schemas.microsoft.com/office/drawing/2014/main" id="{161C0B6D-1C71-4C49-9FB9-5DC44575C71F}"/>
            </a:ext>
          </a:extLst>
        </xdr:cNvPr>
        <xdr:cNvSpPr/>
      </xdr:nvSpPr>
      <xdr:spPr>
        <a:xfrm>
          <a:off x="6134785" y="13305502"/>
          <a:ext cx="1914012" cy="650568"/>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2200">
              <a:latin typeface="Times New Roman" panose="02020603050405020304" pitchFamily="18" charset="0"/>
              <a:cs typeface="Times New Roman" panose="02020603050405020304" pitchFamily="18" charset="0"/>
            </a:rPr>
            <a:t>Sample C</a:t>
          </a:r>
        </a:p>
      </xdr:txBody>
    </xdr:sp>
    <xdr:clientData/>
  </xdr:twoCellAnchor>
  <xdr:twoCellAnchor>
    <xdr:from>
      <xdr:col>12</xdr:col>
      <xdr:colOff>22943</xdr:colOff>
      <xdr:row>65</xdr:row>
      <xdr:rowOff>72102</xdr:rowOff>
    </xdr:from>
    <xdr:to>
      <xdr:col>14</xdr:col>
      <xdr:colOff>525207</xdr:colOff>
      <xdr:row>68</xdr:row>
      <xdr:rowOff>113070</xdr:rowOff>
    </xdr:to>
    <xdr:sp macro="" textlink="">
      <xdr:nvSpPr>
        <xdr:cNvPr id="6" name="Rectangle 5">
          <a:extLst>
            <a:ext uri="{FF2B5EF4-FFF2-40B4-BE49-F238E27FC236}">
              <a16:creationId xmlns:a16="http://schemas.microsoft.com/office/drawing/2014/main" id="{194358D4-FB1E-0E4D-B734-35BF2B59913B}"/>
            </a:ext>
          </a:extLst>
        </xdr:cNvPr>
        <xdr:cNvSpPr/>
      </xdr:nvSpPr>
      <xdr:spPr>
        <a:xfrm>
          <a:off x="8557343" y="13305502"/>
          <a:ext cx="1924664" cy="650568"/>
        </a:xfrm>
        <a:prstGeom prst="rect">
          <a:avLst/>
        </a:prstGeom>
        <a:solidFill>
          <a:schemeClr val="bg1"/>
        </a:solid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en-GB" sz="2200">
              <a:latin typeface="Times New Roman" panose="02020603050405020304" pitchFamily="18" charset="0"/>
              <a:cs typeface="Times New Roman" panose="02020603050405020304" pitchFamily="18" charset="0"/>
            </a:rPr>
            <a:t>Sample D</a:t>
          </a:r>
        </a:p>
      </xdr:txBody>
    </xdr:sp>
    <xdr:clientData/>
  </xdr:twoCellAnchor>
  <xdr:twoCellAnchor>
    <xdr:from>
      <xdr:col>20</xdr:col>
      <xdr:colOff>221747</xdr:colOff>
      <xdr:row>22</xdr:row>
      <xdr:rowOff>8062</xdr:rowOff>
    </xdr:from>
    <xdr:to>
      <xdr:col>38</xdr:col>
      <xdr:colOff>292706</xdr:colOff>
      <xdr:row>64</xdr:row>
      <xdr:rowOff>194706</xdr:rowOff>
    </xdr:to>
    <xdr:graphicFrame macro="">
      <xdr:nvGraphicFramePr>
        <xdr:cNvPr id="9" name="Chart 8">
          <a:extLst>
            <a:ext uri="{FF2B5EF4-FFF2-40B4-BE49-F238E27FC236}">
              <a16:creationId xmlns:a16="http://schemas.microsoft.com/office/drawing/2014/main" id="{21C550D3-9892-3342-947F-BE8C71768E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0.07078</cdr:x>
      <cdr:y>0.91537</cdr:y>
    </cdr:from>
    <cdr:to>
      <cdr:x>0.22142</cdr:x>
      <cdr:y>0.98274</cdr:y>
    </cdr:to>
    <cdr:sp macro="" textlink="">
      <cdr:nvSpPr>
        <cdr:cNvPr id="2" name="Rectangle 1">
          <a:extLst xmlns:a="http://schemas.openxmlformats.org/drawingml/2006/main">
            <a:ext uri="{FF2B5EF4-FFF2-40B4-BE49-F238E27FC236}">
              <a16:creationId xmlns:a16="http://schemas.microsoft.com/office/drawing/2014/main" id="{10C0C419-F38A-5840-8550-759D4303085C}"/>
            </a:ext>
          </a:extLst>
        </cdr:cNvPr>
        <cdr:cNvSpPr/>
      </cdr:nvSpPr>
      <cdr:spPr>
        <a:xfrm xmlns:a="http://schemas.openxmlformats.org/drawingml/2006/main">
          <a:off x="990600" y="8839200"/>
          <a:ext cx="2108199" cy="650568"/>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2200">
              <a:latin typeface="Times New Roman" panose="02020603050405020304" pitchFamily="18" charset="0"/>
              <a:cs typeface="Times New Roman" panose="02020603050405020304" pitchFamily="18" charset="0"/>
            </a:rPr>
            <a:t>Sample A</a:t>
          </a:r>
        </a:p>
      </cdr:txBody>
    </cdr:sp>
  </cdr:relSizeAnchor>
  <cdr:relSizeAnchor xmlns:cdr="http://schemas.openxmlformats.org/drawingml/2006/chartDrawing">
    <cdr:from>
      <cdr:x>0.24657</cdr:x>
      <cdr:y>0.91537</cdr:y>
    </cdr:from>
    <cdr:to>
      <cdr:x>0.40552</cdr:x>
      <cdr:y>0.98274</cdr:y>
    </cdr:to>
    <cdr:sp macro="" textlink="">
      <cdr:nvSpPr>
        <cdr:cNvPr id="3" name="Rectangle 2">
          <a:extLst xmlns:a="http://schemas.openxmlformats.org/drawingml/2006/main">
            <a:ext uri="{FF2B5EF4-FFF2-40B4-BE49-F238E27FC236}">
              <a16:creationId xmlns:a16="http://schemas.microsoft.com/office/drawing/2014/main" id="{17D94F32-25E2-9349-9BF0-5EFE183B4151}"/>
            </a:ext>
          </a:extLst>
        </cdr:cNvPr>
        <cdr:cNvSpPr/>
      </cdr:nvSpPr>
      <cdr:spPr>
        <a:xfrm xmlns:a="http://schemas.openxmlformats.org/drawingml/2006/main">
          <a:off x="3450850" y="8839200"/>
          <a:ext cx="2224548" cy="650568"/>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2200">
              <a:latin typeface="Times New Roman" panose="02020603050405020304" pitchFamily="18" charset="0"/>
              <a:cs typeface="Times New Roman" panose="02020603050405020304" pitchFamily="18" charset="0"/>
            </a:rPr>
            <a:t>Sample B</a:t>
          </a:r>
        </a:p>
      </cdr:txBody>
    </cdr:sp>
  </cdr:relSizeAnchor>
  <cdr:relSizeAnchor xmlns:cdr="http://schemas.openxmlformats.org/drawingml/2006/chartDrawing">
    <cdr:from>
      <cdr:x>0.43056</cdr:x>
      <cdr:y>0.91537</cdr:y>
    </cdr:from>
    <cdr:to>
      <cdr:x>0.58002</cdr:x>
      <cdr:y>0.98274</cdr:y>
    </cdr:to>
    <cdr:sp macro="" textlink="">
      <cdr:nvSpPr>
        <cdr:cNvPr id="4" name="Rectangle 3">
          <a:extLst xmlns:a="http://schemas.openxmlformats.org/drawingml/2006/main">
            <a:ext uri="{FF2B5EF4-FFF2-40B4-BE49-F238E27FC236}">
              <a16:creationId xmlns:a16="http://schemas.microsoft.com/office/drawing/2014/main" id="{161C0B6D-1C71-4C49-9FB9-5DC44575C71F}"/>
            </a:ext>
          </a:extLst>
        </cdr:cNvPr>
        <cdr:cNvSpPr/>
      </cdr:nvSpPr>
      <cdr:spPr>
        <a:xfrm xmlns:a="http://schemas.openxmlformats.org/drawingml/2006/main">
          <a:off x="6025810" y="8839200"/>
          <a:ext cx="2091812" cy="650568"/>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2200">
              <a:latin typeface="Times New Roman" panose="02020603050405020304" pitchFamily="18" charset="0"/>
              <a:cs typeface="Times New Roman" panose="02020603050405020304" pitchFamily="18" charset="0"/>
            </a:rPr>
            <a:t>Sample C</a:t>
          </a:r>
        </a:p>
      </cdr:txBody>
    </cdr:sp>
  </cdr:relSizeAnchor>
  <cdr:relSizeAnchor xmlns:cdr="http://schemas.openxmlformats.org/drawingml/2006/chartDrawing">
    <cdr:from>
      <cdr:x>0.61999</cdr:x>
      <cdr:y>0.91537</cdr:y>
    </cdr:from>
    <cdr:to>
      <cdr:x>0.77021</cdr:x>
      <cdr:y>0.98274</cdr:y>
    </cdr:to>
    <cdr:sp macro="" textlink="">
      <cdr:nvSpPr>
        <cdr:cNvPr id="5" name="Rectangle 4">
          <a:extLst xmlns:a="http://schemas.openxmlformats.org/drawingml/2006/main">
            <a:ext uri="{FF2B5EF4-FFF2-40B4-BE49-F238E27FC236}">
              <a16:creationId xmlns:a16="http://schemas.microsoft.com/office/drawing/2014/main" id="{194358D4-FB1E-0E4D-B734-35BF2B59913B}"/>
            </a:ext>
          </a:extLst>
        </cdr:cNvPr>
        <cdr:cNvSpPr/>
      </cdr:nvSpPr>
      <cdr:spPr>
        <a:xfrm xmlns:a="http://schemas.openxmlformats.org/drawingml/2006/main">
          <a:off x="8676968" y="8839200"/>
          <a:ext cx="2102464" cy="650568"/>
        </a:xfrm>
        <a:prstGeom xmlns:a="http://schemas.openxmlformats.org/drawingml/2006/main" prst="rect">
          <a:avLst/>
        </a:prstGeom>
        <a:solidFill xmlns:a="http://schemas.openxmlformats.org/drawingml/2006/main">
          <a:schemeClr val="bg1"/>
        </a:solidFill>
        <a:ln xmlns:a="http://schemas.openxmlformats.org/drawingml/2006/main">
          <a:noFill/>
        </a:ln>
      </cdr:spPr>
      <cdr:style>
        <a:lnRef xmlns:a="http://schemas.openxmlformats.org/drawingml/2006/main" idx="2">
          <a:schemeClr val="accent6"/>
        </a:lnRef>
        <a:fillRef xmlns:a="http://schemas.openxmlformats.org/drawingml/2006/main" idx="1">
          <a:schemeClr val="lt1"/>
        </a:fillRef>
        <a:effectRef xmlns:a="http://schemas.openxmlformats.org/drawingml/2006/main" idx="0">
          <a:schemeClr val="accent6"/>
        </a:effectRef>
        <a:fontRef xmlns:a="http://schemas.openxmlformats.org/drawingml/2006/main" idx="minor">
          <a:schemeClr val="dk1"/>
        </a:fontRef>
      </cdr:style>
      <cdr:txBody>
        <a:bodyPr xmlns:a="http://schemas.openxmlformats.org/drawingml/2006/main"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GB" sz="2200">
              <a:latin typeface="Times New Roman" panose="02020603050405020304" pitchFamily="18" charset="0"/>
              <a:cs typeface="Times New Roman" panose="02020603050405020304" pitchFamily="18" charset="0"/>
            </a:rPr>
            <a:t>Sample D</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DF4E6-7911-6047-922C-FF9A6729B224}">
  <dimension ref="A1:B9"/>
  <sheetViews>
    <sheetView tabSelected="1" workbookViewId="0">
      <selection sqref="A1:B1"/>
    </sheetView>
  </sheetViews>
  <sheetFormatPr baseColWidth="10" defaultRowHeight="16" x14ac:dyDescent="0.2"/>
  <cols>
    <col min="1" max="1" width="43.1640625" customWidth="1"/>
  </cols>
  <sheetData>
    <row r="1" spans="1:2" ht="17" thickBot="1" x14ac:dyDescent="0.25">
      <c r="A1" s="260" t="s">
        <v>170</v>
      </c>
      <c r="B1" s="261"/>
    </row>
    <row r="2" spans="1:2" ht="91" customHeight="1" x14ac:dyDescent="0.2">
      <c r="A2" s="262" t="s">
        <v>176</v>
      </c>
      <c r="B2" s="263"/>
    </row>
    <row r="3" spans="1:2" x14ac:dyDescent="0.2">
      <c r="A3" s="218" t="s">
        <v>16</v>
      </c>
      <c r="B3" s="166" t="s">
        <v>171</v>
      </c>
    </row>
    <row r="4" spans="1:2" ht="85" x14ac:dyDescent="0.2">
      <c r="A4" s="167" t="s">
        <v>172</v>
      </c>
      <c r="B4" s="168">
        <v>1</v>
      </c>
    </row>
    <row r="5" spans="1:2" ht="34" x14ac:dyDescent="0.2">
      <c r="A5" s="167" t="s">
        <v>207</v>
      </c>
      <c r="B5" s="168">
        <v>2</v>
      </c>
    </row>
    <row r="6" spans="1:2" ht="34" x14ac:dyDescent="0.2">
      <c r="A6" s="167" t="s">
        <v>173</v>
      </c>
      <c r="B6" s="168">
        <v>3</v>
      </c>
    </row>
    <row r="7" spans="1:2" ht="51" x14ac:dyDescent="0.2">
      <c r="A7" s="167" t="s">
        <v>174</v>
      </c>
      <c r="B7" s="168">
        <v>4</v>
      </c>
    </row>
    <row r="8" spans="1:2" ht="85" x14ac:dyDescent="0.2">
      <c r="A8" s="167" t="s">
        <v>268</v>
      </c>
      <c r="B8" s="168">
        <v>5</v>
      </c>
    </row>
    <row r="9" spans="1:2" ht="35" thickBot="1" x14ac:dyDescent="0.25">
      <c r="A9" s="169" t="s">
        <v>272</v>
      </c>
      <c r="B9" s="170">
        <v>6</v>
      </c>
    </row>
  </sheetData>
  <mergeCells count="2">
    <mergeCell ref="A1:B1"/>
    <mergeCell ref="A2:B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722E2-0C8A-C140-9EBD-94316FBC02C3}">
  <dimension ref="A1:J38"/>
  <sheetViews>
    <sheetView workbookViewId="0"/>
  </sheetViews>
  <sheetFormatPr baseColWidth="10" defaultRowHeight="16" x14ac:dyDescent="0.2"/>
  <cols>
    <col min="1" max="1" width="10.83203125" style="2"/>
    <col min="2" max="2" width="42.5" style="9" customWidth="1"/>
    <col min="3" max="3" width="19.1640625" style="7" bestFit="1" customWidth="1"/>
    <col min="4" max="4" width="10.83203125" style="7"/>
    <col min="5" max="5" width="19.1640625" style="7" customWidth="1"/>
    <col min="6" max="16384" width="10.83203125" style="7"/>
  </cols>
  <sheetData>
    <row r="1" spans="1:10" ht="18" thickBot="1" x14ac:dyDescent="0.25">
      <c r="A1" s="5" t="s">
        <v>14</v>
      </c>
      <c r="B1" s="6" t="s">
        <v>16</v>
      </c>
      <c r="C1" s="264" t="s">
        <v>17</v>
      </c>
      <c r="D1" s="264"/>
      <c r="E1" s="265"/>
      <c r="G1" s="210" t="s">
        <v>200</v>
      </c>
    </row>
    <row r="2" spans="1:10" ht="18" thickBot="1" x14ac:dyDescent="0.25">
      <c r="A2" s="5" t="s">
        <v>15</v>
      </c>
      <c r="B2" s="8" t="s">
        <v>18</v>
      </c>
      <c r="C2" s="266" t="s">
        <v>19</v>
      </c>
      <c r="D2" s="266"/>
      <c r="E2" s="267"/>
    </row>
    <row r="3" spans="1:10" ht="20" thickBot="1" x14ac:dyDescent="0.25">
      <c r="A3" s="3" t="s">
        <v>20</v>
      </c>
      <c r="B3" s="8" t="s">
        <v>32</v>
      </c>
      <c r="C3" s="268"/>
      <c r="D3" s="268"/>
      <c r="E3" s="269"/>
    </row>
    <row r="4" spans="1:10" x14ac:dyDescent="0.2">
      <c r="A4" s="270" t="s">
        <v>0</v>
      </c>
      <c r="B4" s="273" t="s">
        <v>33</v>
      </c>
      <c r="C4" s="276"/>
      <c r="D4" s="276"/>
      <c r="E4" s="277"/>
    </row>
    <row r="5" spans="1:10" x14ac:dyDescent="0.2">
      <c r="A5" s="271"/>
      <c r="B5" s="274"/>
      <c r="C5" s="268"/>
      <c r="D5" s="268"/>
      <c r="E5" s="269"/>
      <c r="J5" s="25"/>
    </row>
    <row r="6" spans="1:10" ht="17" thickBot="1" x14ac:dyDescent="0.25">
      <c r="A6" s="272"/>
      <c r="B6" s="275"/>
      <c r="C6" s="278"/>
      <c r="D6" s="278"/>
      <c r="E6" s="279"/>
    </row>
    <row r="7" spans="1:10" ht="35" thickBot="1" x14ac:dyDescent="0.25">
      <c r="A7" s="13" t="s">
        <v>43</v>
      </c>
      <c r="B7" s="12" t="s">
        <v>42</v>
      </c>
      <c r="C7" s="280" t="s">
        <v>41</v>
      </c>
      <c r="D7" s="266"/>
      <c r="E7" s="267"/>
    </row>
    <row r="8" spans="1:10" x14ac:dyDescent="0.2">
      <c r="A8" s="271" t="s">
        <v>9</v>
      </c>
      <c r="B8" s="273" t="s">
        <v>21</v>
      </c>
      <c r="C8" s="268"/>
      <c r="D8" s="268"/>
      <c r="E8" s="269"/>
    </row>
    <row r="9" spans="1:10" x14ac:dyDescent="0.2">
      <c r="A9" s="271"/>
      <c r="B9" s="274"/>
      <c r="C9" s="268"/>
      <c r="D9" s="268"/>
      <c r="E9" s="269"/>
    </row>
    <row r="10" spans="1:10" ht="17" thickBot="1" x14ac:dyDescent="0.25">
      <c r="A10" s="271"/>
      <c r="B10" s="275"/>
      <c r="C10" s="268"/>
      <c r="D10" s="268"/>
      <c r="E10" s="269"/>
    </row>
    <row r="11" spans="1:10" ht="19" thickBot="1" x14ac:dyDescent="0.25">
      <c r="A11" s="5" t="s">
        <v>34</v>
      </c>
      <c r="B11" s="8" t="s">
        <v>22</v>
      </c>
      <c r="C11" s="266" t="s">
        <v>24</v>
      </c>
      <c r="D11" s="266"/>
      <c r="E11" s="267"/>
    </row>
    <row r="12" spans="1:10" ht="19" thickBot="1" x14ac:dyDescent="0.25">
      <c r="A12" s="3" t="s">
        <v>35</v>
      </c>
      <c r="B12" s="8" t="s">
        <v>23</v>
      </c>
      <c r="C12" s="268" t="s">
        <v>24</v>
      </c>
      <c r="D12" s="268"/>
      <c r="E12" s="269"/>
    </row>
    <row r="13" spans="1:10" ht="19" thickBot="1" x14ac:dyDescent="0.25">
      <c r="A13" s="5" t="s">
        <v>36</v>
      </c>
      <c r="B13" s="8" t="s">
        <v>25</v>
      </c>
      <c r="C13" s="266" t="s">
        <v>26</v>
      </c>
      <c r="D13" s="266"/>
      <c r="E13" s="267"/>
    </row>
    <row r="14" spans="1:10" ht="20" thickBot="1" x14ac:dyDescent="0.25">
      <c r="A14" s="5" t="s">
        <v>27</v>
      </c>
      <c r="B14" s="8" t="s">
        <v>37</v>
      </c>
      <c r="C14" s="266"/>
      <c r="D14" s="266"/>
      <c r="E14" s="267"/>
    </row>
    <row r="15" spans="1:10" ht="19" customHeight="1" x14ac:dyDescent="0.2">
      <c r="A15" s="270" t="s">
        <v>67</v>
      </c>
      <c r="B15" s="273" t="s">
        <v>69</v>
      </c>
      <c r="C15" s="276"/>
      <c r="D15" s="276"/>
      <c r="E15" s="277"/>
    </row>
    <row r="16" spans="1:10" x14ac:dyDescent="0.2">
      <c r="A16" s="271"/>
      <c r="B16" s="274"/>
      <c r="C16" s="268"/>
      <c r="D16" s="268"/>
      <c r="E16" s="269"/>
    </row>
    <row r="17" spans="1:5" ht="19" customHeight="1" thickBot="1" x14ac:dyDescent="0.25">
      <c r="A17" s="272"/>
      <c r="B17" s="275"/>
      <c r="C17" s="278"/>
      <c r="D17" s="278"/>
      <c r="E17" s="279"/>
    </row>
    <row r="18" spans="1:5" ht="18" customHeight="1" x14ac:dyDescent="0.2">
      <c r="A18" s="283" t="s">
        <v>68</v>
      </c>
      <c r="B18" s="273" t="s">
        <v>70</v>
      </c>
      <c r="C18" s="286"/>
      <c r="D18" s="276"/>
      <c r="E18" s="277"/>
    </row>
    <row r="19" spans="1:5" ht="16" customHeight="1" x14ac:dyDescent="0.2">
      <c r="A19" s="284"/>
      <c r="B19" s="274"/>
      <c r="C19" s="287"/>
      <c r="D19" s="268"/>
      <c r="E19" s="269"/>
    </row>
    <row r="20" spans="1:5" ht="17" thickBot="1" x14ac:dyDescent="0.25">
      <c r="A20" s="285"/>
      <c r="B20" s="275"/>
      <c r="C20" s="288"/>
      <c r="D20" s="278"/>
      <c r="E20" s="279"/>
    </row>
    <row r="21" spans="1:5" ht="16" customHeight="1" thickBot="1" x14ac:dyDescent="0.25">
      <c r="A21" s="5" t="s">
        <v>71</v>
      </c>
      <c r="B21" s="8" t="s">
        <v>72</v>
      </c>
      <c r="C21" s="280" t="s">
        <v>89</v>
      </c>
      <c r="D21" s="266"/>
      <c r="E21" s="267"/>
    </row>
    <row r="22" spans="1:5" ht="16" customHeight="1" thickBot="1" x14ac:dyDescent="0.25">
      <c r="A22" s="5" t="s">
        <v>73</v>
      </c>
      <c r="B22" s="8" t="s">
        <v>74</v>
      </c>
      <c r="C22" s="280" t="s">
        <v>88</v>
      </c>
      <c r="D22" s="266"/>
      <c r="E22" s="267"/>
    </row>
    <row r="23" spans="1:5" ht="17" customHeight="1" thickBot="1" x14ac:dyDescent="0.25">
      <c r="A23" s="5" t="s">
        <v>75</v>
      </c>
      <c r="B23" s="8" t="s">
        <v>76</v>
      </c>
      <c r="C23" s="280" t="s">
        <v>88</v>
      </c>
      <c r="D23" s="266"/>
      <c r="E23" s="267"/>
    </row>
    <row r="24" spans="1:5" ht="16" customHeight="1" thickBot="1" x14ac:dyDescent="0.25">
      <c r="A24" s="5" t="s">
        <v>77</v>
      </c>
      <c r="B24" s="8" t="s">
        <v>78</v>
      </c>
      <c r="C24" s="280" t="s">
        <v>88</v>
      </c>
      <c r="D24" s="266"/>
      <c r="E24" s="267"/>
    </row>
    <row r="25" spans="1:5" ht="16" customHeight="1" thickBot="1" x14ac:dyDescent="0.25">
      <c r="A25" s="5" t="s">
        <v>79</v>
      </c>
      <c r="B25" s="8" t="s">
        <v>80</v>
      </c>
      <c r="C25" s="280" t="s">
        <v>88</v>
      </c>
      <c r="D25" s="266"/>
      <c r="E25" s="267"/>
    </row>
    <row r="26" spans="1:5" ht="17" customHeight="1" thickBot="1" x14ac:dyDescent="0.25">
      <c r="A26" s="5" t="s">
        <v>81</v>
      </c>
      <c r="B26" s="8" t="s">
        <v>82</v>
      </c>
      <c r="C26" s="280" t="s">
        <v>89</v>
      </c>
      <c r="D26" s="266"/>
      <c r="E26" s="267"/>
    </row>
    <row r="27" spans="1:5" ht="16" customHeight="1" thickBot="1" x14ac:dyDescent="0.25">
      <c r="A27" s="5" t="s">
        <v>83</v>
      </c>
      <c r="B27" s="8" t="s">
        <v>84</v>
      </c>
      <c r="C27" s="280" t="s">
        <v>13</v>
      </c>
      <c r="D27" s="266"/>
      <c r="E27" s="267"/>
    </row>
    <row r="28" spans="1:5" ht="16" customHeight="1" thickBot="1" x14ac:dyDescent="0.25">
      <c r="A28" s="5" t="s">
        <v>85</v>
      </c>
      <c r="B28" s="8" t="s">
        <v>86</v>
      </c>
      <c r="C28" s="280" t="s">
        <v>13</v>
      </c>
      <c r="D28" s="266"/>
      <c r="E28" s="267"/>
    </row>
    <row r="29" spans="1:5" ht="17" customHeight="1" thickBot="1" x14ac:dyDescent="0.25">
      <c r="A29" s="5" t="s">
        <v>87</v>
      </c>
      <c r="B29" s="8" t="s">
        <v>90</v>
      </c>
      <c r="C29" s="280" t="s">
        <v>13</v>
      </c>
      <c r="D29" s="266"/>
      <c r="E29" s="267"/>
    </row>
    <row r="30" spans="1:5" ht="17" thickBot="1" x14ac:dyDescent="0.25">
      <c r="A30" s="4" t="s">
        <v>28</v>
      </c>
      <c r="B30" s="281" t="s">
        <v>29</v>
      </c>
      <c r="C30" s="281"/>
      <c r="D30" s="281"/>
      <c r="E30" s="282"/>
    </row>
    <row r="32" spans="1:5" x14ac:dyDescent="0.2">
      <c r="A32" s="2" t="s">
        <v>28</v>
      </c>
    </row>
    <row r="33" spans="1:1" x14ac:dyDescent="0.2">
      <c r="A33" s="11" t="s">
        <v>91</v>
      </c>
    </row>
    <row r="34" spans="1:1" x14ac:dyDescent="0.2">
      <c r="A34" s="340" t="s">
        <v>276</v>
      </c>
    </row>
    <row r="35" spans="1:1" x14ac:dyDescent="0.2">
      <c r="A35" s="10" t="s">
        <v>31</v>
      </c>
    </row>
    <row r="36" spans="1:1" x14ac:dyDescent="0.2">
      <c r="A36" s="10" t="s">
        <v>38</v>
      </c>
    </row>
    <row r="37" spans="1:1" x14ac:dyDescent="0.2">
      <c r="A37" s="11" t="s">
        <v>39</v>
      </c>
    </row>
    <row r="38" spans="1:1" x14ac:dyDescent="0.2">
      <c r="A38" s="10" t="s">
        <v>30</v>
      </c>
    </row>
  </sheetData>
  <mergeCells count="30">
    <mergeCell ref="C28:E28"/>
    <mergeCell ref="C29:E29"/>
    <mergeCell ref="C22:E22"/>
    <mergeCell ref="C23:E23"/>
    <mergeCell ref="C24:E24"/>
    <mergeCell ref="C25:E25"/>
    <mergeCell ref="C26:E26"/>
    <mergeCell ref="C27:E27"/>
    <mergeCell ref="C21:E21"/>
    <mergeCell ref="C14:E14"/>
    <mergeCell ref="B30:E30"/>
    <mergeCell ref="C7:E7"/>
    <mergeCell ref="A15:A17"/>
    <mergeCell ref="A8:A10"/>
    <mergeCell ref="B8:B10"/>
    <mergeCell ref="C8:E10"/>
    <mergeCell ref="C11:E11"/>
    <mergeCell ref="C12:E12"/>
    <mergeCell ref="C13:E13"/>
    <mergeCell ref="B15:B17"/>
    <mergeCell ref="C15:E17"/>
    <mergeCell ref="A18:A20"/>
    <mergeCell ref="B18:B20"/>
    <mergeCell ref="C18:E20"/>
    <mergeCell ref="C1:E1"/>
    <mergeCell ref="C2:E2"/>
    <mergeCell ref="C3:E3"/>
    <mergeCell ref="A4:A6"/>
    <mergeCell ref="B4:B6"/>
    <mergeCell ref="C4:E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DB150-1D84-0243-A150-1FCD18E331D3}">
  <dimension ref="A1:T82"/>
  <sheetViews>
    <sheetView zoomScale="87" zoomScaleNormal="68" workbookViewId="0"/>
  </sheetViews>
  <sheetFormatPr baseColWidth="10" defaultColWidth="8.83203125" defaultRowHeight="15" x14ac:dyDescent="0.2"/>
  <cols>
    <col min="1" max="1" width="26.33203125" style="61" bestFit="1" customWidth="1"/>
    <col min="2" max="2" width="18.33203125" style="14" bestFit="1" customWidth="1"/>
    <col min="3" max="3" width="15" style="14" bestFit="1" customWidth="1"/>
    <col min="4" max="4" width="18.6640625" style="14" bestFit="1" customWidth="1"/>
    <col min="5" max="5" width="17" style="14" bestFit="1" customWidth="1"/>
    <col min="6" max="6" width="19.5" style="14" bestFit="1" customWidth="1"/>
    <col min="7" max="7" width="20.5" style="14" bestFit="1" customWidth="1"/>
    <col min="8" max="8" width="21.5" style="14" bestFit="1" customWidth="1"/>
    <col min="9" max="9" width="20.6640625" style="14" bestFit="1" customWidth="1"/>
    <col min="10" max="10" width="24" style="14" bestFit="1" customWidth="1"/>
    <col min="11" max="11" width="17.83203125" style="14" bestFit="1" customWidth="1"/>
    <col min="12" max="12" width="19.83203125" style="14" bestFit="1" customWidth="1"/>
    <col min="13" max="13" width="17.83203125" style="14" bestFit="1" customWidth="1"/>
    <col min="14" max="14" width="16.6640625" style="14" bestFit="1" customWidth="1"/>
    <col min="15" max="15" width="16.1640625" style="14" bestFit="1" customWidth="1"/>
    <col min="16" max="16" width="17.33203125" style="14" bestFit="1" customWidth="1"/>
    <col min="17" max="17" width="9.5" style="14" bestFit="1" customWidth="1"/>
    <col min="18" max="18" width="12.1640625" style="14" bestFit="1" customWidth="1"/>
    <col min="19" max="16384" width="8.83203125" style="14"/>
  </cols>
  <sheetData>
    <row r="1" spans="1:11" ht="16" thickBot="1" x14ac:dyDescent="0.25"/>
    <row r="2" spans="1:11" ht="16" thickBot="1" x14ac:dyDescent="0.25">
      <c r="A2" s="298" t="s">
        <v>10</v>
      </c>
      <c r="B2" s="299"/>
      <c r="C2" s="299"/>
      <c r="D2" s="299"/>
      <c r="E2" s="299"/>
      <c r="F2" s="299"/>
      <c r="G2" s="299"/>
      <c r="H2" s="299"/>
      <c r="I2" s="299"/>
      <c r="J2" s="299"/>
      <c r="K2" s="299"/>
    </row>
    <row r="3" spans="1:11" ht="19" thickBot="1" x14ac:dyDescent="0.25">
      <c r="A3" s="175"/>
      <c r="B3" s="176" t="s">
        <v>11</v>
      </c>
      <c r="C3" s="176" t="s">
        <v>46</v>
      </c>
      <c r="D3" s="176" t="s">
        <v>44</v>
      </c>
      <c r="E3" s="176" t="s">
        <v>40</v>
      </c>
      <c r="F3" s="172" t="s">
        <v>47</v>
      </c>
      <c r="G3" s="176" t="s">
        <v>45</v>
      </c>
      <c r="H3" s="176" t="s">
        <v>9</v>
      </c>
      <c r="I3" s="176" t="s">
        <v>58</v>
      </c>
      <c r="J3" s="176" t="s">
        <v>57</v>
      </c>
      <c r="K3" s="176" t="s">
        <v>48</v>
      </c>
    </row>
    <row r="4" spans="1:11" ht="16" x14ac:dyDescent="0.2">
      <c r="A4" s="303" t="s">
        <v>6</v>
      </c>
      <c r="B4" s="300">
        <v>0.52180000000000004</v>
      </c>
      <c r="C4" s="300">
        <v>0.49586999999999998</v>
      </c>
      <c r="D4" s="15">
        <v>1.9885999999999999</v>
      </c>
      <c r="E4" s="15">
        <v>39.94</v>
      </c>
      <c r="F4" s="15">
        <v>19.93</v>
      </c>
      <c r="G4" s="173">
        <v>33.900000000000006</v>
      </c>
      <c r="H4" s="300">
        <v>1.0363746220000001</v>
      </c>
      <c r="I4" s="173">
        <f>((E4-(G4*$H$4))*49*$B$4)/D4</f>
        <v>61.804178122059788</v>
      </c>
      <c r="J4" s="300">
        <f>AVERAGE(I4:I6)</f>
        <v>62.733030160084546</v>
      </c>
      <c r="K4" s="300">
        <f>STDEV(I4:I6)</f>
        <v>3.4715755089305684</v>
      </c>
    </row>
    <row r="5" spans="1:11" ht="16" x14ac:dyDescent="0.2">
      <c r="A5" s="304"/>
      <c r="B5" s="301"/>
      <c r="C5" s="301"/>
      <c r="D5" s="42">
        <v>1.9917</v>
      </c>
      <c r="E5" s="42">
        <v>40.06</v>
      </c>
      <c r="F5" s="42">
        <v>19.899999999999999</v>
      </c>
      <c r="G5" s="178">
        <v>33.65</v>
      </c>
      <c r="H5" s="301"/>
      <c r="I5" s="178">
        <f>((E5-(G5*$H$4))*49*$B$4)/D5</f>
        <v>66.574549890085635</v>
      </c>
      <c r="J5" s="301"/>
      <c r="K5" s="301"/>
    </row>
    <row r="6" spans="1:11" ht="17" thickBot="1" x14ac:dyDescent="0.25">
      <c r="A6" s="304"/>
      <c r="B6" s="301"/>
      <c r="C6" s="301"/>
      <c r="D6" s="42">
        <v>1.9916</v>
      </c>
      <c r="E6" s="42">
        <v>40</v>
      </c>
      <c r="F6" s="42">
        <v>20</v>
      </c>
      <c r="G6" s="178">
        <v>34.1</v>
      </c>
      <c r="H6" s="301"/>
      <c r="I6" s="178">
        <f>((E6-(G6*$H$4))*49*$B$4)/D6</f>
        <v>59.820362468108222</v>
      </c>
      <c r="J6" s="301"/>
      <c r="K6" s="301"/>
    </row>
    <row r="7" spans="1:11" ht="16" x14ac:dyDescent="0.2">
      <c r="A7" s="303" t="s">
        <v>5</v>
      </c>
      <c r="B7" s="300">
        <v>0.52180000000000004</v>
      </c>
      <c r="C7" s="300">
        <v>0.49586999999999998</v>
      </c>
      <c r="D7" s="15">
        <v>2.02</v>
      </c>
      <c r="E7" s="16">
        <v>40.04</v>
      </c>
      <c r="F7" s="16">
        <v>20.54</v>
      </c>
      <c r="G7" s="173">
        <v>31.15</v>
      </c>
      <c r="H7" s="300">
        <v>1.0546736241129835</v>
      </c>
      <c r="I7" s="173">
        <f>((E7-(G7*$H$7))*49*$B$7)/D7</f>
        <v>90.968574870881227</v>
      </c>
      <c r="J7" s="300">
        <f>AVERAGE(I7:I9)</f>
        <v>91.914239296069397</v>
      </c>
      <c r="K7" s="300">
        <f>STDEV(I7:I9)</f>
        <v>1.4548346068031111</v>
      </c>
    </row>
    <row r="8" spans="1:11" ht="16" x14ac:dyDescent="0.2">
      <c r="A8" s="304"/>
      <c r="B8" s="301"/>
      <c r="C8" s="301"/>
      <c r="D8" s="42">
        <v>2.0299999999999998</v>
      </c>
      <c r="E8" s="179">
        <v>40.04</v>
      </c>
      <c r="F8" s="179">
        <v>20.18</v>
      </c>
      <c r="G8" s="178">
        <v>31.100000000000005</v>
      </c>
      <c r="H8" s="301"/>
      <c r="I8" s="178">
        <f>((E8-(G8*$H$7))*49*$B$7)/D8</f>
        <v>91.184643619203086</v>
      </c>
      <c r="J8" s="301"/>
      <c r="K8" s="301"/>
    </row>
    <row r="9" spans="1:11" ht="17" thickBot="1" x14ac:dyDescent="0.25">
      <c r="A9" s="305"/>
      <c r="B9" s="302"/>
      <c r="C9" s="302"/>
      <c r="D9" s="50">
        <v>2.0299999999999998</v>
      </c>
      <c r="E9" s="17">
        <v>40.020000000000003</v>
      </c>
      <c r="F9" s="17">
        <v>20.190000000000001</v>
      </c>
      <c r="G9" s="174">
        <v>30.900000000000006</v>
      </c>
      <c r="H9" s="302"/>
      <c r="I9" s="174">
        <f>((E9-(G9*$H$7))*49*$B$7)/D9</f>
        <v>93.589499398123834</v>
      </c>
      <c r="J9" s="302"/>
      <c r="K9" s="302"/>
    </row>
    <row r="10" spans="1:11" ht="16" x14ac:dyDescent="0.2">
      <c r="A10" s="303" t="s">
        <v>8</v>
      </c>
      <c r="B10" s="300">
        <v>0.99099999999999999</v>
      </c>
      <c r="C10" s="300">
        <v>0.49586999999999998</v>
      </c>
      <c r="D10" s="15">
        <v>2</v>
      </c>
      <c r="E10" s="15">
        <v>41.16</v>
      </c>
      <c r="F10" s="15">
        <v>20.18</v>
      </c>
      <c r="G10" s="173">
        <v>60.9</v>
      </c>
      <c r="H10" s="300">
        <v>0.55087438076470152</v>
      </c>
      <c r="I10" s="173">
        <f>((E10-(G10*$H$10))*49*$B$10)/D10</f>
        <v>184.80948925840676</v>
      </c>
      <c r="J10" s="300">
        <f>AVERAGE(I10:I14)</f>
        <v>187.25721380587106</v>
      </c>
      <c r="K10" s="300">
        <f>STDEV(I10:I14)</f>
        <v>3.0844114889416097</v>
      </c>
    </row>
    <row r="11" spans="1:11" ht="16" x14ac:dyDescent="0.2">
      <c r="A11" s="304"/>
      <c r="B11" s="301"/>
      <c r="C11" s="301"/>
      <c r="D11" s="42">
        <v>1.99</v>
      </c>
      <c r="E11" s="42">
        <v>40.020000000000003</v>
      </c>
      <c r="F11" s="42">
        <v>20.49</v>
      </c>
      <c r="G11" s="178">
        <v>58.900000000000006</v>
      </c>
      <c r="H11" s="301"/>
      <c r="I11" s="178">
        <f>((E11-(G11*$H$10))*49*$B$10)/D11</f>
        <v>184.80479227533667</v>
      </c>
      <c r="J11" s="301"/>
      <c r="K11" s="301"/>
    </row>
    <row r="12" spans="1:11" ht="16" x14ac:dyDescent="0.2">
      <c r="A12" s="304"/>
      <c r="B12" s="301"/>
      <c r="C12" s="301"/>
      <c r="D12" s="42">
        <v>2</v>
      </c>
      <c r="E12" s="42">
        <v>40.03</v>
      </c>
      <c r="F12" s="42">
        <v>20.14</v>
      </c>
      <c r="G12" s="178">
        <v>58.8</v>
      </c>
      <c r="H12" s="301"/>
      <c r="I12" s="178">
        <f>((E12-(G12*$H$10))*49*$B$10)/D12</f>
        <v>185.46105876673772</v>
      </c>
      <c r="J12" s="301"/>
      <c r="K12" s="301"/>
    </row>
    <row r="13" spans="1:11" ht="16" x14ac:dyDescent="0.2">
      <c r="A13" s="304"/>
      <c r="B13" s="301"/>
      <c r="C13" s="301"/>
      <c r="D13" s="42">
        <v>2</v>
      </c>
      <c r="E13" s="178">
        <v>40.04</v>
      </c>
      <c r="F13" s="178">
        <v>20</v>
      </c>
      <c r="G13" s="178">
        <v>58.4</v>
      </c>
      <c r="H13" s="301"/>
      <c r="I13" s="178">
        <f>((E13-(G13*$H$10))*49*$B$10)/D13</f>
        <v>191.05383557784828</v>
      </c>
      <c r="J13" s="301"/>
      <c r="K13" s="301"/>
    </row>
    <row r="14" spans="1:11" ht="17" thickBot="1" x14ac:dyDescent="0.25">
      <c r="A14" s="305"/>
      <c r="B14" s="302"/>
      <c r="C14" s="302"/>
      <c r="D14" s="50">
        <v>1.98</v>
      </c>
      <c r="E14" s="174">
        <v>40.090000000000003</v>
      </c>
      <c r="F14" s="174">
        <v>20.28</v>
      </c>
      <c r="G14" s="174">
        <v>58.699999999999996</v>
      </c>
      <c r="H14" s="302"/>
      <c r="I14" s="174">
        <f>((E14-(G14*$H$10))*49*$B$10)/D14</f>
        <v>190.15689315102571</v>
      </c>
      <c r="J14" s="302"/>
      <c r="K14" s="302"/>
    </row>
    <row r="15" spans="1:11" ht="16" x14ac:dyDescent="0.2">
      <c r="A15" s="304" t="s">
        <v>8</v>
      </c>
      <c r="B15" s="301">
        <v>0.52180000000000004</v>
      </c>
      <c r="C15" s="301">
        <v>0.49586999999999998</v>
      </c>
      <c r="D15" s="42">
        <v>2.0099999999999998</v>
      </c>
      <c r="E15" s="42">
        <v>40.020000000000003</v>
      </c>
      <c r="F15" s="42">
        <v>20.12</v>
      </c>
      <c r="G15" s="178">
        <v>32.199999999999996</v>
      </c>
      <c r="H15" s="301">
        <v>1.0546736241129835</v>
      </c>
      <c r="I15" s="178">
        <f>((E15-(G15*$H$15))*49*$B$15)/D15</f>
        <v>77.079973022553418</v>
      </c>
      <c r="J15" s="301">
        <f>AVERAGE(I15:I19)</f>
        <v>78.015548299038997</v>
      </c>
      <c r="K15" s="301">
        <f>STDEV(I15:I19)</f>
        <v>4.380160659872196</v>
      </c>
    </row>
    <row r="16" spans="1:11" ht="16" x14ac:dyDescent="0.2">
      <c r="A16" s="304"/>
      <c r="B16" s="301"/>
      <c r="C16" s="301"/>
      <c r="D16" s="42">
        <v>2</v>
      </c>
      <c r="E16" s="42">
        <v>40.01</v>
      </c>
      <c r="F16" s="42">
        <v>20.36</v>
      </c>
      <c r="G16" s="178">
        <v>32.4</v>
      </c>
      <c r="H16" s="301"/>
      <c r="I16" s="178">
        <f>((E16-(G16*$H$15))*49*$B$15)/D16</f>
        <v>74.640921272061519</v>
      </c>
      <c r="J16" s="301"/>
      <c r="K16" s="301"/>
    </row>
    <row r="17" spans="1:11" ht="16" x14ac:dyDescent="0.2">
      <c r="A17" s="304"/>
      <c r="B17" s="301"/>
      <c r="C17" s="301"/>
      <c r="D17" s="42">
        <v>2</v>
      </c>
      <c r="E17" s="42">
        <v>40.049999999999997</v>
      </c>
      <c r="F17" s="42">
        <v>20.22</v>
      </c>
      <c r="G17" s="178">
        <v>32.299999999999997</v>
      </c>
      <c r="H17" s="301"/>
      <c r="I17" s="178">
        <f>((E17-(G17*$H$15))*49*$B$15)/D17</f>
        <v>76.500590579863854</v>
      </c>
      <c r="J17" s="301"/>
      <c r="K17" s="301"/>
    </row>
    <row r="18" spans="1:11" x14ac:dyDescent="0.2">
      <c r="A18" s="304"/>
      <c r="B18" s="301"/>
      <c r="C18" s="301"/>
      <c r="D18" s="178">
        <v>2</v>
      </c>
      <c r="E18" s="178">
        <v>40.03</v>
      </c>
      <c r="F18" s="178">
        <v>20.149999999999999</v>
      </c>
      <c r="G18" s="178">
        <v>31.600000000000009</v>
      </c>
      <c r="H18" s="301"/>
      <c r="I18" s="178">
        <f>((E18-(G18*$H$15))*49*$B$15)/D18</f>
        <v>85.683045734479705</v>
      </c>
      <c r="J18" s="301"/>
      <c r="K18" s="301"/>
    </row>
    <row r="19" spans="1:11" ht="16" thickBot="1" x14ac:dyDescent="0.25">
      <c r="A19" s="305"/>
      <c r="B19" s="302"/>
      <c r="C19" s="302"/>
      <c r="D19" s="174">
        <v>2</v>
      </c>
      <c r="E19" s="174">
        <v>41.29</v>
      </c>
      <c r="F19" s="174">
        <v>20.010000000000002</v>
      </c>
      <c r="G19" s="174">
        <v>33.5</v>
      </c>
      <c r="H19" s="302"/>
      <c r="I19" s="174">
        <f>((E19-(G19*$H$15))*49*$B$15)/D19</f>
        <v>76.173210886236447</v>
      </c>
      <c r="J19" s="302"/>
      <c r="K19" s="302"/>
    </row>
    <row r="20" spans="1:11" ht="16" thickBot="1" x14ac:dyDescent="0.25"/>
    <row r="21" spans="1:11" ht="16" thickBot="1" x14ac:dyDescent="0.25">
      <c r="A21" s="303" t="s">
        <v>52</v>
      </c>
      <c r="B21" s="306"/>
      <c r="C21" s="306"/>
      <c r="D21" s="306"/>
      <c r="E21" s="306"/>
      <c r="F21" s="306"/>
      <c r="G21" s="306"/>
      <c r="H21" s="306"/>
      <c r="I21" s="306"/>
      <c r="J21" s="306"/>
      <c r="K21" s="306"/>
    </row>
    <row r="22" spans="1:11" ht="18" thickBot="1" x14ac:dyDescent="0.25">
      <c r="A22" s="175"/>
      <c r="B22" s="176" t="s">
        <v>12</v>
      </c>
      <c r="C22" s="176" t="s">
        <v>1</v>
      </c>
      <c r="D22" s="176" t="s">
        <v>4</v>
      </c>
      <c r="E22" s="176" t="s">
        <v>3</v>
      </c>
      <c r="F22" s="176" t="s">
        <v>2</v>
      </c>
      <c r="G22" s="176" t="s">
        <v>53</v>
      </c>
      <c r="H22" s="176" t="s">
        <v>54</v>
      </c>
      <c r="I22" s="176" t="s">
        <v>51</v>
      </c>
      <c r="J22" s="176" t="s">
        <v>49</v>
      </c>
      <c r="K22" s="176" t="s">
        <v>50</v>
      </c>
    </row>
    <row r="23" spans="1:11" x14ac:dyDescent="0.2">
      <c r="A23" s="304" t="s">
        <v>6</v>
      </c>
      <c r="B23" s="307">
        <v>9.4799999999999995E-2</v>
      </c>
      <c r="C23" s="178">
        <v>2.5499999999999998</v>
      </c>
      <c r="D23" s="178">
        <v>2.5099999999999998</v>
      </c>
      <c r="E23" s="178">
        <v>2.5099999999999998</v>
      </c>
      <c r="F23" s="178">
        <v>22.1</v>
      </c>
      <c r="G23" s="178">
        <f>(49*F23*$B$23)/C23</f>
        <v>40.258400000000009</v>
      </c>
      <c r="H23" s="301">
        <f>AVERAGE(G23:G26)</f>
        <v>39.988649212598425</v>
      </c>
      <c r="I23" s="301">
        <f>STDEV(G23:G26)</f>
        <v>0.21294814152944552</v>
      </c>
      <c r="J23" s="301">
        <f>AVERAGE(E23:E26)</f>
        <v>2.5</v>
      </c>
      <c r="K23" s="301">
        <f>STDEV(E23:E26)</f>
        <v>1.9999999999999796E-2</v>
      </c>
    </row>
    <row r="24" spans="1:11" x14ac:dyDescent="0.2">
      <c r="A24" s="304"/>
      <c r="B24" s="307"/>
      <c r="C24" s="178">
        <v>2.54</v>
      </c>
      <c r="D24" s="178">
        <v>2.5499999999999998</v>
      </c>
      <c r="E24" s="178">
        <v>2.5099999999999998</v>
      </c>
      <c r="F24" s="178">
        <v>21.799999999999997</v>
      </c>
      <c r="G24" s="178">
        <f t="shared" ref="G24:G38" si="0">(49*F24*$B$23)/C24</f>
        <v>39.868251968503927</v>
      </c>
      <c r="H24" s="301"/>
      <c r="I24" s="301"/>
      <c r="J24" s="301"/>
      <c r="K24" s="301"/>
    </row>
    <row r="25" spans="1:11" x14ac:dyDescent="0.2">
      <c r="A25" s="304"/>
      <c r="B25" s="307"/>
      <c r="C25" s="178">
        <v>2.54</v>
      </c>
      <c r="D25" s="178">
        <v>2.56</v>
      </c>
      <c r="E25" s="178">
        <v>2.4700000000000002</v>
      </c>
      <c r="F25" s="178">
        <v>21.900000000000002</v>
      </c>
      <c r="G25" s="178">
        <f t="shared" si="0"/>
        <v>40.051133858267718</v>
      </c>
      <c r="H25" s="301"/>
      <c r="I25" s="301"/>
      <c r="J25" s="301"/>
      <c r="K25" s="301"/>
    </row>
    <row r="26" spans="1:11" ht="16" thickBot="1" x14ac:dyDescent="0.25">
      <c r="A26" s="305"/>
      <c r="B26" s="307"/>
      <c r="C26" s="174">
        <v>2.54</v>
      </c>
      <c r="D26" s="174">
        <v>2.57</v>
      </c>
      <c r="E26" s="174">
        <v>2.5099999999999998</v>
      </c>
      <c r="F26" s="174">
        <v>21.75</v>
      </c>
      <c r="G26" s="174">
        <f t="shared" si="0"/>
        <v>39.776811023622045</v>
      </c>
      <c r="H26" s="302"/>
      <c r="I26" s="302"/>
      <c r="J26" s="302"/>
      <c r="K26" s="302"/>
    </row>
    <row r="27" spans="1:11" x14ac:dyDescent="0.2">
      <c r="A27" s="303" t="s">
        <v>5</v>
      </c>
      <c r="B27" s="307"/>
      <c r="C27" s="173">
        <v>2.5</v>
      </c>
      <c r="D27" s="173">
        <v>5</v>
      </c>
      <c r="E27" s="173">
        <v>2.4</v>
      </c>
      <c r="F27" s="173">
        <v>21.35</v>
      </c>
      <c r="G27" s="173">
        <f t="shared" si="0"/>
        <v>39.670008000000003</v>
      </c>
      <c r="H27" s="300">
        <f>AVERAGE(G27:G30)</f>
        <v>40.048516472231555</v>
      </c>
      <c r="I27" s="300">
        <f>STDEV(G27:G30)</f>
        <v>0.42532884551424155</v>
      </c>
      <c r="J27" s="300">
        <f>AVERAGE(E27:E30)</f>
        <v>2.41</v>
      </c>
      <c r="K27" s="300">
        <f>STDEV(E27:E30)</f>
        <v>1.4142135623731067E-2</v>
      </c>
    </row>
    <row r="28" spans="1:11" x14ac:dyDescent="0.2">
      <c r="A28" s="304"/>
      <c r="B28" s="307"/>
      <c r="C28" s="178">
        <v>2.5099999999999998</v>
      </c>
      <c r="D28" s="178">
        <v>5</v>
      </c>
      <c r="E28" s="178">
        <v>2.4300000000000002</v>
      </c>
      <c r="F28" s="178">
        <v>21.8</v>
      </c>
      <c r="G28" s="178">
        <f t="shared" si="0"/>
        <v>40.344764940239045</v>
      </c>
      <c r="H28" s="301"/>
      <c r="I28" s="301"/>
      <c r="J28" s="301"/>
      <c r="K28" s="301"/>
    </row>
    <row r="29" spans="1:11" x14ac:dyDescent="0.2">
      <c r="A29" s="304"/>
      <c r="B29" s="307"/>
      <c r="C29" s="178">
        <v>2.5099999999999998</v>
      </c>
      <c r="D29" s="178">
        <v>5</v>
      </c>
      <c r="E29" s="178">
        <v>2.41</v>
      </c>
      <c r="F29" s="178">
        <v>21.449999999999996</v>
      </c>
      <c r="G29" s="178">
        <f t="shared" si="0"/>
        <v>39.697027888446208</v>
      </c>
      <c r="H29" s="301"/>
      <c r="I29" s="301"/>
      <c r="J29" s="301"/>
      <c r="K29" s="301"/>
    </row>
    <row r="30" spans="1:11" ht="16" thickBot="1" x14ac:dyDescent="0.25">
      <c r="A30" s="305"/>
      <c r="B30" s="307"/>
      <c r="C30" s="174">
        <v>2.4900000000000002</v>
      </c>
      <c r="D30" s="174">
        <v>4.9800000000000004</v>
      </c>
      <c r="E30" s="174">
        <v>2.4</v>
      </c>
      <c r="F30" s="174">
        <v>21.700000000000003</v>
      </c>
      <c r="G30" s="174">
        <f t="shared" si="0"/>
        <v>40.482265060240962</v>
      </c>
      <c r="H30" s="302"/>
      <c r="I30" s="302"/>
      <c r="J30" s="302"/>
      <c r="K30" s="302"/>
    </row>
    <row r="31" spans="1:11" x14ac:dyDescent="0.2">
      <c r="A31" s="303" t="s">
        <v>8</v>
      </c>
      <c r="B31" s="307"/>
      <c r="C31" s="173">
        <v>2.5099999999999998</v>
      </c>
      <c r="D31" s="173">
        <v>6.34</v>
      </c>
      <c r="E31" s="173">
        <v>6.5</v>
      </c>
      <c r="F31" s="173">
        <v>21.35</v>
      </c>
      <c r="G31" s="173">
        <f t="shared" si="0"/>
        <v>39.511960159362552</v>
      </c>
      <c r="H31" s="300">
        <f>AVERAGE(G31:G34)</f>
        <v>40.048701539960632</v>
      </c>
      <c r="I31" s="300">
        <f>STDEV(G31:G34)</f>
        <v>0.44755893625850368</v>
      </c>
      <c r="J31" s="300">
        <f>AVERAGE(E31:E34)</f>
        <v>6.4450000000000003</v>
      </c>
      <c r="K31" s="300">
        <f>STDEV(E31:E34)</f>
        <v>6.1913918736688951E-2</v>
      </c>
    </row>
    <row r="32" spans="1:11" x14ac:dyDescent="0.2">
      <c r="A32" s="304"/>
      <c r="B32" s="307"/>
      <c r="C32" s="178">
        <v>2.5099999999999998</v>
      </c>
      <c r="D32" s="178">
        <v>6.15</v>
      </c>
      <c r="E32" s="178">
        <v>6.36</v>
      </c>
      <c r="F32" s="178">
        <v>21.8</v>
      </c>
      <c r="G32" s="178">
        <f t="shared" si="0"/>
        <v>40.344764940239045</v>
      </c>
      <c r="H32" s="301"/>
      <c r="I32" s="301"/>
      <c r="J32" s="301"/>
      <c r="K32" s="301"/>
    </row>
    <row r="33" spans="1:16" x14ac:dyDescent="0.2">
      <c r="A33" s="304"/>
      <c r="B33" s="307"/>
      <c r="C33" s="178">
        <v>2.5</v>
      </c>
      <c r="D33" s="178">
        <v>6.33</v>
      </c>
      <c r="E33" s="178">
        <v>6.48</v>
      </c>
      <c r="F33" s="178">
        <v>21.449999999999996</v>
      </c>
      <c r="G33" s="178">
        <f t="shared" si="0"/>
        <v>39.85581599999999</v>
      </c>
      <c r="H33" s="301"/>
      <c r="I33" s="301"/>
      <c r="J33" s="301"/>
      <c r="K33" s="301"/>
    </row>
    <row r="34" spans="1:16" ht="16" thickBot="1" x14ac:dyDescent="0.25">
      <c r="A34" s="305"/>
      <c r="B34" s="307"/>
      <c r="C34" s="174">
        <v>2.4900000000000002</v>
      </c>
      <c r="D34" s="174">
        <v>6.26</v>
      </c>
      <c r="E34" s="174">
        <v>6.44</v>
      </c>
      <c r="F34" s="174">
        <v>21.700000000000003</v>
      </c>
      <c r="G34" s="174">
        <f t="shared" si="0"/>
        <v>40.482265060240962</v>
      </c>
      <c r="H34" s="302"/>
      <c r="I34" s="302"/>
      <c r="J34" s="302"/>
      <c r="K34" s="302"/>
    </row>
    <row r="35" spans="1:16" x14ac:dyDescent="0.2">
      <c r="A35" s="303" t="s">
        <v>7</v>
      </c>
      <c r="B35" s="307"/>
      <c r="C35" s="173">
        <v>2.5</v>
      </c>
      <c r="D35" s="20" t="s">
        <v>13</v>
      </c>
      <c r="E35" s="173">
        <v>5.72</v>
      </c>
      <c r="F35" s="173">
        <v>0.9</v>
      </c>
      <c r="G35" s="173">
        <f t="shared" si="0"/>
        <v>1.672272</v>
      </c>
      <c r="H35" s="300">
        <f>AVERAGE(G35:G38)</f>
        <v>1.5329518195604677</v>
      </c>
      <c r="I35" s="300">
        <f>STDEV(G35:G38)</f>
        <v>9.3263051613802286E-2</v>
      </c>
      <c r="J35" s="300">
        <f>AVERAGE(E35:E38)</f>
        <v>5.7299999999999995</v>
      </c>
      <c r="K35" s="300">
        <f>STDEV(E35:E38)</f>
        <v>2.0000000000000018E-2</v>
      </c>
    </row>
    <row r="36" spans="1:16" x14ac:dyDescent="0.2">
      <c r="A36" s="304"/>
      <c r="B36" s="307"/>
      <c r="C36" s="178">
        <v>2.5099999999999998</v>
      </c>
      <c r="D36" s="180" t="s">
        <v>13</v>
      </c>
      <c r="E36" s="178">
        <v>5.76</v>
      </c>
      <c r="F36" s="178">
        <v>0.79999999999999993</v>
      </c>
      <c r="G36" s="178">
        <f t="shared" si="0"/>
        <v>1.4805418326693227</v>
      </c>
      <c r="H36" s="301"/>
      <c r="I36" s="301"/>
      <c r="J36" s="301"/>
      <c r="K36" s="301"/>
    </row>
    <row r="37" spans="1:16" x14ac:dyDescent="0.2">
      <c r="A37" s="304"/>
      <c r="B37" s="307"/>
      <c r="C37" s="178">
        <v>2.5099999999999998</v>
      </c>
      <c r="D37" s="180" t="s">
        <v>13</v>
      </c>
      <c r="E37" s="178">
        <v>5.72</v>
      </c>
      <c r="F37" s="178">
        <v>0.8</v>
      </c>
      <c r="G37" s="178">
        <f t="shared" si="0"/>
        <v>1.4805418326693227</v>
      </c>
      <c r="H37" s="301"/>
      <c r="I37" s="301"/>
      <c r="J37" s="301"/>
      <c r="K37" s="301"/>
    </row>
    <row r="38" spans="1:16" ht="16" thickBot="1" x14ac:dyDescent="0.25">
      <c r="A38" s="305"/>
      <c r="B38" s="308"/>
      <c r="C38" s="174">
        <v>2.48</v>
      </c>
      <c r="D38" s="22" t="s">
        <v>13</v>
      </c>
      <c r="E38" s="174">
        <v>5.72</v>
      </c>
      <c r="F38" s="174">
        <v>0.79999999999999982</v>
      </c>
      <c r="G38" s="174">
        <f t="shared" si="0"/>
        <v>1.4984516129032253</v>
      </c>
      <c r="H38" s="302"/>
      <c r="I38" s="302"/>
      <c r="J38" s="302"/>
      <c r="K38" s="302"/>
    </row>
    <row r="39" spans="1:16" ht="16" thickBot="1" x14ac:dyDescent="0.25">
      <c r="A39" s="211"/>
      <c r="B39" s="214"/>
      <c r="C39" s="24"/>
      <c r="D39" s="24"/>
      <c r="E39" s="24"/>
      <c r="F39" s="24"/>
      <c r="G39" s="24"/>
      <c r="H39" s="24"/>
      <c r="I39" s="24"/>
      <c r="J39" s="24"/>
      <c r="K39" s="24"/>
      <c r="L39" s="214"/>
    </row>
    <row r="40" spans="1:16" ht="18" thickBot="1" x14ac:dyDescent="0.25">
      <c r="A40" s="297" t="s">
        <v>63</v>
      </c>
      <c r="B40" s="297"/>
      <c r="C40" s="297"/>
      <c r="D40" s="297"/>
      <c r="E40" s="297"/>
      <c r="F40" s="297"/>
      <c r="G40" s="297"/>
      <c r="H40" s="297"/>
      <c r="I40" s="297"/>
      <c r="J40" s="297"/>
      <c r="K40" s="297"/>
      <c r="L40" s="297"/>
    </row>
    <row r="41" spans="1:16" ht="18" thickBot="1" x14ac:dyDescent="0.25">
      <c r="A41" s="23"/>
      <c r="B41" s="23" t="s">
        <v>55</v>
      </c>
      <c r="C41" s="23" t="s">
        <v>61</v>
      </c>
      <c r="D41" s="177" t="s">
        <v>56</v>
      </c>
      <c r="E41" s="23" t="s">
        <v>62</v>
      </c>
      <c r="F41" s="23" t="s">
        <v>58</v>
      </c>
      <c r="G41" s="23" t="s">
        <v>48</v>
      </c>
      <c r="H41" s="177" t="s">
        <v>59</v>
      </c>
      <c r="I41" s="23" t="s">
        <v>60</v>
      </c>
      <c r="J41" s="23" t="s">
        <v>49</v>
      </c>
      <c r="K41" s="23" t="s">
        <v>50</v>
      </c>
      <c r="L41" s="23" t="s">
        <v>66</v>
      </c>
    </row>
    <row r="42" spans="1:16" x14ac:dyDescent="0.2">
      <c r="A42" s="61" t="s">
        <v>177</v>
      </c>
      <c r="B42" s="178">
        <f>'4. Total S'!F4</f>
        <v>2.2999999999999998</v>
      </c>
      <c r="C42" s="178">
        <f>'4. Total S'!G4</f>
        <v>2.2875800000000002E-2</v>
      </c>
      <c r="D42" s="178">
        <f t="shared" ref="D42:E45" si="1">B42*30.6</f>
        <v>70.38</v>
      </c>
      <c r="E42" s="178">
        <f t="shared" si="1"/>
        <v>0.69999948000000012</v>
      </c>
      <c r="F42" s="178">
        <f>J4</f>
        <v>62.733030160084546</v>
      </c>
      <c r="G42" s="178">
        <f>K23</f>
        <v>1.9999999999999796E-2</v>
      </c>
      <c r="H42" s="178">
        <f>D42-F42</f>
        <v>7.6469698399154495</v>
      </c>
      <c r="I42" s="178">
        <f>SQRT((C42^2)+(E42^2))</f>
        <v>0.7003731678369115</v>
      </c>
      <c r="J42" s="212">
        <f>J23</f>
        <v>2.5</v>
      </c>
      <c r="K42" s="212">
        <f>K23</f>
        <v>1.9999999999999796E-2</v>
      </c>
      <c r="L42" s="178" t="s">
        <v>92</v>
      </c>
    </row>
    <row r="43" spans="1:16" x14ac:dyDescent="0.2">
      <c r="A43" s="61" t="s">
        <v>178</v>
      </c>
      <c r="B43" s="178">
        <f>'4. Total S'!F5</f>
        <v>3.2</v>
      </c>
      <c r="C43" s="178">
        <f>'4. Total S'!G5</f>
        <v>4.5751E-2</v>
      </c>
      <c r="D43" s="178">
        <f t="shared" si="1"/>
        <v>97.920000000000016</v>
      </c>
      <c r="E43" s="178">
        <f t="shared" si="1"/>
        <v>1.3999806000000001</v>
      </c>
      <c r="F43" s="178">
        <f>J7</f>
        <v>91.914239296069397</v>
      </c>
      <c r="G43" s="178">
        <f>K27</f>
        <v>1.4142135623731067E-2</v>
      </c>
      <c r="H43" s="178">
        <f>D43-F43</f>
        <v>6.0057607039306191</v>
      </c>
      <c r="I43" s="178">
        <f>SQRT((C43^2)+(E43^2))</f>
        <v>1.4007279658725176</v>
      </c>
      <c r="J43" s="212">
        <f>J27</f>
        <v>2.41</v>
      </c>
      <c r="K43" s="212">
        <f>K27</f>
        <v>1.4142135623731067E-2</v>
      </c>
      <c r="L43" s="178" t="s">
        <v>92</v>
      </c>
    </row>
    <row r="44" spans="1:16" x14ac:dyDescent="0.2">
      <c r="A44" s="61" t="s">
        <v>179</v>
      </c>
      <c r="B44" s="178">
        <f>'4. Total S'!F6</f>
        <v>9.4666666666666668</v>
      </c>
      <c r="C44" s="178">
        <f>'4. Total S'!G6</f>
        <v>0.10263202878893746</v>
      </c>
      <c r="D44" s="178">
        <f t="shared" si="1"/>
        <v>289.68</v>
      </c>
      <c r="E44" s="178">
        <f t="shared" si="1"/>
        <v>3.1405400809414865</v>
      </c>
      <c r="F44" s="178">
        <f>J10</f>
        <v>187.25721380587106</v>
      </c>
      <c r="G44" s="178">
        <f>K31</f>
        <v>6.1913918736688951E-2</v>
      </c>
      <c r="H44" s="178">
        <f>D44-F44</f>
        <v>102.42278619412895</v>
      </c>
      <c r="I44" s="178">
        <f>SQRT((C44^2)+(E44^2))</f>
        <v>3.142216627372036</v>
      </c>
      <c r="J44" s="212">
        <f>J31</f>
        <v>6.4450000000000003</v>
      </c>
      <c r="K44" s="212">
        <f>K31</f>
        <v>6.1913918736688951E-2</v>
      </c>
      <c r="L44" s="178" t="s">
        <v>93</v>
      </c>
    </row>
    <row r="45" spans="1:16" ht="16" thickBot="1" x14ac:dyDescent="0.25">
      <c r="A45" s="23" t="s">
        <v>180</v>
      </c>
      <c r="B45" s="174">
        <f>'4. Total S'!F7</f>
        <v>2.0100000000000002</v>
      </c>
      <c r="C45" s="174">
        <f>'4. Total S'!G7</f>
        <v>4.5825756949558441E-2</v>
      </c>
      <c r="D45" s="174">
        <f t="shared" si="1"/>
        <v>61.506000000000007</v>
      </c>
      <c r="E45" s="174">
        <f t="shared" si="1"/>
        <v>1.4022681626564883</v>
      </c>
      <c r="F45" s="174">
        <f>J15</f>
        <v>78.015548299038997</v>
      </c>
      <c r="G45" s="174">
        <f>K35</f>
        <v>2.0000000000000018E-2</v>
      </c>
      <c r="H45" s="174">
        <f>D45-F45</f>
        <v>-16.50954829903899</v>
      </c>
      <c r="I45" s="174">
        <f>SQRT((C45^2)+(E45^2))</f>
        <v>1.4030167497218284</v>
      </c>
      <c r="J45" s="213">
        <f>J35</f>
        <v>5.7299999999999995</v>
      </c>
      <c r="K45" s="213">
        <f>K35</f>
        <v>2.0000000000000018E-2</v>
      </c>
      <c r="L45" s="174" t="s">
        <v>94</v>
      </c>
    </row>
    <row r="46" spans="1:16" ht="16" thickBot="1" x14ac:dyDescent="0.25"/>
    <row r="47" spans="1:16" ht="17" thickBot="1" x14ac:dyDescent="0.25">
      <c r="A47" s="298" t="s">
        <v>201</v>
      </c>
      <c r="B47" s="299"/>
      <c r="C47" s="299"/>
      <c r="D47" s="299"/>
      <c r="E47" s="299"/>
      <c r="F47" s="299"/>
      <c r="G47" s="299"/>
      <c r="H47" s="299"/>
      <c r="I47" s="26"/>
      <c r="J47" s="181"/>
      <c r="K47" s="195"/>
      <c r="L47" s="195"/>
      <c r="M47" s="195"/>
      <c r="N47" s="1"/>
      <c r="O47" s="1"/>
      <c r="P47" s="1"/>
    </row>
    <row r="48" spans="1:16" s="1" customFormat="1" ht="19" thickBot="1" x14ac:dyDescent="0.3">
      <c r="A48" s="193" t="s">
        <v>111</v>
      </c>
      <c r="B48" s="200" t="s">
        <v>183</v>
      </c>
      <c r="C48" s="200" t="s">
        <v>77</v>
      </c>
      <c r="D48" s="200" t="s">
        <v>205</v>
      </c>
      <c r="E48" s="200" t="s">
        <v>184</v>
      </c>
      <c r="F48" s="23" t="s">
        <v>202</v>
      </c>
      <c r="G48" s="23" t="s">
        <v>204</v>
      </c>
      <c r="H48" s="196"/>
      <c r="I48" s="171"/>
      <c r="J48" s="171"/>
      <c r="K48" s="171"/>
      <c r="L48" s="171"/>
    </row>
    <row r="49" spans="1:15" s="1" customFormat="1" ht="16" x14ac:dyDescent="0.2">
      <c r="A49" s="192" t="s">
        <v>64</v>
      </c>
      <c r="B49" s="67">
        <v>2</v>
      </c>
      <c r="C49" s="185">
        <v>2</v>
      </c>
      <c r="D49" s="185">
        <f>55.845+(2*32.065)</f>
        <v>119.97499999999999</v>
      </c>
      <c r="E49" s="208" t="s">
        <v>13</v>
      </c>
      <c r="F49" s="53">
        <f>D52*B49*10/D49</f>
        <v>16.349906230464683</v>
      </c>
      <c r="G49" s="53">
        <f>D52*10*E51/D51</f>
        <v>9.8005495878091438</v>
      </c>
      <c r="H49" s="171"/>
      <c r="I49" s="171"/>
      <c r="J49" s="171"/>
      <c r="K49" s="171"/>
      <c r="L49" s="171"/>
    </row>
    <row r="50" spans="1:15" s="1" customFormat="1" ht="16" x14ac:dyDescent="0.2">
      <c r="A50" s="203" t="s">
        <v>65</v>
      </c>
      <c r="B50" s="67">
        <v>1</v>
      </c>
      <c r="C50" s="67">
        <v>1</v>
      </c>
      <c r="D50" s="67">
        <f>(55.845*0.9)+32.065</f>
        <v>82.325500000000005</v>
      </c>
      <c r="E50" s="208" t="s">
        <v>13</v>
      </c>
      <c r="F50" s="53">
        <f>D52*B50*10/D50</f>
        <v>11.913562626403726</v>
      </c>
      <c r="G50" s="208" t="s">
        <v>13</v>
      </c>
      <c r="H50" s="64"/>
      <c r="I50" s="64"/>
      <c r="J50" s="171"/>
      <c r="K50" s="64"/>
      <c r="L50" s="64"/>
    </row>
    <row r="51" spans="1:15" s="1" customFormat="1" ht="16" x14ac:dyDescent="0.2">
      <c r="A51" s="187" t="s">
        <v>188</v>
      </c>
      <c r="B51" s="208" t="s">
        <v>13</v>
      </c>
      <c r="C51" s="208" t="s">
        <v>13</v>
      </c>
      <c r="D51" s="64">
        <f>40.078+12+15.999*3</f>
        <v>100.075</v>
      </c>
      <c r="E51" s="67">
        <v>1</v>
      </c>
      <c r="F51" s="208" t="s">
        <v>13</v>
      </c>
      <c r="G51" s="208" t="s">
        <v>13</v>
      </c>
      <c r="H51" s="64"/>
      <c r="I51" s="64"/>
      <c r="J51" s="64"/>
      <c r="K51" s="64"/>
      <c r="L51" s="64"/>
    </row>
    <row r="52" spans="1:15" s="1" customFormat="1" ht="19" thickBot="1" x14ac:dyDescent="0.3">
      <c r="A52" s="200" t="s">
        <v>203</v>
      </c>
      <c r="B52" s="209" t="s">
        <v>13</v>
      </c>
      <c r="C52" s="209" t="s">
        <v>13</v>
      </c>
      <c r="D52" s="182">
        <f>1.009*2+32.065+4*15.999</f>
        <v>98.079000000000008</v>
      </c>
      <c r="E52" s="209" t="s">
        <v>13</v>
      </c>
      <c r="F52" s="209" t="s">
        <v>13</v>
      </c>
      <c r="G52" s="209" t="s">
        <v>13</v>
      </c>
      <c r="H52" s="182"/>
      <c r="I52" s="64"/>
      <c r="J52" s="64"/>
      <c r="K52" s="64"/>
      <c r="L52" s="64"/>
    </row>
    <row r="53" spans="1:15" s="1" customFormat="1" ht="17" thickBot="1" x14ac:dyDescent="0.25">
      <c r="I53" s="64"/>
      <c r="J53" s="64"/>
      <c r="K53" s="64"/>
      <c r="L53" s="64"/>
      <c r="M53" s="64"/>
      <c r="N53" s="14"/>
    </row>
    <row r="54" spans="1:15" s="1" customFormat="1" ht="19" thickBot="1" x14ac:dyDescent="0.3">
      <c r="A54" s="190"/>
      <c r="B54" s="183" t="s">
        <v>181</v>
      </c>
      <c r="C54" s="183" t="s">
        <v>182</v>
      </c>
      <c r="D54" s="191" t="s">
        <v>185</v>
      </c>
      <c r="E54" s="183" t="s">
        <v>206</v>
      </c>
      <c r="F54" s="191" t="s">
        <v>186</v>
      </c>
      <c r="G54" s="191" t="s">
        <v>63</v>
      </c>
      <c r="H54" s="194" t="s">
        <v>66</v>
      </c>
      <c r="I54" s="188"/>
    </row>
    <row r="55" spans="1:15" s="27" customFormat="1" ht="16" x14ac:dyDescent="0.2">
      <c r="A55" s="260" t="s">
        <v>187</v>
      </c>
      <c r="B55" s="184" t="s">
        <v>64</v>
      </c>
      <c r="C55" s="197">
        <f>'5. Bulk Mineralogy and Elements'!D5*100</f>
        <v>1.7291590870818601</v>
      </c>
      <c r="D55" s="292">
        <f>$F$49*C55+$F$50*C56</f>
        <v>88.59444673637671</v>
      </c>
      <c r="E55" s="293">
        <f>(($B$49*(C55/(C55+C56))))+(($B$50*(C56/(C56+C55))))</f>
        <v>1.2545675268039127</v>
      </c>
      <c r="F55" s="292">
        <f>C57*E55*$G$49/E55</f>
        <v>12.546102682068485</v>
      </c>
      <c r="G55" s="292">
        <f>D55-F55</f>
        <v>76.048344054308231</v>
      </c>
      <c r="H55" s="292" t="s">
        <v>92</v>
      </c>
      <c r="I55" s="187"/>
      <c r="O55" s="29"/>
    </row>
    <row r="56" spans="1:15" s="1" customFormat="1" ht="16" x14ac:dyDescent="0.2">
      <c r="A56" s="290"/>
      <c r="B56" s="64" t="s">
        <v>65</v>
      </c>
      <c r="C56" s="198">
        <f>'5. Bulk Mineralogy and Elements'!D6*100</f>
        <v>5.0633769004865403</v>
      </c>
      <c r="D56" s="293"/>
      <c r="E56" s="293"/>
      <c r="F56" s="293"/>
      <c r="G56" s="293"/>
      <c r="H56" s="293"/>
      <c r="I56" s="64"/>
      <c r="K56" s="27"/>
      <c r="O56" s="28"/>
    </row>
    <row r="57" spans="1:15" s="1" customFormat="1" ht="17" thickBot="1" x14ac:dyDescent="0.25">
      <c r="A57" s="291"/>
      <c r="B57" s="64" t="s">
        <v>188</v>
      </c>
      <c r="C57" s="198">
        <f>'5. Bulk Mineralogy and Elements'!D8*100</f>
        <v>1.2801427684907101</v>
      </c>
      <c r="D57" s="294"/>
      <c r="E57" s="294"/>
      <c r="F57" s="294"/>
      <c r="G57" s="294"/>
      <c r="H57" s="294"/>
      <c r="I57" s="64"/>
      <c r="O57" s="28"/>
    </row>
    <row r="58" spans="1:15" s="1" customFormat="1" ht="16" x14ac:dyDescent="0.2">
      <c r="A58" s="260" t="s">
        <v>189</v>
      </c>
      <c r="B58" s="184" t="s">
        <v>64</v>
      </c>
      <c r="C58" s="197">
        <f>'5. Bulk Mineralogy and Elements'!H5*100</f>
        <v>7.7334711913400707</v>
      </c>
      <c r="D58" s="292">
        <f>$F$49*C58+$F$50*C59</f>
        <v>136.49548854699145</v>
      </c>
      <c r="E58" s="293">
        <f>(($B$49*(C58/(C58+C59))))+(($B$50*(C59/(C59+C58))))</f>
        <v>1.9016122924599286</v>
      </c>
      <c r="F58" s="292">
        <f>C60*E58*$G$49/E58</f>
        <v>21.485969975003748</v>
      </c>
      <c r="G58" s="292">
        <f>D58-F58</f>
        <v>115.00951857198771</v>
      </c>
      <c r="H58" s="292" t="s">
        <v>92</v>
      </c>
      <c r="L58" s="14"/>
    </row>
    <row r="59" spans="1:15" s="1" customFormat="1" ht="16" x14ac:dyDescent="0.2">
      <c r="A59" s="290"/>
      <c r="B59" s="64" t="s">
        <v>65</v>
      </c>
      <c r="C59" s="198">
        <f>'5. Bulk Mineralogy and Elements'!H6*100</f>
        <v>0.84390874903355595</v>
      </c>
      <c r="D59" s="293"/>
      <c r="E59" s="293"/>
      <c r="F59" s="293"/>
      <c r="G59" s="293"/>
      <c r="H59" s="293"/>
      <c r="I59" s="187"/>
      <c r="J59" s="27"/>
      <c r="K59" s="27"/>
    </row>
    <row r="60" spans="1:15" s="1" customFormat="1" ht="17" thickBot="1" x14ac:dyDescent="0.25">
      <c r="A60" s="291"/>
      <c r="B60" s="64" t="s">
        <v>188</v>
      </c>
      <c r="C60" s="198">
        <f>'5. Bulk Mineralogy and Elements'!H8*100</f>
        <v>2.1923229694924502</v>
      </c>
      <c r="D60" s="294"/>
      <c r="E60" s="294"/>
      <c r="F60" s="294"/>
      <c r="G60" s="294"/>
      <c r="H60" s="294"/>
      <c r="I60" s="64"/>
      <c r="K60" s="27"/>
    </row>
    <row r="61" spans="1:15" s="1" customFormat="1" ht="16" x14ac:dyDescent="0.2">
      <c r="A61" s="260" t="s">
        <v>190</v>
      </c>
      <c r="B61" s="184" t="s">
        <v>64</v>
      </c>
      <c r="C61" s="197">
        <f>'5. Bulk Mineralogy and Elements'!L5*100</f>
        <v>2.0282356846785401</v>
      </c>
      <c r="D61" s="292">
        <f>$F$49*C61+$F$50*C62</f>
        <v>381.21094096522143</v>
      </c>
      <c r="E61" s="293">
        <f>(($B$49*(C61/(C61+C62))))+(($B$50*(C62/(C62+C61))))</f>
        <v>1.0649185102709664</v>
      </c>
      <c r="F61" s="292">
        <f>C63*E61*$G$49/E61</f>
        <v>122.96325576802937</v>
      </c>
      <c r="G61" s="292">
        <f>D61-F61</f>
        <v>258.24768519719203</v>
      </c>
      <c r="H61" s="292" t="s">
        <v>93</v>
      </c>
    </row>
    <row r="62" spans="1:15" s="1" customFormat="1" ht="16" x14ac:dyDescent="0.2">
      <c r="A62" s="290"/>
      <c r="B62" s="64" t="s">
        <v>65</v>
      </c>
      <c r="C62" s="198">
        <f>'5. Bulk Mineralogy and Elements'!L6*100</f>
        <v>29.214558954520601</v>
      </c>
      <c r="D62" s="293"/>
      <c r="E62" s="293"/>
      <c r="F62" s="293"/>
      <c r="G62" s="293"/>
      <c r="H62" s="293"/>
    </row>
    <row r="63" spans="1:15" s="1" customFormat="1" ht="17" thickBot="1" x14ac:dyDescent="0.25">
      <c r="A63" s="291"/>
      <c r="B63" s="64" t="s">
        <v>188</v>
      </c>
      <c r="C63" s="198">
        <f>'5. Bulk Mineralogy and Elements'!L8*100</f>
        <v>12.546567380362299</v>
      </c>
      <c r="D63" s="294"/>
      <c r="E63" s="294"/>
      <c r="F63" s="294"/>
      <c r="G63" s="294"/>
      <c r="H63" s="294"/>
      <c r="I63" s="28"/>
    </row>
    <row r="64" spans="1:15" s="1" customFormat="1" ht="16" x14ac:dyDescent="0.2">
      <c r="A64" s="260" t="s">
        <v>191</v>
      </c>
      <c r="B64" s="184" t="s">
        <v>64</v>
      </c>
      <c r="C64" s="197">
        <f>'5. Bulk Mineralogy and Elements'!P5*100</f>
        <v>9.7385322353545703E-2</v>
      </c>
      <c r="D64" s="292">
        <f>$F$49*C64+$F$50*C65</f>
        <v>51.756106031426256</v>
      </c>
      <c r="E64" s="293">
        <f>(($B$49*(C64/(C64+C65))))+(($B$50*(C65/(C65+C64))))</f>
        <v>1.0226054969496445</v>
      </c>
      <c r="F64" s="292">
        <f>C66*E64*$G$49/E64</f>
        <v>28.502327288918512</v>
      </c>
      <c r="G64" s="292">
        <f>D64-F64</f>
        <v>23.253778742507745</v>
      </c>
      <c r="H64" s="292" t="s">
        <v>93</v>
      </c>
      <c r="I64" s="187"/>
      <c r="J64" s="27"/>
      <c r="K64" s="27"/>
    </row>
    <row r="65" spans="1:20" s="1" customFormat="1" ht="16" x14ac:dyDescent="0.2">
      <c r="A65" s="290"/>
      <c r="B65" s="64" t="s">
        <v>65</v>
      </c>
      <c r="C65" s="198">
        <f>'5. Bulk Mineralogy and Elements'!P6*100</f>
        <v>4.21065190286114</v>
      </c>
      <c r="D65" s="293"/>
      <c r="E65" s="293"/>
      <c r="F65" s="293"/>
      <c r="G65" s="293"/>
      <c r="H65" s="293"/>
      <c r="I65" s="64"/>
      <c r="K65" s="27"/>
    </row>
    <row r="66" spans="1:20" s="1" customFormat="1" ht="17" thickBot="1" x14ac:dyDescent="0.25">
      <c r="A66" s="291"/>
      <c r="B66" s="182" t="s">
        <v>188</v>
      </c>
      <c r="C66" s="199">
        <f>'5. Bulk Mineralogy and Elements'!P8*100</f>
        <v>2.9082376486694601</v>
      </c>
      <c r="D66" s="294"/>
      <c r="E66" s="294"/>
      <c r="F66" s="294"/>
      <c r="G66" s="294"/>
      <c r="H66" s="294"/>
      <c r="I66" s="64"/>
    </row>
    <row r="67" spans="1:20" s="1" customFormat="1" ht="17" thickBot="1" x14ac:dyDescent="0.25">
      <c r="A67" s="205"/>
      <c r="B67" s="24"/>
      <c r="C67" s="24"/>
      <c r="D67" s="24"/>
      <c r="E67" s="24"/>
      <c r="F67" s="24"/>
      <c r="G67" s="24"/>
      <c r="H67" s="24"/>
      <c r="L67" s="61"/>
      <c r="M67" s="14"/>
      <c r="N67" s="14"/>
      <c r="O67" s="14"/>
      <c r="P67" s="14"/>
      <c r="Q67" s="14"/>
      <c r="R67" s="14"/>
      <c r="S67" s="14"/>
      <c r="T67" s="14"/>
    </row>
    <row r="68" spans="1:20" s="1" customFormat="1" ht="17" thickBot="1" x14ac:dyDescent="0.25">
      <c r="A68" s="295" t="s">
        <v>192</v>
      </c>
      <c r="B68" s="296"/>
      <c r="C68" s="296"/>
      <c r="D68" s="296"/>
      <c r="E68" s="296"/>
      <c r="F68" s="296"/>
      <c r="G68" s="296"/>
      <c r="H68" s="296"/>
      <c r="I68" s="187"/>
      <c r="J68" s="27"/>
      <c r="K68" s="27"/>
      <c r="L68" s="186"/>
    </row>
    <row r="69" spans="1:20" s="1" customFormat="1" ht="16" x14ac:dyDescent="0.2">
      <c r="A69" s="203" t="s">
        <v>193</v>
      </c>
      <c r="B69" s="187" t="s">
        <v>194</v>
      </c>
      <c r="C69" s="201" t="s">
        <v>195</v>
      </c>
      <c r="D69" s="201" t="s">
        <v>196</v>
      </c>
      <c r="E69" s="201" t="s">
        <v>198</v>
      </c>
      <c r="F69" s="201" t="s">
        <v>199</v>
      </c>
      <c r="G69" s="289" t="s">
        <v>197</v>
      </c>
      <c r="H69" s="289"/>
      <c r="I69" s="64"/>
      <c r="K69" s="27"/>
      <c r="L69" s="188"/>
    </row>
    <row r="70" spans="1:20" s="1" customFormat="1" ht="16" x14ac:dyDescent="0.2">
      <c r="A70" s="206">
        <f>D42</f>
        <v>70.38</v>
      </c>
      <c r="B70" s="53">
        <f>D55</f>
        <v>88.59444673637671</v>
      </c>
      <c r="C70" s="53">
        <f>F42</f>
        <v>62.733030160084546</v>
      </c>
      <c r="D70" s="53">
        <f>F55</f>
        <v>12.546102682068485</v>
      </c>
      <c r="E70" s="53">
        <f>H42</f>
        <v>7.6469698399154495</v>
      </c>
      <c r="F70" s="53">
        <f>G55</f>
        <v>76.048344054308231</v>
      </c>
      <c r="G70" s="171">
        <v>0</v>
      </c>
      <c r="H70" s="171">
        <v>0</v>
      </c>
      <c r="L70" s="64"/>
      <c r="M70" s="186"/>
    </row>
    <row r="71" spans="1:20" s="1" customFormat="1" ht="16" x14ac:dyDescent="0.2">
      <c r="A71" s="206">
        <f>D43</f>
        <v>97.920000000000016</v>
      </c>
      <c r="B71" s="53">
        <f>D58</f>
        <v>136.49548854699145</v>
      </c>
      <c r="C71" s="53">
        <f>F43</f>
        <v>91.914239296069397</v>
      </c>
      <c r="D71" s="53">
        <f>F58</f>
        <v>21.485969975003748</v>
      </c>
      <c r="E71" s="53">
        <f>H43</f>
        <v>6.0057607039306191</v>
      </c>
      <c r="F71" s="53">
        <f>G58</f>
        <v>115.00951857198771</v>
      </c>
      <c r="G71" s="171">
        <v>390</v>
      </c>
      <c r="H71" s="171">
        <v>390</v>
      </c>
      <c r="L71" s="64"/>
    </row>
    <row r="72" spans="1:20" s="1" customFormat="1" ht="16" x14ac:dyDescent="0.2">
      <c r="A72" s="206">
        <f>D44</f>
        <v>289.68</v>
      </c>
      <c r="B72" s="53">
        <f>D61</f>
        <v>381.21094096522143</v>
      </c>
      <c r="C72" s="53">
        <f>F44</f>
        <v>187.25721380587106</v>
      </c>
      <c r="D72" s="53">
        <f>F61</f>
        <v>122.96325576802937</v>
      </c>
      <c r="E72" s="53">
        <f>H44</f>
        <v>102.42278619412895</v>
      </c>
      <c r="F72" s="53">
        <f>G61</f>
        <v>258.24768519719203</v>
      </c>
      <c r="G72" s="171"/>
      <c r="H72" s="171"/>
      <c r="I72" s="202"/>
      <c r="J72" s="64"/>
      <c r="K72" s="64"/>
      <c r="L72" s="64"/>
    </row>
    <row r="73" spans="1:20" s="1" customFormat="1" ht="17" thickBot="1" x14ac:dyDescent="0.25">
      <c r="A73" s="207">
        <f>D45</f>
        <v>61.506000000000007</v>
      </c>
      <c r="B73" s="189">
        <f>D64</f>
        <v>51.756106031426256</v>
      </c>
      <c r="C73" s="189">
        <f>F45</f>
        <v>78.015548299038997</v>
      </c>
      <c r="D73" s="189">
        <f>F64</f>
        <v>28.502327288918512</v>
      </c>
      <c r="E73" s="189">
        <f>H45</f>
        <v>-16.50954829903899</v>
      </c>
      <c r="F73" s="189">
        <f>G64</f>
        <v>23.253778742507745</v>
      </c>
      <c r="G73" s="196"/>
      <c r="H73" s="196"/>
      <c r="I73" s="14"/>
      <c r="L73" s="64"/>
    </row>
    <row r="74" spans="1:20" s="1" customFormat="1" ht="16" x14ac:dyDescent="0.2">
      <c r="A74" s="204"/>
      <c r="B74" s="64"/>
      <c r="C74" s="64"/>
      <c r="D74" s="64"/>
      <c r="E74" s="64"/>
      <c r="F74" s="64"/>
      <c r="G74" s="64"/>
      <c r="H74" s="64"/>
      <c r="I74" s="14"/>
      <c r="L74" s="64"/>
    </row>
    <row r="75" spans="1:20" s="1" customFormat="1" ht="16" x14ac:dyDescent="0.2">
      <c r="I75" s="14"/>
      <c r="N75" s="14"/>
    </row>
    <row r="76" spans="1:20" s="1" customFormat="1" ht="16" x14ac:dyDescent="0.2">
      <c r="I76" s="14"/>
      <c r="N76" s="14"/>
    </row>
    <row r="77" spans="1:20" s="1" customFormat="1" ht="16" x14ac:dyDescent="0.2">
      <c r="N77" s="14"/>
    </row>
    <row r="78" spans="1:20" s="1" customFormat="1" ht="16" x14ac:dyDescent="0.2">
      <c r="H78" s="215"/>
      <c r="I78" s="215"/>
      <c r="M78" s="14"/>
      <c r="N78" s="14"/>
    </row>
    <row r="79" spans="1:20" s="1" customFormat="1" ht="16" x14ac:dyDescent="0.2">
      <c r="I79" s="216"/>
      <c r="N79" s="14"/>
    </row>
    <row r="80" spans="1:20" ht="16" x14ac:dyDescent="0.2">
      <c r="I80" s="1"/>
      <c r="J80" s="1"/>
      <c r="K80" s="1"/>
      <c r="L80" s="1"/>
      <c r="M80" s="1"/>
    </row>
    <row r="81" spans="12:13" ht="16" x14ac:dyDescent="0.2">
      <c r="L81" s="1"/>
      <c r="M81" s="1"/>
    </row>
    <row r="82" spans="12:13" ht="16" x14ac:dyDescent="0.2">
      <c r="L82" s="1"/>
      <c r="M82" s="1"/>
    </row>
  </sheetData>
  <mergeCells count="75">
    <mergeCell ref="K7:K9"/>
    <mergeCell ref="A2:K2"/>
    <mergeCell ref="A4:A6"/>
    <mergeCell ref="B4:B6"/>
    <mergeCell ref="C4:C6"/>
    <mergeCell ref="H4:H6"/>
    <mergeCell ref="J4:J6"/>
    <mergeCell ref="K4:K6"/>
    <mergeCell ref="A7:A9"/>
    <mergeCell ref="B7:B9"/>
    <mergeCell ref="C7:C9"/>
    <mergeCell ref="H7:H9"/>
    <mergeCell ref="J7:J9"/>
    <mergeCell ref="C10:C14"/>
    <mergeCell ref="H10:H14"/>
    <mergeCell ref="J10:J14"/>
    <mergeCell ref="K10:K14"/>
    <mergeCell ref="A15:A19"/>
    <mergeCell ref="B15:B19"/>
    <mergeCell ref="C15:C19"/>
    <mergeCell ref="H15:H19"/>
    <mergeCell ref="J15:J19"/>
    <mergeCell ref="K15:K19"/>
    <mergeCell ref="A10:A14"/>
    <mergeCell ref="B10:B14"/>
    <mergeCell ref="A21:K21"/>
    <mergeCell ref="A23:A26"/>
    <mergeCell ref="B23:B38"/>
    <mergeCell ref="H23:H26"/>
    <mergeCell ref="I23:I26"/>
    <mergeCell ref="J23:J26"/>
    <mergeCell ref="K23:K26"/>
    <mergeCell ref="A27:A30"/>
    <mergeCell ref="H27:H30"/>
    <mergeCell ref="I27:I30"/>
    <mergeCell ref="J27:J30"/>
    <mergeCell ref="K27:K30"/>
    <mergeCell ref="A31:A34"/>
    <mergeCell ref="H31:H34"/>
    <mergeCell ref="I31:I34"/>
    <mergeCell ref="J31:J34"/>
    <mergeCell ref="K31:K34"/>
    <mergeCell ref="A35:A38"/>
    <mergeCell ref="H35:H38"/>
    <mergeCell ref="I35:I38"/>
    <mergeCell ref="J35:J38"/>
    <mergeCell ref="K35:K38"/>
    <mergeCell ref="A40:L40"/>
    <mergeCell ref="H55:H57"/>
    <mergeCell ref="D58:D60"/>
    <mergeCell ref="F58:F60"/>
    <mergeCell ref="G58:G60"/>
    <mergeCell ref="H58:H60"/>
    <mergeCell ref="G55:G57"/>
    <mergeCell ref="A55:A57"/>
    <mergeCell ref="A58:A60"/>
    <mergeCell ref="D55:D57"/>
    <mergeCell ref="F55:F57"/>
    <mergeCell ref="E55:E57"/>
    <mergeCell ref="E58:E60"/>
    <mergeCell ref="A47:H47"/>
    <mergeCell ref="G69:H69"/>
    <mergeCell ref="A61:A63"/>
    <mergeCell ref="A64:A66"/>
    <mergeCell ref="D61:D63"/>
    <mergeCell ref="A68:H68"/>
    <mergeCell ref="F61:F63"/>
    <mergeCell ref="D64:D66"/>
    <mergeCell ref="F64:F66"/>
    <mergeCell ref="E61:E63"/>
    <mergeCell ref="E64:E66"/>
    <mergeCell ref="H64:H66"/>
    <mergeCell ref="G64:G66"/>
    <mergeCell ref="H61:H63"/>
    <mergeCell ref="G61:G63"/>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E1B0D-1A5A-854F-906A-0D07A8CC3850}">
  <dimension ref="A1:O70"/>
  <sheetViews>
    <sheetView workbookViewId="0"/>
  </sheetViews>
  <sheetFormatPr baseColWidth="10" defaultRowHeight="16" x14ac:dyDescent="0.2"/>
  <cols>
    <col min="1" max="1" width="10.83203125" style="2"/>
    <col min="2" max="2" width="16.6640625" style="63" bestFit="1" customWidth="1"/>
    <col min="3" max="3" width="19.5" style="63" bestFit="1" customWidth="1"/>
    <col min="4" max="4" width="15.6640625" style="63" bestFit="1" customWidth="1"/>
    <col min="5" max="5" width="10.5" style="63" bestFit="1" customWidth="1"/>
    <col min="6" max="7" width="19.83203125" style="63" bestFit="1" customWidth="1"/>
    <col min="8" max="9" width="10.83203125" style="63"/>
    <col min="10" max="10" width="17" style="63" bestFit="1" customWidth="1"/>
    <col min="11" max="11" width="19.83203125" style="63" bestFit="1" customWidth="1"/>
    <col min="12" max="12" width="15.6640625" style="63" bestFit="1" customWidth="1"/>
    <col min="13" max="13" width="10.83203125" style="63"/>
    <col min="14" max="14" width="20" style="63" bestFit="1" customWidth="1"/>
    <col min="15" max="15" width="19.33203125" style="63" bestFit="1" customWidth="1"/>
    <col min="16" max="16384" width="10.83203125" style="63"/>
  </cols>
  <sheetData>
    <row r="1" spans="1:15" ht="17" thickBot="1" x14ac:dyDescent="0.25"/>
    <row r="2" spans="1:15" x14ac:dyDescent="0.2">
      <c r="A2" s="270" t="s">
        <v>151</v>
      </c>
      <c r="B2" s="312"/>
      <c r="C2" s="312"/>
      <c r="D2" s="312"/>
      <c r="E2" s="312"/>
      <c r="F2" s="312"/>
      <c r="G2" s="313"/>
      <c r="I2" s="270" t="s">
        <v>152</v>
      </c>
      <c r="J2" s="312"/>
      <c r="K2" s="312"/>
      <c r="L2" s="312"/>
      <c r="M2" s="312"/>
      <c r="N2" s="312"/>
      <c r="O2" s="313"/>
    </row>
    <row r="3" spans="1:15" x14ac:dyDescent="0.2">
      <c r="A3" s="140"/>
      <c r="B3" s="133" t="s">
        <v>157</v>
      </c>
      <c r="C3" s="133" t="s">
        <v>158</v>
      </c>
      <c r="D3" s="133" t="s">
        <v>159</v>
      </c>
      <c r="E3" s="133" t="s">
        <v>154</v>
      </c>
      <c r="F3" s="133" t="s">
        <v>155</v>
      </c>
      <c r="G3" s="134" t="s">
        <v>156</v>
      </c>
      <c r="I3" s="140"/>
      <c r="J3" s="133" t="s">
        <v>157</v>
      </c>
      <c r="K3" s="133" t="s">
        <v>158</v>
      </c>
      <c r="L3" s="133" t="s">
        <v>159</v>
      </c>
      <c r="M3" s="135" t="s">
        <v>154</v>
      </c>
      <c r="N3" s="133" t="s">
        <v>155</v>
      </c>
      <c r="O3" s="134" t="s">
        <v>156</v>
      </c>
    </row>
    <row r="4" spans="1:15" x14ac:dyDescent="0.2">
      <c r="A4" s="309" t="s">
        <v>6</v>
      </c>
      <c r="B4" s="69">
        <v>212</v>
      </c>
      <c r="C4" s="150">
        <f>B4</f>
        <v>212</v>
      </c>
      <c r="D4" s="151">
        <v>0</v>
      </c>
      <c r="E4" s="142">
        <f t="shared" ref="E4:E12" si="0">D4/$D$13</f>
        <v>0</v>
      </c>
      <c r="F4" s="143">
        <f>E4</f>
        <v>0</v>
      </c>
      <c r="G4" s="144">
        <f>1-F4</f>
        <v>1</v>
      </c>
      <c r="I4" s="309" t="s">
        <v>6</v>
      </c>
      <c r="J4" s="64">
        <v>11200</v>
      </c>
      <c r="K4" s="141">
        <f>J4</f>
        <v>11200</v>
      </c>
      <c r="L4" s="151">
        <v>0</v>
      </c>
      <c r="M4" s="136">
        <f>L4/$L$12</f>
        <v>0</v>
      </c>
      <c r="N4" s="143">
        <f>M4</f>
        <v>0</v>
      </c>
      <c r="O4" s="144">
        <f>1-N4</f>
        <v>1</v>
      </c>
    </row>
    <row r="5" spans="1:15" x14ac:dyDescent="0.2">
      <c r="A5" s="271"/>
      <c r="B5" s="58">
        <v>150</v>
      </c>
      <c r="C5" s="43">
        <f t="shared" ref="C5:C11" si="1">(B4+B5)/2</f>
        <v>181</v>
      </c>
      <c r="D5" s="76">
        <v>1.19</v>
      </c>
      <c r="E5" s="136">
        <f t="shared" si="0"/>
        <v>9.8853630171124775E-3</v>
      </c>
      <c r="F5" s="137">
        <f>E5+F4</f>
        <v>9.8853630171124775E-3</v>
      </c>
      <c r="G5" s="138">
        <f>1-F5</f>
        <v>0.99011463698288749</v>
      </c>
      <c r="I5" s="271"/>
      <c r="J5" s="64">
        <v>8000</v>
      </c>
      <c r="K5" s="47">
        <f t="shared" ref="K5:K10" si="2">(J4+J5)/2</f>
        <v>9600</v>
      </c>
      <c r="L5" s="76">
        <v>2.75</v>
      </c>
      <c r="M5" s="136">
        <f t="shared" ref="M5:M10" si="3">L5/$L$12</f>
        <v>3.2904970445353818E-3</v>
      </c>
      <c r="N5" s="137">
        <f>M5+N4</f>
        <v>3.2904970445353818E-3</v>
      </c>
      <c r="O5" s="138">
        <f t="shared" ref="O5:O11" si="4">1-N5</f>
        <v>0.99670950295546457</v>
      </c>
    </row>
    <row r="6" spans="1:15" x14ac:dyDescent="0.2">
      <c r="A6" s="271"/>
      <c r="B6" s="58">
        <v>106</v>
      </c>
      <c r="C6" s="43">
        <f t="shared" si="1"/>
        <v>128</v>
      </c>
      <c r="D6" s="76">
        <v>12.18</v>
      </c>
      <c r="E6" s="136">
        <f t="shared" si="0"/>
        <v>0.10117959793985712</v>
      </c>
      <c r="F6" s="137">
        <f t="shared" ref="F6:F12" si="5">E6+F5</f>
        <v>0.11106496095696959</v>
      </c>
      <c r="G6" s="138">
        <f t="shared" ref="G6:G12" si="6">1-F6</f>
        <v>0.88893503904303039</v>
      </c>
      <c r="I6" s="271"/>
      <c r="J6" s="64">
        <v>6700</v>
      </c>
      <c r="K6" s="47">
        <f t="shared" si="2"/>
        <v>7350</v>
      </c>
      <c r="L6" s="76">
        <v>19.489999999999998</v>
      </c>
      <c r="M6" s="136">
        <f t="shared" si="3"/>
        <v>2.3320649962907121E-2</v>
      </c>
      <c r="N6" s="137">
        <f t="shared" ref="N6:N11" si="7">M6+N5</f>
        <v>2.6611147007442503E-2</v>
      </c>
      <c r="O6" s="138">
        <f t="shared" si="4"/>
        <v>0.97338885299255751</v>
      </c>
    </row>
    <row r="7" spans="1:15" x14ac:dyDescent="0.2">
      <c r="A7" s="271"/>
      <c r="B7" s="58">
        <v>75</v>
      </c>
      <c r="C7" s="43">
        <f t="shared" si="1"/>
        <v>90.5</v>
      </c>
      <c r="D7" s="76">
        <v>11.16</v>
      </c>
      <c r="E7" s="136">
        <f t="shared" si="0"/>
        <v>9.2706429639474994E-2</v>
      </c>
      <c r="F7" s="137">
        <f t="shared" si="5"/>
        <v>0.20377139059644458</v>
      </c>
      <c r="G7" s="138">
        <f t="shared" si="6"/>
        <v>0.79622860940355544</v>
      </c>
      <c r="I7" s="271"/>
      <c r="J7" s="64">
        <v>5600</v>
      </c>
      <c r="K7" s="47">
        <f t="shared" si="2"/>
        <v>6150</v>
      </c>
      <c r="L7" s="76">
        <v>73.66</v>
      </c>
      <c r="M7" s="136">
        <f t="shared" si="3"/>
        <v>8.8137459018354986E-2</v>
      </c>
      <c r="N7" s="137">
        <f t="shared" si="7"/>
        <v>0.11474860602579749</v>
      </c>
      <c r="O7" s="138">
        <f t="shared" si="4"/>
        <v>0.88525139397420249</v>
      </c>
    </row>
    <row r="8" spans="1:15" x14ac:dyDescent="0.2">
      <c r="A8" s="271"/>
      <c r="B8" s="58">
        <v>53</v>
      </c>
      <c r="C8" s="43">
        <f t="shared" si="1"/>
        <v>64</v>
      </c>
      <c r="D8" s="76">
        <v>10.48</v>
      </c>
      <c r="E8" s="136">
        <f t="shared" si="0"/>
        <v>8.7057650772553591E-2</v>
      </c>
      <c r="F8" s="137">
        <f t="shared" si="5"/>
        <v>0.29082904136899818</v>
      </c>
      <c r="G8" s="138">
        <f t="shared" si="6"/>
        <v>0.70917095863100177</v>
      </c>
      <c r="I8" s="271"/>
      <c r="J8" s="64">
        <v>4000</v>
      </c>
      <c r="K8" s="47">
        <f t="shared" si="2"/>
        <v>4800</v>
      </c>
      <c r="L8" s="76">
        <v>219.67</v>
      </c>
      <c r="M8" s="136">
        <f t="shared" si="3"/>
        <v>0.26284490391748627</v>
      </c>
      <c r="N8" s="137">
        <f t="shared" si="7"/>
        <v>0.37759350994328378</v>
      </c>
      <c r="O8" s="138">
        <f t="shared" si="4"/>
        <v>0.62240649005671622</v>
      </c>
    </row>
    <row r="9" spans="1:15" x14ac:dyDescent="0.2">
      <c r="A9" s="271"/>
      <c r="B9" s="58">
        <v>38</v>
      </c>
      <c r="C9" s="43">
        <f t="shared" si="1"/>
        <v>45.5</v>
      </c>
      <c r="D9" s="76">
        <v>9.74</v>
      </c>
      <c r="E9" s="136">
        <f t="shared" si="0"/>
        <v>8.0910450240903806E-2</v>
      </c>
      <c r="F9" s="137">
        <f t="shared" si="5"/>
        <v>0.371739491609902</v>
      </c>
      <c r="G9" s="138">
        <f t="shared" si="6"/>
        <v>0.62826050839009806</v>
      </c>
      <c r="I9" s="271"/>
      <c r="J9" s="64">
        <v>2000</v>
      </c>
      <c r="K9" s="47">
        <f t="shared" si="2"/>
        <v>3000</v>
      </c>
      <c r="L9" s="76">
        <v>211.81000000000003</v>
      </c>
      <c r="M9" s="136">
        <f t="shared" si="3"/>
        <v>0.25344006509201428</v>
      </c>
      <c r="N9" s="137">
        <f t="shared" si="7"/>
        <v>0.631033575035298</v>
      </c>
      <c r="O9" s="138">
        <f t="shared" si="4"/>
        <v>0.368966424964702</v>
      </c>
    </row>
    <row r="10" spans="1:15" x14ac:dyDescent="0.2">
      <c r="A10" s="271"/>
      <c r="B10" s="58">
        <v>25</v>
      </c>
      <c r="C10" s="43">
        <f t="shared" si="1"/>
        <v>31.5</v>
      </c>
      <c r="D10" s="76">
        <v>7.7499999999999991</v>
      </c>
      <c r="E10" s="136">
        <f t="shared" si="0"/>
        <v>6.4379465027413194E-2</v>
      </c>
      <c r="F10" s="137">
        <f t="shared" si="5"/>
        <v>0.4361189566373152</v>
      </c>
      <c r="G10" s="138">
        <f t="shared" si="6"/>
        <v>0.56388104336268485</v>
      </c>
      <c r="I10" s="271"/>
      <c r="J10" s="64">
        <v>0</v>
      </c>
      <c r="K10" s="47">
        <f t="shared" si="2"/>
        <v>1000</v>
      </c>
      <c r="L10" s="76">
        <v>308.36</v>
      </c>
      <c r="M10" s="136">
        <f t="shared" si="3"/>
        <v>0.36896642496470194</v>
      </c>
      <c r="N10" s="137">
        <f t="shared" si="7"/>
        <v>1</v>
      </c>
      <c r="O10" s="138">
        <f t="shared" si="4"/>
        <v>0</v>
      </c>
    </row>
    <row r="11" spans="1:15" x14ac:dyDescent="0.2">
      <c r="A11" s="271"/>
      <c r="B11" s="58">
        <v>0</v>
      </c>
      <c r="C11" s="43">
        <f t="shared" si="1"/>
        <v>12.5</v>
      </c>
      <c r="D11" s="76">
        <v>67.88</v>
      </c>
      <c r="E11" s="136">
        <f t="shared" si="0"/>
        <v>0.56388104336268485</v>
      </c>
      <c r="F11" s="137">
        <f>E11+F10</f>
        <v>1</v>
      </c>
      <c r="G11" s="138">
        <f t="shared" si="6"/>
        <v>0</v>
      </c>
      <c r="I11" s="271"/>
      <c r="J11" s="47"/>
      <c r="K11" s="47">
        <v>0</v>
      </c>
      <c r="L11" s="49">
        <v>0</v>
      </c>
      <c r="M11" s="136">
        <f>L11/$L$12</f>
        <v>0</v>
      </c>
      <c r="N11" s="137">
        <f t="shared" si="7"/>
        <v>1</v>
      </c>
      <c r="O11" s="138">
        <f t="shared" si="4"/>
        <v>0</v>
      </c>
    </row>
    <row r="12" spans="1:15" x14ac:dyDescent="0.2">
      <c r="A12" s="271"/>
      <c r="B12" s="47"/>
      <c r="C12" s="43">
        <v>0</v>
      </c>
      <c r="D12" s="49">
        <v>0</v>
      </c>
      <c r="E12" s="136">
        <f t="shared" si="0"/>
        <v>0</v>
      </c>
      <c r="F12" s="137">
        <f t="shared" si="5"/>
        <v>1</v>
      </c>
      <c r="G12" s="138">
        <f t="shared" si="6"/>
        <v>0</v>
      </c>
      <c r="I12" s="271"/>
      <c r="J12" s="314" t="s">
        <v>160</v>
      </c>
      <c r="K12" s="314"/>
      <c r="L12" s="146">
        <f>SUM(L4:L11)</f>
        <v>835.74</v>
      </c>
      <c r="M12" s="146"/>
      <c r="N12" s="146"/>
      <c r="O12" s="147"/>
    </row>
    <row r="13" spans="1:15" x14ac:dyDescent="0.2">
      <c r="A13" s="310"/>
      <c r="B13" s="314" t="s">
        <v>160</v>
      </c>
      <c r="C13" s="314"/>
      <c r="D13" s="146">
        <f>SUM(D4:D12)</f>
        <v>120.38</v>
      </c>
      <c r="E13" s="146"/>
      <c r="F13" s="146"/>
      <c r="G13" s="147"/>
      <c r="I13" s="309" t="s">
        <v>5</v>
      </c>
      <c r="J13" s="64">
        <v>11200</v>
      </c>
      <c r="K13" s="141">
        <f>J13</f>
        <v>11200</v>
      </c>
      <c r="L13" s="151">
        <v>0</v>
      </c>
      <c r="M13" s="136">
        <f>L13/$L$21</f>
        <v>0</v>
      </c>
      <c r="N13" s="143">
        <f>M13</f>
        <v>0</v>
      </c>
      <c r="O13" s="144">
        <f>1-N13</f>
        <v>1</v>
      </c>
    </row>
    <row r="14" spans="1:15" x14ac:dyDescent="0.2">
      <c r="A14" s="309" t="s">
        <v>5</v>
      </c>
      <c r="B14" s="69">
        <v>212</v>
      </c>
      <c r="C14" s="150">
        <f>B14</f>
        <v>212</v>
      </c>
      <c r="D14" s="151">
        <v>0</v>
      </c>
      <c r="E14" s="142">
        <f>D14/$D$23</f>
        <v>0</v>
      </c>
      <c r="F14" s="143">
        <f>E14</f>
        <v>0</v>
      </c>
      <c r="G14" s="144">
        <f>1-F14</f>
        <v>1</v>
      </c>
      <c r="I14" s="271"/>
      <c r="J14" s="64">
        <v>8000</v>
      </c>
      <c r="K14" s="47">
        <f t="shared" ref="K14:K19" si="8">(J13+J14)/2</f>
        <v>9600</v>
      </c>
      <c r="L14" s="76">
        <v>49.97</v>
      </c>
      <c r="M14" s="136">
        <f t="shared" ref="M14:M20" si="9">L14/$L$21</f>
        <v>6.4292919415766883E-3</v>
      </c>
      <c r="N14" s="137">
        <f>M14+N13</f>
        <v>6.4292919415766883E-3</v>
      </c>
      <c r="O14" s="138">
        <f t="shared" ref="O14:O20" si="10">1-N14</f>
        <v>0.99357070805842329</v>
      </c>
    </row>
    <row r="15" spans="1:15" x14ac:dyDescent="0.2">
      <c r="A15" s="271"/>
      <c r="B15" s="58">
        <v>150</v>
      </c>
      <c r="C15" s="43">
        <f t="shared" ref="C15:C21" si="11">(B14+B15)/2</f>
        <v>181</v>
      </c>
      <c r="D15" s="76">
        <v>1.1499999999999999</v>
      </c>
      <c r="E15" s="136">
        <f t="shared" ref="E15:E21" si="12">D15/$D$23</f>
        <v>9.1364105823468645E-3</v>
      </c>
      <c r="F15" s="137">
        <f>E15+F14</f>
        <v>9.1364105823468645E-3</v>
      </c>
      <c r="G15" s="138">
        <f t="shared" ref="G15:G22" si="13">1-F15</f>
        <v>0.99086358941765318</v>
      </c>
      <c r="I15" s="271"/>
      <c r="J15" s="64">
        <v>6700</v>
      </c>
      <c r="K15" s="47">
        <f t="shared" si="8"/>
        <v>7350</v>
      </c>
      <c r="L15" s="76">
        <v>255.26</v>
      </c>
      <c r="M15" s="136">
        <f t="shared" si="9"/>
        <v>3.2842526736179017E-2</v>
      </c>
      <c r="N15" s="137">
        <f t="shared" ref="N15:N20" si="14">M15+N14</f>
        <v>3.9271818677755706E-2</v>
      </c>
      <c r="O15" s="138">
        <f t="shared" si="10"/>
        <v>0.96072818132224425</v>
      </c>
    </row>
    <row r="16" spans="1:15" x14ac:dyDescent="0.2">
      <c r="A16" s="271"/>
      <c r="B16" s="58">
        <v>106</v>
      </c>
      <c r="C16" s="43">
        <f t="shared" si="11"/>
        <v>128</v>
      </c>
      <c r="D16" s="76">
        <v>12.07</v>
      </c>
      <c r="E16" s="136">
        <f t="shared" si="12"/>
        <v>9.5892587590371017E-2</v>
      </c>
      <c r="F16" s="137">
        <f t="shared" ref="F16:F22" si="15">E16+F15</f>
        <v>0.10502899817271788</v>
      </c>
      <c r="G16" s="138">
        <f t="shared" si="13"/>
        <v>0.89497100182728206</v>
      </c>
      <c r="I16" s="271"/>
      <c r="J16" s="64">
        <v>5600</v>
      </c>
      <c r="K16" s="47">
        <f t="shared" si="8"/>
        <v>6150</v>
      </c>
      <c r="L16" s="76">
        <v>749.45</v>
      </c>
      <c r="M16" s="136">
        <f t="shared" si="9"/>
        <v>9.6426512819984975E-2</v>
      </c>
      <c r="N16" s="137">
        <f t="shared" si="14"/>
        <v>0.13569833149774069</v>
      </c>
      <c r="O16" s="138">
        <f t="shared" si="10"/>
        <v>0.86430166850225931</v>
      </c>
    </row>
    <row r="17" spans="1:15" x14ac:dyDescent="0.2">
      <c r="A17" s="271"/>
      <c r="B17" s="58">
        <v>75</v>
      </c>
      <c r="C17" s="43">
        <f t="shared" si="11"/>
        <v>90.5</v>
      </c>
      <c r="D17" s="76">
        <v>12.450000000000001</v>
      </c>
      <c r="E17" s="136">
        <f t="shared" si="12"/>
        <v>9.8911575434972601E-2</v>
      </c>
      <c r="F17" s="137">
        <f t="shared" si="15"/>
        <v>0.20394057360769047</v>
      </c>
      <c r="G17" s="138">
        <f t="shared" si="13"/>
        <v>0.79605942639230953</v>
      </c>
      <c r="I17" s="271"/>
      <c r="J17" s="64">
        <v>4000</v>
      </c>
      <c r="K17" s="47">
        <f t="shared" si="8"/>
        <v>4800</v>
      </c>
      <c r="L17" s="76">
        <v>1827.3</v>
      </c>
      <c r="M17" s="136">
        <f t="shared" si="9"/>
        <v>0.23510596687698784</v>
      </c>
      <c r="N17" s="137">
        <f t="shared" si="14"/>
        <v>0.3708042983747285</v>
      </c>
      <c r="O17" s="138">
        <f t="shared" si="10"/>
        <v>0.6291957016252715</v>
      </c>
    </row>
    <row r="18" spans="1:15" x14ac:dyDescent="0.2">
      <c r="A18" s="271"/>
      <c r="B18" s="58">
        <v>53</v>
      </c>
      <c r="C18" s="43">
        <f t="shared" si="11"/>
        <v>64</v>
      </c>
      <c r="D18" s="76">
        <v>11.65</v>
      </c>
      <c r="E18" s="136">
        <f t="shared" si="12"/>
        <v>9.2555811551600864E-2</v>
      </c>
      <c r="F18" s="137">
        <f t="shared" si="15"/>
        <v>0.29649638515929133</v>
      </c>
      <c r="G18" s="138">
        <f t="shared" si="13"/>
        <v>0.70350361484070867</v>
      </c>
      <c r="I18" s="271"/>
      <c r="J18" s="64">
        <v>2000</v>
      </c>
      <c r="K18" s="47">
        <f t="shared" si="8"/>
        <v>3000</v>
      </c>
      <c r="L18" s="76">
        <v>2029.41</v>
      </c>
      <c r="M18" s="136">
        <f t="shared" si="9"/>
        <v>0.261110053215032</v>
      </c>
      <c r="N18" s="137">
        <f t="shared" si="14"/>
        <v>0.6319143515897605</v>
      </c>
      <c r="O18" s="138">
        <f t="shared" si="10"/>
        <v>0.3680856484102395</v>
      </c>
    </row>
    <row r="19" spans="1:15" x14ac:dyDescent="0.2">
      <c r="A19" s="271"/>
      <c r="B19" s="58">
        <v>38</v>
      </c>
      <c r="C19" s="43">
        <f t="shared" si="11"/>
        <v>45.5</v>
      </c>
      <c r="D19" s="76">
        <v>9.19</v>
      </c>
      <c r="E19" s="136">
        <f t="shared" si="12"/>
        <v>7.3011837610232777E-2</v>
      </c>
      <c r="F19" s="137">
        <f t="shared" si="15"/>
        <v>0.36950822276952411</v>
      </c>
      <c r="G19" s="138">
        <f t="shared" si="13"/>
        <v>0.63049177723047589</v>
      </c>
      <c r="I19" s="271"/>
      <c r="J19" s="64">
        <v>0</v>
      </c>
      <c r="K19" s="47">
        <f t="shared" si="8"/>
        <v>1000</v>
      </c>
      <c r="L19" s="76">
        <v>2860.85</v>
      </c>
      <c r="M19" s="136">
        <f t="shared" si="9"/>
        <v>0.3680856484102395</v>
      </c>
      <c r="N19" s="137">
        <f t="shared" si="14"/>
        <v>1</v>
      </c>
      <c r="O19" s="138">
        <f t="shared" si="10"/>
        <v>0</v>
      </c>
    </row>
    <row r="20" spans="1:15" x14ac:dyDescent="0.2">
      <c r="A20" s="271"/>
      <c r="B20" s="58">
        <v>25</v>
      </c>
      <c r="C20" s="43">
        <f t="shared" si="11"/>
        <v>31.5</v>
      </c>
      <c r="D20" s="76">
        <v>7.1799999999999988</v>
      </c>
      <c r="E20" s="136">
        <f t="shared" si="12"/>
        <v>5.7042980853261288E-2</v>
      </c>
      <c r="F20" s="137">
        <f t="shared" si="15"/>
        <v>0.42655120362278542</v>
      </c>
      <c r="G20" s="138">
        <f t="shared" si="13"/>
        <v>0.57344879637721458</v>
      </c>
      <c r="I20" s="271"/>
      <c r="J20" s="47"/>
      <c r="K20" s="47">
        <v>0</v>
      </c>
      <c r="L20" s="49">
        <v>0</v>
      </c>
      <c r="M20" s="136">
        <f t="shared" si="9"/>
        <v>0</v>
      </c>
      <c r="N20" s="137">
        <f t="shared" si="14"/>
        <v>1</v>
      </c>
      <c r="O20" s="138">
        <f t="shared" si="10"/>
        <v>0</v>
      </c>
    </row>
    <row r="21" spans="1:15" x14ac:dyDescent="0.2">
      <c r="A21" s="271"/>
      <c r="B21" s="58">
        <v>0</v>
      </c>
      <c r="C21" s="43">
        <f t="shared" si="11"/>
        <v>12.5</v>
      </c>
      <c r="D21" s="76">
        <v>72.180000000000007</v>
      </c>
      <c r="E21" s="136">
        <f t="shared" si="12"/>
        <v>0.57344879637721458</v>
      </c>
      <c r="F21" s="137">
        <f t="shared" si="15"/>
        <v>1</v>
      </c>
      <c r="G21" s="138">
        <f t="shared" si="13"/>
        <v>0</v>
      </c>
      <c r="I21" s="271"/>
      <c r="J21" s="314" t="s">
        <v>160</v>
      </c>
      <c r="K21" s="314"/>
      <c r="L21" s="146">
        <f>SUM(L13:L20)</f>
        <v>7772.24</v>
      </c>
      <c r="M21" s="146"/>
      <c r="N21" s="146"/>
      <c r="O21" s="147"/>
    </row>
    <row r="22" spans="1:15" x14ac:dyDescent="0.2">
      <c r="A22" s="271"/>
      <c r="B22" s="47"/>
      <c r="C22" s="43">
        <v>0</v>
      </c>
      <c r="D22" s="49">
        <v>0</v>
      </c>
      <c r="E22" s="136">
        <f>D22/$D$23</f>
        <v>0</v>
      </c>
      <c r="F22" s="137">
        <f t="shared" si="15"/>
        <v>1</v>
      </c>
      <c r="G22" s="138">
        <f t="shared" si="13"/>
        <v>0</v>
      </c>
      <c r="I22" s="309" t="s">
        <v>8</v>
      </c>
      <c r="J22" s="64">
        <v>11200</v>
      </c>
      <c r="K22" s="141">
        <f>J22</f>
        <v>11200</v>
      </c>
      <c r="L22" s="151">
        <v>0</v>
      </c>
      <c r="M22" s="136">
        <f>L22/$L$29</f>
        <v>0</v>
      </c>
      <c r="N22" s="143">
        <f>M22</f>
        <v>0</v>
      </c>
      <c r="O22" s="144">
        <f>1-N22</f>
        <v>1</v>
      </c>
    </row>
    <row r="23" spans="1:15" x14ac:dyDescent="0.2">
      <c r="A23" s="310"/>
      <c r="B23" s="314" t="s">
        <v>160</v>
      </c>
      <c r="C23" s="314"/>
      <c r="D23" s="146">
        <f>SUM(D14:D22)</f>
        <v>125.87</v>
      </c>
      <c r="E23" s="146"/>
      <c r="F23" s="146"/>
      <c r="G23" s="147"/>
      <c r="I23" s="271"/>
      <c r="J23" s="64">
        <v>6700</v>
      </c>
      <c r="K23" s="47">
        <f>(J22+J23)/2</f>
        <v>8950</v>
      </c>
      <c r="L23" s="76">
        <v>63.362500000000004</v>
      </c>
      <c r="M23" s="136">
        <f t="shared" ref="M23:M28" si="16">L23/$L$29</f>
        <v>6.0546157636203475E-2</v>
      </c>
      <c r="N23" s="137">
        <f t="shared" ref="N23:N28" si="17">M23+N22</f>
        <v>6.0546157636203475E-2</v>
      </c>
      <c r="O23" s="138">
        <f t="shared" ref="O23:O28" si="18">1-N23</f>
        <v>0.93945384236379648</v>
      </c>
    </row>
    <row r="24" spans="1:15" x14ac:dyDescent="0.2">
      <c r="A24" s="309" t="s">
        <v>8</v>
      </c>
      <c r="B24" s="69">
        <v>212</v>
      </c>
      <c r="C24" s="150">
        <f>B24</f>
        <v>212</v>
      </c>
      <c r="D24" s="151">
        <v>0</v>
      </c>
      <c r="E24" s="142">
        <f>D24/$D$31</f>
        <v>0</v>
      </c>
      <c r="F24" s="143">
        <f>E24</f>
        <v>0</v>
      </c>
      <c r="G24" s="144">
        <f>1-F24</f>
        <v>1</v>
      </c>
      <c r="I24" s="271"/>
      <c r="J24" s="64">
        <v>5600</v>
      </c>
      <c r="K24" s="47">
        <f>(J23+J24)/2</f>
        <v>6150</v>
      </c>
      <c r="L24" s="76">
        <v>132.92625000000001</v>
      </c>
      <c r="M24" s="136">
        <f t="shared" si="16"/>
        <v>0.12701793152873375</v>
      </c>
      <c r="N24" s="137">
        <f t="shared" si="17"/>
        <v>0.18756408916493722</v>
      </c>
      <c r="O24" s="138">
        <f t="shared" si="18"/>
        <v>0.81243591083506272</v>
      </c>
    </row>
    <row r="25" spans="1:15" x14ac:dyDescent="0.2">
      <c r="A25" s="271"/>
      <c r="B25" s="58">
        <v>75</v>
      </c>
      <c r="C25" s="43">
        <f>(B24+B25)/2</f>
        <v>143.5</v>
      </c>
      <c r="D25" s="76">
        <v>14.63</v>
      </c>
      <c r="E25" s="136">
        <f t="shared" ref="E25:E30" si="19">D25/$D$31</f>
        <v>0.13095238095238096</v>
      </c>
      <c r="F25" s="137">
        <f t="shared" ref="F25:F30" si="20">E25+F24</f>
        <v>0.13095238095238096</v>
      </c>
      <c r="G25" s="138">
        <f t="shared" ref="G25:G30" si="21">1-F25</f>
        <v>0.86904761904761907</v>
      </c>
      <c r="I25" s="271"/>
      <c r="J25" s="64">
        <v>4000</v>
      </c>
      <c r="K25" s="47">
        <f>(J24+J25)/2</f>
        <v>4800</v>
      </c>
      <c r="L25" s="76">
        <v>177.55187499999997</v>
      </c>
      <c r="M25" s="136">
        <f t="shared" si="16"/>
        <v>0.16966003254848677</v>
      </c>
      <c r="N25" s="137">
        <f t="shared" si="17"/>
        <v>0.35722412171342399</v>
      </c>
      <c r="O25" s="138">
        <f t="shared" si="18"/>
        <v>0.64277587828657601</v>
      </c>
    </row>
    <row r="26" spans="1:15" x14ac:dyDescent="0.2">
      <c r="A26" s="271"/>
      <c r="B26" s="58">
        <v>53</v>
      </c>
      <c r="C26" s="43">
        <f>(B25+B26)/2</f>
        <v>64</v>
      </c>
      <c r="D26" s="76">
        <v>17.55</v>
      </c>
      <c r="E26" s="136">
        <f t="shared" si="19"/>
        <v>0.15708915145005373</v>
      </c>
      <c r="F26" s="137">
        <f t="shared" si="20"/>
        <v>0.28804153240243469</v>
      </c>
      <c r="G26" s="138">
        <f t="shared" si="21"/>
        <v>0.71195846759756531</v>
      </c>
      <c r="I26" s="271"/>
      <c r="J26" s="64">
        <v>2000</v>
      </c>
      <c r="K26" s="47">
        <f>(J25+J26)/2</f>
        <v>3000</v>
      </c>
      <c r="L26" s="76">
        <v>215.41312500000004</v>
      </c>
      <c r="M26" s="136">
        <f t="shared" si="16"/>
        <v>0.20583842214491546</v>
      </c>
      <c r="N26" s="137">
        <f t="shared" si="17"/>
        <v>0.56306254385833943</v>
      </c>
      <c r="O26" s="138">
        <f t="shared" si="18"/>
        <v>0.43693745614166057</v>
      </c>
    </row>
    <row r="27" spans="1:15" x14ac:dyDescent="0.2">
      <c r="A27" s="271"/>
      <c r="B27" s="58">
        <v>38</v>
      </c>
      <c r="C27" s="43">
        <f>(B26+B27)/2</f>
        <v>45.5</v>
      </c>
      <c r="D27" s="76">
        <v>12.44</v>
      </c>
      <c r="E27" s="136">
        <f t="shared" si="19"/>
        <v>0.11134980307912638</v>
      </c>
      <c r="F27" s="137">
        <f t="shared" si="20"/>
        <v>0.39939133548156108</v>
      </c>
      <c r="G27" s="138">
        <f t="shared" si="21"/>
        <v>0.60060866451843897</v>
      </c>
      <c r="I27" s="271"/>
      <c r="J27" s="64">
        <v>0</v>
      </c>
      <c r="K27" s="47">
        <f>(J26+J27)/2</f>
        <v>1000</v>
      </c>
      <c r="L27" s="76">
        <v>457.26187499999992</v>
      </c>
      <c r="M27" s="136">
        <f t="shared" si="16"/>
        <v>0.43693745614166052</v>
      </c>
      <c r="N27" s="137">
        <f t="shared" si="17"/>
        <v>1</v>
      </c>
      <c r="O27" s="138">
        <f t="shared" si="18"/>
        <v>0</v>
      </c>
    </row>
    <row r="28" spans="1:15" x14ac:dyDescent="0.2">
      <c r="A28" s="271"/>
      <c r="B28" s="58">
        <v>25</v>
      </c>
      <c r="C28" s="43">
        <f>(B27+B28)/2</f>
        <v>31.5</v>
      </c>
      <c r="D28" s="76">
        <v>7.79</v>
      </c>
      <c r="E28" s="136">
        <f t="shared" si="19"/>
        <v>6.9727891156462579E-2</v>
      </c>
      <c r="F28" s="137">
        <f t="shared" si="20"/>
        <v>0.46911922663802363</v>
      </c>
      <c r="G28" s="138">
        <f t="shared" si="21"/>
        <v>0.53088077336197637</v>
      </c>
      <c r="I28" s="271"/>
      <c r="J28" s="47"/>
      <c r="K28" s="47">
        <v>0</v>
      </c>
      <c r="L28" s="49">
        <v>0</v>
      </c>
      <c r="M28" s="136">
        <f t="shared" si="16"/>
        <v>0</v>
      </c>
      <c r="N28" s="137">
        <f t="shared" si="17"/>
        <v>1</v>
      </c>
      <c r="O28" s="138">
        <f t="shared" si="18"/>
        <v>0</v>
      </c>
    </row>
    <row r="29" spans="1:15" x14ac:dyDescent="0.2">
      <c r="A29" s="271"/>
      <c r="B29" s="58">
        <v>0</v>
      </c>
      <c r="C29" s="43">
        <f>(B28+B29)/2</f>
        <v>12.5</v>
      </c>
      <c r="D29" s="76">
        <v>59.31</v>
      </c>
      <c r="E29" s="136">
        <f t="shared" si="19"/>
        <v>0.53088077336197637</v>
      </c>
      <c r="F29" s="137">
        <f t="shared" si="20"/>
        <v>1</v>
      </c>
      <c r="G29" s="138">
        <f t="shared" si="21"/>
        <v>0</v>
      </c>
      <c r="I29" s="271"/>
      <c r="J29" s="314" t="s">
        <v>160</v>
      </c>
      <c r="K29" s="314"/>
      <c r="L29" s="146">
        <f>SUM(L22:L28)</f>
        <v>1046.515625</v>
      </c>
      <c r="M29" s="146"/>
      <c r="N29" s="146"/>
      <c r="O29" s="147"/>
    </row>
    <row r="30" spans="1:15" x14ac:dyDescent="0.2">
      <c r="A30" s="271"/>
      <c r="B30" s="47"/>
      <c r="C30" s="43">
        <v>0</v>
      </c>
      <c r="D30" s="43">
        <v>0</v>
      </c>
      <c r="E30" s="136">
        <f t="shared" si="19"/>
        <v>0</v>
      </c>
      <c r="F30" s="137">
        <f t="shared" si="20"/>
        <v>1</v>
      </c>
      <c r="G30" s="138">
        <f t="shared" si="21"/>
        <v>0</v>
      </c>
      <c r="I30" s="309" t="s">
        <v>7</v>
      </c>
      <c r="J30" s="64">
        <v>11200</v>
      </c>
      <c r="K30" s="141">
        <f>J30</f>
        <v>11200</v>
      </c>
      <c r="L30" s="151">
        <v>0</v>
      </c>
      <c r="M30" s="136">
        <f>L30/$L$37</f>
        <v>0</v>
      </c>
      <c r="N30" s="143">
        <f>M30</f>
        <v>0</v>
      </c>
      <c r="O30" s="144">
        <f>1-N30</f>
        <v>1</v>
      </c>
    </row>
    <row r="31" spans="1:15" x14ac:dyDescent="0.2">
      <c r="A31" s="310"/>
      <c r="B31" s="314" t="s">
        <v>160</v>
      </c>
      <c r="C31" s="314"/>
      <c r="D31" s="146">
        <f>SUM(D24:D30)</f>
        <v>111.72</v>
      </c>
      <c r="E31" s="146"/>
      <c r="F31" s="146"/>
      <c r="G31" s="147"/>
      <c r="I31" s="271"/>
      <c r="J31" s="64">
        <v>6700</v>
      </c>
      <c r="K31" s="47">
        <f>(J30+J31)/2</f>
        <v>8950</v>
      </c>
      <c r="L31" s="76">
        <v>7.0978125000000007</v>
      </c>
      <c r="M31" s="136">
        <f t="shared" ref="M31:M36" si="22">L31/$L$37</f>
        <v>6.4541355143971305E-3</v>
      </c>
      <c r="N31" s="137">
        <f t="shared" ref="N31:N36" si="23">M31+N30</f>
        <v>6.4541355143971305E-3</v>
      </c>
      <c r="O31" s="138">
        <f t="shared" ref="O31:O36" si="24">1-N31</f>
        <v>0.99354586448560289</v>
      </c>
    </row>
    <row r="32" spans="1:15" x14ac:dyDescent="0.2">
      <c r="A32" s="271" t="s">
        <v>7</v>
      </c>
      <c r="B32" s="69">
        <v>212</v>
      </c>
      <c r="C32" s="150">
        <f>B32</f>
        <v>212</v>
      </c>
      <c r="D32" s="151">
        <v>0</v>
      </c>
      <c r="E32" s="142">
        <f>D32/$D$39</f>
        <v>0</v>
      </c>
      <c r="F32" s="143">
        <f>E32</f>
        <v>0</v>
      </c>
      <c r="G32" s="144">
        <f>1-F32</f>
        <v>1</v>
      </c>
      <c r="I32" s="271"/>
      <c r="J32" s="64">
        <v>5600</v>
      </c>
      <c r="K32" s="47">
        <f>(J31+J32)/2</f>
        <v>6150</v>
      </c>
      <c r="L32" s="76">
        <v>133.4609375</v>
      </c>
      <c r="M32" s="136">
        <f t="shared" si="22"/>
        <v>0.12135780939599146</v>
      </c>
      <c r="N32" s="137">
        <f t="shared" si="23"/>
        <v>0.12781194491038858</v>
      </c>
      <c r="O32" s="138">
        <f t="shared" si="24"/>
        <v>0.87218805508961139</v>
      </c>
    </row>
    <row r="33" spans="1:15" x14ac:dyDescent="0.2">
      <c r="A33" s="271"/>
      <c r="B33" s="58">
        <v>75</v>
      </c>
      <c r="C33" s="43">
        <f>(B32+B33)/2</f>
        <v>143.5</v>
      </c>
      <c r="D33" s="76">
        <v>10.82</v>
      </c>
      <c r="E33" s="136">
        <f t="shared" ref="E33:E38" si="25">D33/$D$39</f>
        <v>0.12294057493466654</v>
      </c>
      <c r="F33" s="137">
        <f t="shared" ref="F33:F38" si="26">E33+F32</f>
        <v>0.12294057493466654</v>
      </c>
      <c r="G33" s="138">
        <f t="shared" ref="G33:G38" si="27">1-F33</f>
        <v>0.87705942506533341</v>
      </c>
      <c r="I33" s="271"/>
      <c r="J33" s="64">
        <v>4000</v>
      </c>
      <c r="K33" s="47">
        <f>(J32+J33)/2</f>
        <v>4800</v>
      </c>
      <c r="L33" s="76">
        <v>212.62562500000001</v>
      </c>
      <c r="M33" s="136">
        <f t="shared" si="22"/>
        <v>0.19334331494152407</v>
      </c>
      <c r="N33" s="137">
        <f t="shared" si="23"/>
        <v>0.32115525985191262</v>
      </c>
      <c r="O33" s="138">
        <f t="shared" si="24"/>
        <v>0.67884474014808738</v>
      </c>
    </row>
    <row r="34" spans="1:15" x14ac:dyDescent="0.2">
      <c r="A34" s="271"/>
      <c r="B34" s="58">
        <v>53</v>
      </c>
      <c r="C34" s="43">
        <f>(B33+B34)/2</f>
        <v>64</v>
      </c>
      <c r="D34" s="76">
        <v>11.44</v>
      </c>
      <c r="E34" s="136">
        <f t="shared" si="25"/>
        <v>0.12998522895125555</v>
      </c>
      <c r="F34" s="137">
        <f t="shared" si="26"/>
        <v>0.25292580388592212</v>
      </c>
      <c r="G34" s="138">
        <f t="shared" si="27"/>
        <v>0.74707419611407788</v>
      </c>
      <c r="I34" s="271"/>
      <c r="J34" s="64">
        <v>2000</v>
      </c>
      <c r="K34" s="47">
        <f>(J33+J34)/2</f>
        <v>3000</v>
      </c>
      <c r="L34" s="76">
        <v>239.86093749999998</v>
      </c>
      <c r="M34" s="136">
        <f t="shared" si="22"/>
        <v>0.2181087476226429</v>
      </c>
      <c r="N34" s="137">
        <f t="shared" si="23"/>
        <v>0.5392640074745555</v>
      </c>
      <c r="O34" s="138">
        <f t="shared" si="24"/>
        <v>0.4607359925254445</v>
      </c>
    </row>
    <row r="35" spans="1:15" x14ac:dyDescent="0.2">
      <c r="A35" s="271"/>
      <c r="B35" s="58">
        <v>38</v>
      </c>
      <c r="C35" s="43">
        <f>(B34+B35)/2</f>
        <v>45.5</v>
      </c>
      <c r="D35" s="76">
        <v>10.39</v>
      </c>
      <c r="E35" s="136">
        <f t="shared" si="25"/>
        <v>0.1180547665038064</v>
      </c>
      <c r="F35" s="137">
        <f t="shared" si="26"/>
        <v>0.37098057038972854</v>
      </c>
      <c r="G35" s="138">
        <f t="shared" si="27"/>
        <v>0.62901942961027146</v>
      </c>
      <c r="I35" s="271"/>
      <c r="J35" s="64">
        <v>0</v>
      </c>
      <c r="K35" s="47">
        <f>(J34+J35)/2</f>
        <v>1000</v>
      </c>
      <c r="L35" s="76">
        <v>506.6856249999999</v>
      </c>
      <c r="M35" s="136">
        <f t="shared" si="22"/>
        <v>0.46073599252544434</v>
      </c>
      <c r="N35" s="137">
        <f t="shared" si="23"/>
        <v>0.99999999999999978</v>
      </c>
      <c r="O35" s="138">
        <f t="shared" si="24"/>
        <v>0</v>
      </c>
    </row>
    <row r="36" spans="1:15" x14ac:dyDescent="0.2">
      <c r="A36" s="271"/>
      <c r="B36" s="58">
        <v>25</v>
      </c>
      <c r="C36" s="43">
        <f>(B35+B36)/2</f>
        <v>31.5</v>
      </c>
      <c r="D36" s="76">
        <v>7.1</v>
      </c>
      <c r="E36" s="136">
        <f t="shared" si="25"/>
        <v>8.0672650835132378E-2</v>
      </c>
      <c r="F36" s="137">
        <f t="shared" si="26"/>
        <v>0.4516532212248609</v>
      </c>
      <c r="G36" s="138">
        <f t="shared" si="27"/>
        <v>0.54834677877513904</v>
      </c>
      <c r="I36" s="271"/>
      <c r="J36" s="47"/>
      <c r="K36" s="47">
        <v>0</v>
      </c>
      <c r="L36" s="49">
        <v>0</v>
      </c>
      <c r="M36" s="136">
        <f t="shared" si="22"/>
        <v>0</v>
      </c>
      <c r="N36" s="137">
        <f t="shared" si="23"/>
        <v>0.99999999999999978</v>
      </c>
      <c r="O36" s="138">
        <f t="shared" si="24"/>
        <v>0</v>
      </c>
    </row>
    <row r="37" spans="1:15" ht="17" thickBot="1" x14ac:dyDescent="0.25">
      <c r="A37" s="271"/>
      <c r="B37" s="58">
        <v>0</v>
      </c>
      <c r="C37" s="43">
        <f>(B36+B37)/2</f>
        <v>12.5</v>
      </c>
      <c r="D37" s="76">
        <v>48.26</v>
      </c>
      <c r="E37" s="136">
        <f t="shared" si="25"/>
        <v>0.54834677877513927</v>
      </c>
      <c r="F37" s="137">
        <f t="shared" si="26"/>
        <v>1.0000000000000002</v>
      </c>
      <c r="G37" s="138">
        <f>1-F37</f>
        <v>0</v>
      </c>
      <c r="I37" s="272"/>
      <c r="J37" s="311" t="s">
        <v>160</v>
      </c>
      <c r="K37" s="311"/>
      <c r="L37" s="148">
        <f>SUM(L30:L36)</f>
        <v>1099.7309375</v>
      </c>
      <c r="M37" s="148"/>
      <c r="N37" s="148"/>
      <c r="O37" s="149"/>
    </row>
    <row r="38" spans="1:15" x14ac:dyDescent="0.2">
      <c r="A38" s="271"/>
      <c r="B38" s="47"/>
      <c r="C38" s="43">
        <v>0</v>
      </c>
      <c r="D38" s="43">
        <v>0</v>
      </c>
      <c r="E38" s="136">
        <f t="shared" si="25"/>
        <v>0</v>
      </c>
      <c r="F38" s="137">
        <f t="shared" si="26"/>
        <v>1.0000000000000002</v>
      </c>
      <c r="G38" s="138">
        <f t="shared" si="27"/>
        <v>0</v>
      </c>
    </row>
    <row r="39" spans="1:15" ht="17" thickBot="1" x14ac:dyDescent="0.25">
      <c r="A39" s="272"/>
      <c r="B39" s="311" t="s">
        <v>160</v>
      </c>
      <c r="C39" s="311"/>
      <c r="D39" s="148">
        <f>SUM(D32:D38)</f>
        <v>88.009999999999991</v>
      </c>
      <c r="E39" s="148"/>
      <c r="F39" s="148"/>
      <c r="G39" s="149"/>
    </row>
    <row r="64" ht="17" thickBot="1" x14ac:dyDescent="0.25"/>
    <row r="65" spans="2:14" x14ac:dyDescent="0.2">
      <c r="B65" s="270" t="s">
        <v>151</v>
      </c>
      <c r="C65" s="312"/>
      <c r="D65" s="312"/>
      <c r="E65" s="312"/>
      <c r="F65" s="313"/>
      <c r="J65" s="270" t="s">
        <v>152</v>
      </c>
      <c r="K65" s="312"/>
      <c r="L65" s="312"/>
      <c r="M65" s="312"/>
      <c r="N65" s="313"/>
    </row>
    <row r="66" spans="2:14" ht="18" x14ac:dyDescent="0.2">
      <c r="B66" s="140"/>
      <c r="C66" s="315" t="s">
        <v>161</v>
      </c>
      <c r="D66" s="315"/>
      <c r="E66" s="315" t="s">
        <v>162</v>
      </c>
      <c r="F66" s="316"/>
      <c r="J66" s="145"/>
      <c r="K66" s="315" t="s">
        <v>161</v>
      </c>
      <c r="L66" s="315"/>
      <c r="M66" s="315" t="s">
        <v>162</v>
      </c>
      <c r="N66" s="316"/>
    </row>
    <row r="67" spans="2:14" x14ac:dyDescent="0.2">
      <c r="B67" s="45" t="s">
        <v>6</v>
      </c>
      <c r="C67" s="137">
        <v>0.5</v>
      </c>
      <c r="D67" s="47">
        <v>21</v>
      </c>
      <c r="E67" s="137">
        <v>0.9</v>
      </c>
      <c r="F67" s="139">
        <v>110</v>
      </c>
      <c r="J67" s="65" t="s">
        <v>6</v>
      </c>
      <c r="K67" s="137">
        <v>0.5</v>
      </c>
      <c r="L67" s="67">
        <v>2900</v>
      </c>
      <c r="M67" s="137">
        <v>0.95</v>
      </c>
      <c r="N67" s="139">
        <v>6700</v>
      </c>
    </row>
    <row r="68" spans="2:14" x14ac:dyDescent="0.2">
      <c r="B68" s="45" t="s">
        <v>5</v>
      </c>
      <c r="C68" s="137">
        <v>0.5</v>
      </c>
      <c r="D68" s="47">
        <v>20</v>
      </c>
      <c r="E68" s="137">
        <v>0.9</v>
      </c>
      <c r="F68" s="139">
        <v>105</v>
      </c>
      <c r="J68" s="65" t="s">
        <v>5</v>
      </c>
      <c r="K68" s="137">
        <v>0.5</v>
      </c>
      <c r="L68" s="67">
        <v>2900</v>
      </c>
      <c r="M68" s="137">
        <v>0.95</v>
      </c>
      <c r="N68" s="139">
        <v>6700</v>
      </c>
    </row>
    <row r="69" spans="2:14" x14ac:dyDescent="0.2">
      <c r="B69" s="45" t="s">
        <v>8</v>
      </c>
      <c r="C69" s="137">
        <v>0.5</v>
      </c>
      <c r="D69" s="47">
        <v>22</v>
      </c>
      <c r="E69" s="137">
        <v>0.9</v>
      </c>
      <c r="F69" s="139">
        <v>90</v>
      </c>
      <c r="J69" s="65" t="s">
        <v>8</v>
      </c>
      <c r="K69" s="137">
        <v>0.5</v>
      </c>
      <c r="L69" s="67">
        <v>2500</v>
      </c>
      <c r="M69" s="137">
        <v>0.95</v>
      </c>
      <c r="N69" s="139">
        <v>6800</v>
      </c>
    </row>
    <row r="70" spans="2:14" ht="17" thickBot="1" x14ac:dyDescent="0.25">
      <c r="B70" s="46" t="s">
        <v>7</v>
      </c>
      <c r="C70" s="152">
        <v>0.5</v>
      </c>
      <c r="D70" s="48">
        <v>22</v>
      </c>
      <c r="E70" s="152">
        <v>0.9</v>
      </c>
      <c r="F70" s="44">
        <v>85</v>
      </c>
      <c r="J70" s="66" t="s">
        <v>7</v>
      </c>
      <c r="K70" s="152">
        <v>0.5</v>
      </c>
      <c r="L70" s="68">
        <v>2250</v>
      </c>
      <c r="M70" s="152">
        <v>0.95</v>
      </c>
      <c r="N70" s="44">
        <v>6300</v>
      </c>
    </row>
  </sheetData>
  <mergeCells count="24">
    <mergeCell ref="B65:F65"/>
    <mergeCell ref="C66:D66"/>
    <mergeCell ref="E66:F66"/>
    <mergeCell ref="J21:K21"/>
    <mergeCell ref="J29:K29"/>
    <mergeCell ref="I22:I29"/>
    <mergeCell ref="I30:I37"/>
    <mergeCell ref="J37:K37"/>
    <mergeCell ref="B31:C31"/>
    <mergeCell ref="J65:N65"/>
    <mergeCell ref="K66:L66"/>
    <mergeCell ref="M66:N66"/>
    <mergeCell ref="A24:A31"/>
    <mergeCell ref="A32:A39"/>
    <mergeCell ref="B39:C39"/>
    <mergeCell ref="I2:O2"/>
    <mergeCell ref="J12:K12"/>
    <mergeCell ref="I4:I12"/>
    <mergeCell ref="I13:I21"/>
    <mergeCell ref="A2:G2"/>
    <mergeCell ref="B13:C13"/>
    <mergeCell ref="A4:A13"/>
    <mergeCell ref="A14:A23"/>
    <mergeCell ref="B23:C23"/>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204E6-999A-F940-A9F6-141E50085392}">
  <dimension ref="A1:R40"/>
  <sheetViews>
    <sheetView workbookViewId="0">
      <selection sqref="A1:M1"/>
    </sheetView>
  </sheetViews>
  <sheetFormatPr baseColWidth="10" defaultColWidth="8.83203125" defaultRowHeight="15" x14ac:dyDescent="0.2"/>
  <cols>
    <col min="1" max="1" width="11.1640625" style="58" bestFit="1" customWidth="1"/>
    <col min="2" max="2" width="15.5" style="58" bestFit="1" customWidth="1"/>
    <col min="3" max="4" width="12.1640625" style="58" bestFit="1" customWidth="1"/>
    <col min="5" max="5" width="9.5" style="58" bestFit="1" customWidth="1"/>
    <col min="6" max="6" width="12" style="58" bestFit="1" customWidth="1"/>
    <col min="7" max="7" width="12.83203125" style="58" bestFit="1" customWidth="1"/>
    <col min="8" max="8" width="19.6640625" style="58" bestFit="1" customWidth="1"/>
    <col min="9" max="13" width="12.1640625" style="58" bestFit="1" customWidth="1"/>
    <col min="14" max="16384" width="8.83203125" style="58"/>
  </cols>
  <sheetData>
    <row r="1" spans="1:18" ht="16" thickBot="1" x14ac:dyDescent="0.25">
      <c r="A1" s="303" t="s">
        <v>151</v>
      </c>
      <c r="B1" s="306"/>
      <c r="C1" s="306"/>
      <c r="D1" s="306"/>
      <c r="E1" s="306"/>
      <c r="F1" s="306"/>
      <c r="G1" s="306"/>
      <c r="H1" s="306"/>
      <c r="I1" s="306"/>
      <c r="J1" s="306"/>
      <c r="K1" s="306"/>
      <c r="L1" s="306"/>
      <c r="M1" s="319"/>
    </row>
    <row r="2" spans="1:18" x14ac:dyDescent="0.2">
      <c r="A2" s="55"/>
      <c r="B2" s="306" t="s">
        <v>148</v>
      </c>
      <c r="C2" s="306"/>
      <c r="D2" s="306"/>
      <c r="E2" s="306"/>
      <c r="F2" s="306"/>
      <c r="G2" s="306"/>
      <c r="H2" s="94"/>
      <c r="I2" s="306" t="s">
        <v>134</v>
      </c>
      <c r="J2" s="306"/>
      <c r="K2" s="306"/>
      <c r="L2" s="306"/>
      <c r="M2" s="319"/>
      <c r="P2" s="73"/>
      <c r="Q2" s="51" t="s">
        <v>123</v>
      </c>
      <c r="R2" s="107" t="s">
        <v>133</v>
      </c>
    </row>
    <row r="3" spans="1:18" ht="18" thickBot="1" x14ac:dyDescent="0.25">
      <c r="A3" s="57"/>
      <c r="B3" s="23" t="s">
        <v>153</v>
      </c>
      <c r="C3" s="23" t="s">
        <v>142</v>
      </c>
      <c r="D3" s="23" t="s">
        <v>143</v>
      </c>
      <c r="E3" s="23" t="s">
        <v>144</v>
      </c>
      <c r="F3" s="23" t="s">
        <v>140</v>
      </c>
      <c r="G3" s="23" t="s">
        <v>61</v>
      </c>
      <c r="H3" s="95" t="s">
        <v>145</v>
      </c>
      <c r="I3" s="23" t="s">
        <v>142</v>
      </c>
      <c r="J3" s="23" t="s">
        <v>143</v>
      </c>
      <c r="K3" s="23" t="s">
        <v>144</v>
      </c>
      <c r="L3" s="23" t="s">
        <v>141</v>
      </c>
      <c r="M3" s="96" t="s">
        <v>149</v>
      </c>
      <c r="P3" s="56" t="s">
        <v>65</v>
      </c>
      <c r="Q3" s="74">
        <v>0.62329999999999997</v>
      </c>
      <c r="R3" s="104">
        <v>0.37669999999999998</v>
      </c>
    </row>
    <row r="4" spans="1:18" ht="16" thickBot="1" x14ac:dyDescent="0.2">
      <c r="A4" s="220" t="s">
        <v>6</v>
      </c>
      <c r="B4" s="83" t="s">
        <v>146</v>
      </c>
      <c r="C4" s="75" t="s">
        <v>13</v>
      </c>
      <c r="D4" s="75" t="s">
        <v>13</v>
      </c>
      <c r="E4" s="75" t="s">
        <v>13</v>
      </c>
      <c r="F4" s="109">
        <v>2.2999999999999998</v>
      </c>
      <c r="G4" s="53">
        <v>2.2875800000000002E-2</v>
      </c>
      <c r="H4" s="97" t="s">
        <v>13</v>
      </c>
      <c r="I4" s="75" t="s">
        <v>13</v>
      </c>
      <c r="J4" s="75" t="s">
        <v>13</v>
      </c>
      <c r="K4" s="75" t="s">
        <v>13</v>
      </c>
      <c r="L4" s="21">
        <f>F4/R3</f>
        <v>6.1056543668701879</v>
      </c>
      <c r="M4" s="78">
        <f>G4*(1/R3)</f>
        <v>6.0726838332890901E-2</v>
      </c>
      <c r="P4" s="57" t="s">
        <v>64</v>
      </c>
      <c r="Q4" s="105">
        <v>0.46550000000000002</v>
      </c>
      <c r="R4" s="106">
        <v>0.53449999999999998</v>
      </c>
    </row>
    <row r="5" spans="1:18" ht="16" thickBot="1" x14ac:dyDescent="0.25">
      <c r="A5" s="220" t="s">
        <v>5</v>
      </c>
      <c r="B5" s="83" t="s">
        <v>146</v>
      </c>
      <c r="C5" s="75" t="s">
        <v>13</v>
      </c>
      <c r="D5" s="75" t="s">
        <v>13</v>
      </c>
      <c r="E5" s="75" t="s">
        <v>13</v>
      </c>
      <c r="F5" s="108">
        <v>3.2</v>
      </c>
      <c r="G5" s="53">
        <v>4.5751E-2</v>
      </c>
      <c r="H5" s="97" t="s">
        <v>13</v>
      </c>
      <c r="I5" s="75" t="s">
        <v>13</v>
      </c>
      <c r="J5" s="75" t="s">
        <v>13</v>
      </c>
      <c r="K5" s="75" t="s">
        <v>13</v>
      </c>
      <c r="L5" s="21">
        <f>F5/R4</f>
        <v>5.9869036482694113</v>
      </c>
      <c r="M5" s="78">
        <f>G5*(1/R3)</f>
        <v>0.12145208388638173</v>
      </c>
    </row>
    <row r="6" spans="1:18" ht="16" thickBot="1" x14ac:dyDescent="0.25">
      <c r="A6" s="60" t="s">
        <v>8</v>
      </c>
      <c r="B6" s="98" t="s">
        <v>147</v>
      </c>
      <c r="C6" s="99">
        <v>9.3800000000000008</v>
      </c>
      <c r="D6" s="99">
        <v>9.44</v>
      </c>
      <c r="E6" s="99">
        <v>9.58</v>
      </c>
      <c r="F6" s="100">
        <f>AVERAGE(C6:E6)</f>
        <v>9.4666666666666668</v>
      </c>
      <c r="G6" s="101">
        <f>STDEV(C6:E6)</f>
        <v>0.10263202878893746</v>
      </c>
      <c r="H6" s="102" t="s">
        <v>13</v>
      </c>
      <c r="I6" s="101">
        <f t="shared" ref="I6:K7" si="0">C6/$R$3</f>
        <v>24.900451287496686</v>
      </c>
      <c r="J6" s="101">
        <f t="shared" si="0"/>
        <v>25.05972922750199</v>
      </c>
      <c r="K6" s="101">
        <f t="shared" si="0"/>
        <v>25.431377754181046</v>
      </c>
      <c r="L6" s="100">
        <f>AVERAGE(I6:K6)</f>
        <v>25.130519423059908</v>
      </c>
      <c r="M6" s="103">
        <f>2*(SQRT((((I6-L6)^2)+((J6-L6)^2)+((K6-L6)^2))/(3-1)))/(SQRT(3))</f>
        <v>0.31459851047926846</v>
      </c>
    </row>
    <row r="7" spans="1:18" ht="16" thickBot="1" x14ac:dyDescent="0.25">
      <c r="A7" s="72" t="s">
        <v>7</v>
      </c>
      <c r="B7" s="93" t="s">
        <v>147</v>
      </c>
      <c r="C7" s="59">
        <v>2.06</v>
      </c>
      <c r="D7" s="59">
        <v>1.97</v>
      </c>
      <c r="E7" s="59">
        <v>2</v>
      </c>
      <c r="F7" s="22">
        <f>AVERAGE(C7:E7)</f>
        <v>2.0100000000000002</v>
      </c>
      <c r="G7" s="54">
        <f>STDEV(C7:E7)</f>
        <v>4.5825756949558441E-2</v>
      </c>
      <c r="H7" s="91" t="s">
        <v>13</v>
      </c>
      <c r="I7" s="54">
        <f t="shared" si="0"/>
        <v>5.4685426068489518</v>
      </c>
      <c r="J7" s="54">
        <f t="shared" si="0"/>
        <v>5.229625696840988</v>
      </c>
      <c r="K7" s="54">
        <f t="shared" si="0"/>
        <v>5.3092646668436423</v>
      </c>
      <c r="L7" s="22">
        <f>AVERAGE(I7:K7)</f>
        <v>5.335810990177861</v>
      </c>
      <c r="M7" s="92">
        <f>2*(SQRT((((I7-L7)^2)+((J7-L7)^2)+((K7-L7)^2))/(3-1)))/(SQRT(3))</f>
        <v>0.1404699395309047</v>
      </c>
    </row>
    <row r="8" spans="1:18" ht="16" thickBot="1" x14ac:dyDescent="0.25"/>
    <row r="9" spans="1:18" ht="16" customHeight="1" x14ac:dyDescent="0.2">
      <c r="A9" s="320" t="s">
        <v>152</v>
      </c>
      <c r="B9" s="321"/>
      <c r="C9" s="321"/>
      <c r="D9" s="321"/>
      <c r="E9" s="321"/>
      <c r="F9" s="321"/>
      <c r="G9" s="321"/>
      <c r="H9" s="321"/>
      <c r="I9" s="321"/>
      <c r="J9" s="321"/>
      <c r="K9" s="321"/>
      <c r="L9" s="321"/>
      <c r="M9" s="322"/>
    </row>
    <row r="10" spans="1:18" x14ac:dyDescent="0.2">
      <c r="A10" s="56"/>
      <c r="B10" s="289" t="s">
        <v>148</v>
      </c>
      <c r="C10" s="289"/>
      <c r="D10" s="289"/>
      <c r="E10" s="289"/>
      <c r="F10" s="289"/>
      <c r="G10" s="289"/>
      <c r="H10" s="26"/>
      <c r="I10" s="317" t="s">
        <v>134</v>
      </c>
      <c r="J10" s="317"/>
      <c r="K10" s="317"/>
      <c r="L10" s="317"/>
      <c r="M10" s="318"/>
      <c r="Q10" s="74"/>
      <c r="R10" s="74"/>
    </row>
    <row r="11" spans="1:18" ht="18" thickBot="1" x14ac:dyDescent="0.25">
      <c r="A11" s="56"/>
      <c r="B11" s="19" t="s">
        <v>153</v>
      </c>
      <c r="C11" s="19" t="s">
        <v>142</v>
      </c>
      <c r="D11" s="19" t="s">
        <v>143</v>
      </c>
      <c r="E11" s="19" t="s">
        <v>144</v>
      </c>
      <c r="F11" s="19" t="s">
        <v>140</v>
      </c>
      <c r="G11" s="19" t="s">
        <v>61</v>
      </c>
      <c r="H11" s="81" t="s">
        <v>145</v>
      </c>
      <c r="I11" s="19" t="s">
        <v>142</v>
      </c>
      <c r="J11" s="19" t="s">
        <v>143</v>
      </c>
      <c r="K11" s="19" t="s">
        <v>144</v>
      </c>
      <c r="L11" s="19" t="s">
        <v>141</v>
      </c>
      <c r="M11" s="80" t="s">
        <v>149</v>
      </c>
      <c r="P11" s="53"/>
      <c r="Q11" s="37"/>
    </row>
    <row r="12" spans="1:18" x14ac:dyDescent="0.2">
      <c r="A12" s="303" t="s">
        <v>6</v>
      </c>
      <c r="B12" s="87" t="s">
        <v>135</v>
      </c>
      <c r="C12" s="18">
        <v>2.83</v>
      </c>
      <c r="D12" s="18">
        <v>3.75</v>
      </c>
      <c r="E12" s="18">
        <v>4.2</v>
      </c>
      <c r="F12" s="20">
        <f>AVERAGE(C12:E12)</f>
        <v>3.5933333333333337</v>
      </c>
      <c r="G12" s="52">
        <f>_xlfn.STDEV.S(C12:E12)</f>
        <v>0.69830747764385837</v>
      </c>
      <c r="H12" s="88">
        <f>1-37%</f>
        <v>0.63</v>
      </c>
      <c r="I12" s="52">
        <f>C12/$R$3</f>
        <v>7.5126095035837546</v>
      </c>
      <c r="J12" s="52">
        <f t="shared" ref="J12:K16" si="1">D12/$R$3</f>
        <v>9.9548712503318288</v>
      </c>
      <c r="K12" s="52">
        <f t="shared" si="1"/>
        <v>11.14945580037165</v>
      </c>
      <c r="L12" s="20">
        <f>AVERAGE(I12:K12)</f>
        <v>9.5389788514290785</v>
      </c>
      <c r="M12" s="89">
        <f>2*(SQRT((((I12-L12)^2)+((J12-L12)^2)+((K12-L12)^2))/(3-1)))/(SQRT(3))</f>
        <v>2.1405256713289753</v>
      </c>
      <c r="P12" s="53"/>
    </row>
    <row r="13" spans="1:18" x14ac:dyDescent="0.2">
      <c r="A13" s="304"/>
      <c r="B13" s="83" t="s">
        <v>136</v>
      </c>
      <c r="C13" s="58">
        <v>3.39</v>
      </c>
      <c r="D13" s="58">
        <v>2.37</v>
      </c>
      <c r="E13" s="58">
        <v>2.52</v>
      </c>
      <c r="F13" s="21">
        <f>AVERAGE(C13:E13)</f>
        <v>2.76</v>
      </c>
      <c r="G13" s="53">
        <f>_xlfn.STDEV.S(C13:E13)</f>
        <v>0.55072679252057632</v>
      </c>
      <c r="H13" s="82">
        <f>0.37*(0.2398+0.1509)</f>
        <v>0.14455900000000002</v>
      </c>
      <c r="I13" s="53">
        <f>C13/$R$3</f>
        <v>8.9992036102999737</v>
      </c>
      <c r="J13" s="53">
        <f t="shared" si="1"/>
        <v>6.291478630209717</v>
      </c>
      <c r="K13" s="53">
        <f t="shared" si="1"/>
        <v>6.6896734802229894</v>
      </c>
      <c r="L13" s="21">
        <f>AVERAGE(I13:K13)</f>
        <v>7.3267852402442273</v>
      </c>
      <c r="M13" s="78">
        <f>2*(SQRT((((I13-L13)^2)+((J13-L13)^2)+((K13-L13)^2))/(3-1)))/(SQRT(3))</f>
        <v>1.688145802557435</v>
      </c>
    </row>
    <row r="14" spans="1:18" x14ac:dyDescent="0.2">
      <c r="A14" s="304"/>
      <c r="B14" s="83" t="s">
        <v>137</v>
      </c>
      <c r="C14" s="58">
        <v>3.63</v>
      </c>
      <c r="D14" s="58">
        <v>2.56</v>
      </c>
      <c r="E14" s="58">
        <v>2.5099999999999998</v>
      </c>
      <c r="F14" s="21">
        <f>AVERAGE(C14:E14)</f>
        <v>2.9</v>
      </c>
      <c r="G14" s="53">
        <f>_xlfn.STDEV.S(C14:E14)</f>
        <v>0.63269265840532973</v>
      </c>
      <c r="H14" s="82">
        <f>0.37*(0.0634+0.1056+0.0868)</f>
        <v>9.4645999999999994E-2</v>
      </c>
      <c r="I14" s="53">
        <f>C14/$R$3</f>
        <v>9.6363153703212099</v>
      </c>
      <c r="J14" s="53">
        <f t="shared" si="1"/>
        <v>6.7958587735598623</v>
      </c>
      <c r="K14" s="53">
        <f t="shared" si="1"/>
        <v>6.6631271568887707</v>
      </c>
      <c r="L14" s="21">
        <f>AVERAGE(I14:K14)</f>
        <v>7.6984337669232801</v>
      </c>
      <c r="M14" s="78">
        <f>2*(SQRT((((I14-L14)^2)+((J14-L14)^2)+((K14-L14)^2))/(3-1)))/(SQRT(3))</f>
        <v>1.9393962126074624</v>
      </c>
    </row>
    <row r="15" spans="1:18" x14ac:dyDescent="0.2">
      <c r="A15" s="304"/>
      <c r="B15" s="83" t="s">
        <v>138</v>
      </c>
      <c r="C15" s="58">
        <v>4.3499999999999996</v>
      </c>
      <c r="D15" s="58">
        <v>3.06</v>
      </c>
      <c r="E15" s="58">
        <v>2.98</v>
      </c>
      <c r="F15" s="21">
        <f>AVERAGE(C15:E15)</f>
        <v>3.4633333333333334</v>
      </c>
      <c r="G15" s="53">
        <f>_xlfn.STDEV.S(C15:E15)</f>
        <v>0.76891698728362834</v>
      </c>
      <c r="H15" s="82">
        <f>0.37*(0.0718+0.0592+0.042)</f>
        <v>6.4010000000000011E-2</v>
      </c>
      <c r="I15" s="53">
        <f>C15/$R$3</f>
        <v>11.547650650384922</v>
      </c>
      <c r="J15" s="53">
        <f t="shared" si="1"/>
        <v>8.1231749402707738</v>
      </c>
      <c r="K15" s="53">
        <f t="shared" si="1"/>
        <v>7.9108043535970269</v>
      </c>
      <c r="L15" s="21">
        <f>AVERAGE(I15:K15)</f>
        <v>9.19387664808424</v>
      </c>
      <c r="M15" s="78">
        <f>2*(SQRT((((I15-L15)^2)+((J15-L15)^2)+((K15-L15)^2))/(3-1)))/(SQRT(3))</f>
        <v>2.3569653814318001</v>
      </c>
    </row>
    <row r="16" spans="1:18" x14ac:dyDescent="0.2">
      <c r="A16" s="304"/>
      <c r="B16" s="85" t="s">
        <v>139</v>
      </c>
      <c r="C16" s="70">
        <v>4.21</v>
      </c>
      <c r="D16" s="70">
        <v>4.1399999999999997</v>
      </c>
      <c r="E16" s="70">
        <v>4.08</v>
      </c>
      <c r="F16" s="71">
        <f>AVERAGE(C16:E16)</f>
        <v>4.1433333333333335</v>
      </c>
      <c r="G16" s="77">
        <f>_xlfn.STDEV.S(C16:E16)</f>
        <v>6.5064070986477068E-2</v>
      </c>
      <c r="H16" s="86">
        <f>0.37*(0.1805)</f>
        <v>6.6784999999999997E-2</v>
      </c>
      <c r="I16" s="77">
        <f>C16/$R$3</f>
        <v>11.176002123705867</v>
      </c>
      <c r="J16" s="77">
        <f t="shared" si="1"/>
        <v>10.990177860366339</v>
      </c>
      <c r="K16" s="77">
        <f>E16/$R$3</f>
        <v>10.830899920361031</v>
      </c>
      <c r="L16" s="71">
        <f>AVERAGE(I16:K16)</f>
        <v>10.999026634811079</v>
      </c>
      <c r="M16" s="79">
        <f>2*(SQRT((((I16-L16)^2)+((J16-L16)^2)+((K16-L16)^2))/(3-1)))/(SQRT(3))</f>
        <v>0.19944124713891953</v>
      </c>
      <c r="Q16" s="74"/>
      <c r="R16" s="74"/>
    </row>
    <row r="17" spans="1:17" ht="16" thickBot="1" x14ac:dyDescent="0.25">
      <c r="A17" s="305"/>
      <c r="B17" s="23" t="s">
        <v>150</v>
      </c>
      <c r="C17" s="90" t="s">
        <v>13</v>
      </c>
      <c r="D17" s="90" t="s">
        <v>13</v>
      </c>
      <c r="E17" s="90" t="s">
        <v>13</v>
      </c>
      <c r="F17" s="54">
        <f>F12*H12+H13*F13+F14*H14+H15*F15+F16*H16</f>
        <v>3.4356567233333335</v>
      </c>
      <c r="G17" s="54">
        <f>(ABS(F17))*SQRT(((G12/F12)^2)+((G13/F13)^2)+((G14/F14)^2)+((G15/F15)^2)+((G16/F16)^2))</f>
        <v>1.4360776338240526</v>
      </c>
      <c r="H17" s="91" t="s">
        <v>13</v>
      </c>
      <c r="I17" s="90" t="s">
        <v>13</v>
      </c>
      <c r="J17" s="90" t="s">
        <v>13</v>
      </c>
      <c r="K17" s="90" t="s">
        <v>13</v>
      </c>
      <c r="L17" s="54">
        <f>L12*H12+L13*H13+L14*H14+L15*H15+L16*H16</f>
        <v>9.1204054242987347</v>
      </c>
      <c r="M17" s="92">
        <f>(ABS(L17))*SQRT(((M12/L12)^2)+((M13/L13)^2)+((M14/L14)^2)+((M15/L15)^2)+((M16/L16)^2))</f>
        <v>4.4020165036661396</v>
      </c>
    </row>
    <row r="18" spans="1:17" x14ac:dyDescent="0.2">
      <c r="A18" s="303" t="s">
        <v>5</v>
      </c>
      <c r="B18" s="87" t="s">
        <v>135</v>
      </c>
      <c r="C18" s="18">
        <v>5.72</v>
      </c>
      <c r="D18" s="18">
        <v>5.25</v>
      </c>
      <c r="E18" s="18">
        <v>3.81</v>
      </c>
      <c r="F18" s="20">
        <f>AVERAGE(C18:E18)</f>
        <v>4.9266666666666667</v>
      </c>
      <c r="G18" s="52">
        <f>_xlfn.STDEV.S(C18:E18)</f>
        <v>0.99520517147638232</v>
      </c>
      <c r="H18" s="88">
        <f>1-37%</f>
        <v>0.63</v>
      </c>
      <c r="I18" s="52">
        <f t="shared" ref="I18:K22" si="2">C18/$R$4</f>
        <v>10.701590271281571</v>
      </c>
      <c r="J18" s="52">
        <f t="shared" si="2"/>
        <v>9.8222637979420018</v>
      </c>
      <c r="K18" s="52">
        <f t="shared" si="2"/>
        <v>7.1281571562207677</v>
      </c>
      <c r="L18" s="20">
        <f>AVERAGE(I18:K18)</f>
        <v>9.2173370751481141</v>
      </c>
      <c r="M18" s="89">
        <f>2*(SQRT((((I18-L18)^2)+((J18-L18)^2)+((K18-L18)^2))/(3-1)))/(SQRT(3))</f>
        <v>2.149979321424869</v>
      </c>
    </row>
    <row r="19" spans="1:17" ht="16" customHeight="1" x14ac:dyDescent="0.2">
      <c r="A19" s="304"/>
      <c r="B19" s="83" t="s">
        <v>136</v>
      </c>
      <c r="C19" s="58">
        <v>4.03</v>
      </c>
      <c r="D19" s="58">
        <v>2.85</v>
      </c>
      <c r="E19" s="58">
        <v>2.88</v>
      </c>
      <c r="F19" s="21">
        <f>AVERAGE(C19:E19)</f>
        <v>3.2533333333333339</v>
      </c>
      <c r="G19" s="53">
        <f>_xlfn.STDEV.S(C19:E19)</f>
        <v>0.67278030094030916</v>
      </c>
      <c r="H19" s="82">
        <f>0.37*(0.1733)+0.06309</f>
        <v>0.12721099999999999</v>
      </c>
      <c r="I19" s="53">
        <f t="shared" si="2"/>
        <v>7.5397567820392899</v>
      </c>
      <c r="J19" s="53">
        <f t="shared" si="2"/>
        <v>5.3320860617399441</v>
      </c>
      <c r="K19" s="53">
        <f t="shared" si="2"/>
        <v>5.3882132834424699</v>
      </c>
      <c r="L19" s="21">
        <f>AVERAGE(I19:K19)</f>
        <v>6.0866853757405677</v>
      </c>
      <c r="M19" s="78">
        <f>2*(SQRT((((I19-L19)^2)+((J19-L19)^2)+((K19-L19)^2))/(3-1)))/(SQRT(3))</f>
        <v>1.453432695428869</v>
      </c>
    </row>
    <row r="20" spans="1:17" ht="16" customHeight="1" x14ac:dyDescent="0.2">
      <c r="A20" s="304"/>
      <c r="B20" s="83" t="s">
        <v>137</v>
      </c>
      <c r="C20" s="58">
        <v>4.5199999999999996</v>
      </c>
      <c r="D20" s="58">
        <v>3.34</v>
      </c>
      <c r="E20" s="58">
        <v>3.4</v>
      </c>
      <c r="F20" s="21">
        <f>AVERAGE(C20:E20)</f>
        <v>3.7533333333333334</v>
      </c>
      <c r="G20" s="53">
        <f>_xlfn.STDEV.S(C20:E20)</f>
        <v>0.66463022300624564</v>
      </c>
      <c r="H20" s="82">
        <f>0.37*(0.0708+0.1146+0.0913)</f>
        <v>0.102379</v>
      </c>
      <c r="I20" s="53">
        <f t="shared" si="2"/>
        <v>8.4565014031805426</v>
      </c>
      <c r="J20" s="53">
        <f t="shared" si="2"/>
        <v>6.2488306828811977</v>
      </c>
      <c r="K20" s="53">
        <f t="shared" si="2"/>
        <v>6.3610851262862491</v>
      </c>
      <c r="L20" s="21">
        <f>AVERAGE(I20:K20)</f>
        <v>7.0221390707826634</v>
      </c>
      <c r="M20" s="78">
        <f>2*(SQRT((((I20-L20)^2)+((J20-L20)^2)+((K20-L20)^2))/(3-1)))/(SQRT(3))</f>
        <v>1.4358257742346774</v>
      </c>
    </row>
    <row r="21" spans="1:17" x14ac:dyDescent="0.2">
      <c r="A21" s="304"/>
      <c r="B21" s="83" t="s">
        <v>138</v>
      </c>
      <c r="C21" s="58">
        <v>6.07</v>
      </c>
      <c r="D21" s="58">
        <v>4.08</v>
      </c>
      <c r="E21" s="58">
        <v>4.3</v>
      </c>
      <c r="F21" s="21">
        <f>AVERAGE(C21:E21)</f>
        <v>4.8166666666666664</v>
      </c>
      <c r="G21" s="53">
        <f>_xlfn.STDEV.S(C21:E21)</f>
        <v>1.0909781543795176</v>
      </c>
      <c r="H21" s="82">
        <f>0.37*(0.0414+0.0631+0.0733)</f>
        <v>6.5786000000000011E-2</v>
      </c>
      <c r="I21" s="53">
        <f t="shared" si="2"/>
        <v>11.356407857811039</v>
      </c>
      <c r="J21" s="53">
        <f t="shared" si="2"/>
        <v>7.6333021515434991</v>
      </c>
      <c r="K21" s="53">
        <f t="shared" si="2"/>
        <v>8.0449017773620213</v>
      </c>
      <c r="L21" s="21">
        <f>AVERAGE(I21:K21)</f>
        <v>9.0115372622388534</v>
      </c>
      <c r="M21" s="78">
        <f>2*(SQRT((((I21-L21)^2)+((J21-L21)^2)+((K21-L21)^2))/(3-1)))/(SQRT(3))</f>
        <v>2.3568813137923827</v>
      </c>
    </row>
    <row r="22" spans="1:17" x14ac:dyDescent="0.2">
      <c r="A22" s="304"/>
      <c r="B22" s="85" t="s">
        <v>139</v>
      </c>
      <c r="C22" s="70">
        <v>6.52</v>
      </c>
      <c r="D22" s="70">
        <v>6.33</v>
      </c>
      <c r="E22" s="70">
        <v>6.56</v>
      </c>
      <c r="F22" s="71">
        <f>AVERAGE(C22:E22)</f>
        <v>6.47</v>
      </c>
      <c r="G22" s="77">
        <f>_xlfn.STDEV.S(C22:E22)</f>
        <v>0.1228820572744448</v>
      </c>
      <c r="H22" s="86">
        <f>0.37*(0.2016)</f>
        <v>7.4592000000000006E-2</v>
      </c>
      <c r="I22" s="77">
        <f t="shared" si="2"/>
        <v>12.198316183348924</v>
      </c>
      <c r="J22" s="77">
        <f t="shared" si="2"/>
        <v>11.842843779232929</v>
      </c>
      <c r="K22" s="77">
        <f t="shared" si="2"/>
        <v>12.273152478952293</v>
      </c>
      <c r="L22" s="71">
        <f>AVERAGE(I22:K22)</f>
        <v>12.104770813844715</v>
      </c>
      <c r="M22" s="79">
        <f>2*(SQRT((((I22-L22)^2)+((J22-L22)^2)+((K22-L22)^2))/(3-1)))/(SQRT(3))</f>
        <v>0.26546674965753314</v>
      </c>
      <c r="P22" s="74"/>
      <c r="Q22" s="74"/>
    </row>
    <row r="23" spans="1:17" ht="16" thickBot="1" x14ac:dyDescent="0.25">
      <c r="A23" s="305"/>
      <c r="B23" s="23" t="s">
        <v>150</v>
      </c>
      <c r="C23" s="90" t="s">
        <v>13</v>
      </c>
      <c r="D23" s="90" t="s">
        <v>13</v>
      </c>
      <c r="E23" s="90" t="s">
        <v>13</v>
      </c>
      <c r="F23" s="54">
        <f>F18*H18+H19*F19+F20*H20+H21*F21+F22*H22</f>
        <v>4.7014017733333331</v>
      </c>
      <c r="G23" s="54">
        <f>(ABS(F23))*SQRT(((G18/F18)^2)+((G19/F19)^2)+((G20/F20)^2)+((G21/F21)^2)+((G22/F22)^2))</f>
        <v>1.9188991950976761</v>
      </c>
      <c r="H23" s="91" t="s">
        <v>13</v>
      </c>
      <c r="I23" s="90" t="s">
        <v>13</v>
      </c>
      <c r="J23" s="90" t="s">
        <v>13</v>
      </c>
      <c r="K23" s="90" t="s">
        <v>13</v>
      </c>
      <c r="L23" s="54">
        <f>L18*H18+L19*H19+L20*H20+L21*H21+L22*H22</f>
        <v>8.795887321484253</v>
      </c>
      <c r="M23" s="92">
        <f>(ABS(L23))*SQRT(((M18/L18)^2)+((M19/L19)^2)+((M20/L20)^2)+((M21/L21)^2)+((M22/L22)^2))</f>
        <v>4.1454704091202963</v>
      </c>
    </row>
    <row r="24" spans="1:17" x14ac:dyDescent="0.2">
      <c r="A24" s="303" t="s">
        <v>8</v>
      </c>
      <c r="B24" s="87" t="s">
        <v>135</v>
      </c>
      <c r="C24" s="18">
        <v>8.39</v>
      </c>
      <c r="D24" s="18">
        <v>8.4700000000000006</v>
      </c>
      <c r="E24" s="18">
        <v>8</v>
      </c>
      <c r="F24" s="20">
        <f>AVERAGE(C24:E24)</f>
        <v>8.2866666666666671</v>
      </c>
      <c r="G24" s="52">
        <f>_xlfn.STDEV.S(C24:E24)</f>
        <v>0.25146238950056427</v>
      </c>
      <c r="H24" s="88">
        <v>0.56818572985791049</v>
      </c>
      <c r="I24" s="52">
        <f t="shared" ref="I24:K28" si="3">C24/$R$3</f>
        <v>22.272365277409083</v>
      </c>
      <c r="J24" s="52">
        <f t="shared" si="3"/>
        <v>22.484735864082829</v>
      </c>
      <c r="K24" s="52">
        <f t="shared" si="3"/>
        <v>21.237058667374569</v>
      </c>
      <c r="L24" s="20">
        <f>AVERAGE(I24:K24)</f>
        <v>21.998053269622162</v>
      </c>
      <c r="M24" s="89">
        <f>2*(SQRT((((I24-L24)^2)+((J24-L24)^2)+((K24-L24)^2))/(3-1)))/(SQRT(3))</f>
        <v>0.77080901656075185</v>
      </c>
    </row>
    <row r="25" spans="1:17" x14ac:dyDescent="0.2">
      <c r="A25" s="304"/>
      <c r="B25" s="83" t="s">
        <v>136</v>
      </c>
      <c r="C25" s="58">
        <v>9.35</v>
      </c>
      <c r="D25" s="58">
        <v>9.2100000000000009</v>
      </c>
      <c r="E25" s="58">
        <v>8.36</v>
      </c>
      <c r="F25" s="21">
        <f>AVERAGE(C25:E25)</f>
        <v>8.9733333333333345</v>
      </c>
      <c r="G25" s="53">
        <f>_xlfn.STDEV.S(C25:E25)</f>
        <v>0.53575491909392092</v>
      </c>
      <c r="H25" s="82">
        <v>0.12871239792698552</v>
      </c>
      <c r="I25" s="53">
        <f t="shared" si="3"/>
        <v>24.820812317494028</v>
      </c>
      <c r="J25" s="53">
        <f t="shared" si="3"/>
        <v>24.449163790814975</v>
      </c>
      <c r="K25" s="53">
        <f t="shared" si="3"/>
        <v>22.192726307406424</v>
      </c>
      <c r="L25" s="21">
        <f>AVERAGE(I25:K25)</f>
        <v>23.820900805238477</v>
      </c>
      <c r="M25" s="78">
        <f>2*(SQRT((((I25-L25)^2)+((J25-L25)^2)+((K25-L25)^2))/(3-1)))/(SQRT(3))</f>
        <v>1.6422524383251467</v>
      </c>
    </row>
    <row r="26" spans="1:17" x14ac:dyDescent="0.2">
      <c r="A26" s="304"/>
      <c r="B26" s="83" t="s">
        <v>137</v>
      </c>
      <c r="C26" s="58">
        <v>10.199999999999999</v>
      </c>
      <c r="D26" s="58">
        <v>9.98</v>
      </c>
      <c r="E26" s="58">
        <v>10.3</v>
      </c>
      <c r="F26" s="21">
        <f>AVERAGE(C26:E26)</f>
        <v>10.16</v>
      </c>
      <c r="G26" s="53">
        <f>_xlfn.STDEV.S(C26:E26)</f>
        <v>0.16370705543744898</v>
      </c>
      <c r="H26" s="82">
        <v>0.10695913254670975</v>
      </c>
      <c r="I26" s="53">
        <f t="shared" si="3"/>
        <v>27.077249800902575</v>
      </c>
      <c r="J26" s="53">
        <f t="shared" si="3"/>
        <v>26.493230687549776</v>
      </c>
      <c r="K26" s="53">
        <f t="shared" si="3"/>
        <v>27.34271303424476</v>
      </c>
      <c r="L26" s="21">
        <f>AVERAGE(I26:K26)</f>
        <v>26.9710645075657</v>
      </c>
      <c r="M26" s="78">
        <f>2*(SQRT((((I26-L26)^2)+((J26-L26)^2)+((K26-L26)^2))/(3-1)))/(SQRT(3))</f>
        <v>0.50181211852961094</v>
      </c>
    </row>
    <row r="27" spans="1:17" x14ac:dyDescent="0.2">
      <c r="A27" s="304"/>
      <c r="B27" s="83" t="s">
        <v>138</v>
      </c>
      <c r="C27" s="58">
        <v>12.8</v>
      </c>
      <c r="D27" s="58">
        <v>12.7</v>
      </c>
      <c r="E27" s="58">
        <v>12.7</v>
      </c>
      <c r="F27" s="21">
        <f>AVERAGE(C27:E27)</f>
        <v>12.733333333333334</v>
      </c>
      <c r="G27" s="53">
        <f>_xlfn.STDEV.S(C27:E27)</f>
        <v>5.77350269189634E-2</v>
      </c>
      <c r="H27" s="82">
        <v>8.6754890899007467E-2</v>
      </c>
      <c r="I27" s="53">
        <f t="shared" si="3"/>
        <v>33.979293867799313</v>
      </c>
      <c r="J27" s="53">
        <f t="shared" si="3"/>
        <v>33.713830634457125</v>
      </c>
      <c r="K27" s="53">
        <f t="shared" si="3"/>
        <v>33.713830634457125</v>
      </c>
      <c r="L27" s="21">
        <f>AVERAGE(I27:K27)</f>
        <v>33.802318378904523</v>
      </c>
      <c r="M27" s="78">
        <f>2*(SQRT((((I27-L27)^2)+((J27-L27)^2)+((K27-L27)^2))/(3-1)))/(SQRT(3))</f>
        <v>0.17697548889479245</v>
      </c>
    </row>
    <row r="28" spans="1:17" x14ac:dyDescent="0.2">
      <c r="A28" s="304"/>
      <c r="B28" s="85" t="s">
        <v>139</v>
      </c>
      <c r="C28" s="70">
        <v>13.4</v>
      </c>
      <c r="D28" s="70">
        <v>13.4</v>
      </c>
      <c r="E28" s="70">
        <v>13.4</v>
      </c>
      <c r="F28" s="71">
        <f>AVERAGE(C28:E28)</f>
        <v>13.4</v>
      </c>
      <c r="G28" s="77">
        <f>_xlfn.STDEV.S(C28:E28)</f>
        <v>0</v>
      </c>
      <c r="H28" s="86">
        <v>0.10938784876938669</v>
      </c>
      <c r="I28" s="77">
        <f t="shared" si="3"/>
        <v>35.572073267852403</v>
      </c>
      <c r="J28" s="77">
        <f t="shared" si="3"/>
        <v>35.572073267852403</v>
      </c>
      <c r="K28" s="77">
        <f t="shared" si="3"/>
        <v>35.572073267852403</v>
      </c>
      <c r="L28" s="71">
        <f>AVERAGE(I28:K28)</f>
        <v>35.572073267852403</v>
      </c>
      <c r="M28" s="79">
        <f>2*(SQRT((((I28-L28)^2)+((J28-L28)^2)+((K28-L28)^2))/(3-1)))/(SQRT(3))</f>
        <v>0</v>
      </c>
      <c r="P28" s="74"/>
      <c r="Q28" s="74"/>
    </row>
    <row r="29" spans="1:17" ht="16" thickBot="1" x14ac:dyDescent="0.25">
      <c r="A29" s="305"/>
      <c r="B29" s="23" t="s">
        <v>150</v>
      </c>
      <c r="C29" s="90" t="s">
        <v>13</v>
      </c>
      <c r="D29" s="90" t="s">
        <v>13</v>
      </c>
      <c r="E29" s="90" t="s">
        <v>13</v>
      </c>
      <c r="F29" s="54">
        <f>F24*H24+H25*F25+F26*H26+H27*F27+F28*H28</f>
        <v>9.5205259031190828</v>
      </c>
      <c r="G29" s="54">
        <f>(ABS(F29))*SQRT(((G24/F24)^2)+((G25/F25)^2)+((G26/F26)^2)+((G27/F27)^2)+((G28/F28)^2))</f>
        <v>0.65724342805613889</v>
      </c>
      <c r="H29" s="91" t="s">
        <v>13</v>
      </c>
      <c r="I29" s="90" t="s">
        <v>13</v>
      </c>
      <c r="J29" s="90" t="s">
        <v>13</v>
      </c>
      <c r="K29" s="90" t="s">
        <v>13</v>
      </c>
      <c r="L29" s="54">
        <f>L24*H24+L25*H25+L26*H26+L27*H27+L28*H28</f>
        <v>25.273495893599904</v>
      </c>
      <c r="M29" s="92">
        <f>(ABS(L29))*SQRT(((M24/L24)^2)+((M25/L25)^2)+((M26/L26)^2)+((M27/L27)^2)+((M28/L28)^2))</f>
        <v>2.0146518190141993</v>
      </c>
    </row>
    <row r="30" spans="1:17" x14ac:dyDescent="0.2">
      <c r="A30" s="303" t="s">
        <v>7</v>
      </c>
      <c r="B30" s="87" t="s">
        <v>135</v>
      </c>
      <c r="C30" s="18">
        <v>1.3</v>
      </c>
      <c r="D30" s="18">
        <v>1.39</v>
      </c>
      <c r="E30" s="18">
        <v>1.37</v>
      </c>
      <c r="F30" s="20">
        <f>AVERAGE(C30:E30)</f>
        <v>1.3533333333333335</v>
      </c>
      <c r="G30" s="52">
        <f>_xlfn.STDEV.S(C30:E30)</f>
        <v>4.7258156262526045E-2</v>
      </c>
      <c r="H30" s="88">
        <v>0.59601970047240926</v>
      </c>
      <c r="I30" s="52">
        <f t="shared" ref="I30:K34" si="4">C30/$R$3</f>
        <v>3.4510220334483677</v>
      </c>
      <c r="J30" s="52">
        <f t="shared" si="4"/>
        <v>3.6899389434563314</v>
      </c>
      <c r="K30" s="52">
        <f t="shared" si="4"/>
        <v>3.6368462967878954</v>
      </c>
      <c r="L30" s="20">
        <f>AVERAGE(I30:K30)</f>
        <v>3.5926024245641983</v>
      </c>
      <c r="M30" s="89">
        <f>2*(SQRT((((I30-L30)^2)+((J30-L30)^2)+((K30-L30)^2))/(3-1)))/(SQRT(3))</f>
        <v>0.14486068085784354</v>
      </c>
    </row>
    <row r="31" spans="1:17" x14ac:dyDescent="0.2">
      <c r="A31" s="304"/>
      <c r="B31" s="83" t="s">
        <v>136</v>
      </c>
      <c r="C31" s="58">
        <v>1.33</v>
      </c>
      <c r="D31" s="58">
        <v>1.59</v>
      </c>
      <c r="E31" s="58">
        <v>1.36</v>
      </c>
      <c r="F31" s="21">
        <f>AVERAGE(C31:E31)</f>
        <v>1.4266666666666667</v>
      </c>
      <c r="G31" s="53">
        <f>_xlfn.STDEV.S(C31:E31)</f>
        <v>0.14224392195567911</v>
      </c>
      <c r="H31" s="82">
        <v>0.13508895366368481</v>
      </c>
      <c r="I31" s="53">
        <f t="shared" si="4"/>
        <v>3.5306610034510224</v>
      </c>
      <c r="J31" s="53">
        <f t="shared" si="4"/>
        <v>4.2208654101406964</v>
      </c>
      <c r="K31" s="53">
        <f t="shared" si="4"/>
        <v>3.6102999734536771</v>
      </c>
      <c r="L31" s="21">
        <f>AVERAGE(I31:K31)</f>
        <v>3.7872754623484659</v>
      </c>
      <c r="M31" s="78">
        <f>2*(SQRT((((I31-L31)^2)+((J31-L31)^2)+((K31-L31)^2))/(3-1)))/(SQRT(3))</f>
        <v>0.43602105989752865</v>
      </c>
    </row>
    <row r="32" spans="1:17" x14ac:dyDescent="0.2">
      <c r="A32" s="304"/>
      <c r="B32" s="83" t="s">
        <v>137</v>
      </c>
      <c r="C32" s="58">
        <v>1.54</v>
      </c>
      <c r="D32" s="58">
        <v>1.53</v>
      </c>
      <c r="E32" s="58">
        <v>1.47</v>
      </c>
      <c r="F32" s="21">
        <f>AVERAGE(C32:E32)</f>
        <v>1.5133333333333334</v>
      </c>
      <c r="G32" s="53">
        <f>_xlfn.STDEV.S(C32:E32)</f>
        <v>3.7859388972001862E-2</v>
      </c>
      <c r="H32" s="82">
        <v>0.11267464066740375</v>
      </c>
      <c r="I32" s="53">
        <f t="shared" si="4"/>
        <v>4.0881337934696047</v>
      </c>
      <c r="J32" s="53">
        <f t="shared" si="4"/>
        <v>4.0615874701353869</v>
      </c>
      <c r="K32" s="53">
        <f t="shared" si="4"/>
        <v>3.902309530130077</v>
      </c>
      <c r="L32" s="21">
        <f>AVERAGE(I32:K32)</f>
        <v>4.0173435979116894</v>
      </c>
      <c r="M32" s="78">
        <f>2*(SQRT((((I32-L32)^2)+((J32-L32)^2)+((K32-L32)^2))/(3-1)))/(SQRT(3))</f>
        <v>0.11605058887358669</v>
      </c>
    </row>
    <row r="33" spans="1:17" x14ac:dyDescent="0.2">
      <c r="A33" s="304"/>
      <c r="B33" s="83" t="s">
        <v>138</v>
      </c>
      <c r="C33" s="58">
        <v>1.59</v>
      </c>
      <c r="D33" s="58">
        <v>1.72</v>
      </c>
      <c r="E33" s="58">
        <v>1.53</v>
      </c>
      <c r="F33" s="21">
        <f>AVERAGE(C33:E33)</f>
        <v>1.6133333333333333</v>
      </c>
      <c r="G33" s="53">
        <f>_xlfn.STDEV.S(C33:E33)</f>
        <v>9.712534856222306E-2</v>
      </c>
      <c r="H33" s="82">
        <v>4.0968941602171079E-2</v>
      </c>
      <c r="I33" s="53">
        <f t="shared" si="4"/>
        <v>4.2208654101406964</v>
      </c>
      <c r="J33" s="53">
        <f t="shared" si="4"/>
        <v>4.5659676134855323</v>
      </c>
      <c r="K33" s="53">
        <f t="shared" si="4"/>
        <v>4.0615874701353869</v>
      </c>
      <c r="L33" s="21">
        <f>AVERAGE(I33:K33)</f>
        <v>4.2828068312538718</v>
      </c>
      <c r="M33" s="78">
        <f>2*(SQRT((((I33-L33)^2)+((J33-L33)^2)+((K33-L33)^2))/(3-1)))/(SQRT(3))</f>
        <v>0.29771885392904518</v>
      </c>
    </row>
    <row r="34" spans="1:17" x14ac:dyDescent="0.2">
      <c r="A34" s="304"/>
      <c r="B34" s="85" t="s">
        <v>139</v>
      </c>
      <c r="C34" s="70">
        <v>1.91</v>
      </c>
      <c r="D34" s="70">
        <v>1.89</v>
      </c>
      <c r="E34" s="70">
        <v>1.88</v>
      </c>
      <c r="F34" s="71">
        <f>AVERAGE(C34:E34)</f>
        <v>1.8933333333333333</v>
      </c>
      <c r="G34" s="77">
        <f>_xlfn.STDEV.S(C34:E34)</f>
        <v>1.527525231651948E-2</v>
      </c>
      <c r="H34" s="86">
        <v>0.11524776359433109</v>
      </c>
      <c r="I34" s="77">
        <f t="shared" si="4"/>
        <v>5.0703477568356785</v>
      </c>
      <c r="J34" s="77">
        <f t="shared" si="4"/>
        <v>5.017255110167242</v>
      </c>
      <c r="K34" s="77">
        <f t="shared" si="4"/>
        <v>4.9907087868330233</v>
      </c>
      <c r="L34" s="71">
        <f>AVERAGE(I34:K34)</f>
        <v>5.0261038846119819</v>
      </c>
      <c r="M34" s="79">
        <f>2*(SQRT((((I34-L34)^2)+((J34-L34)^2)+((K34-L34)^2))/(3-1)))/(SQRT(3))</f>
        <v>4.6823313176968528E-2</v>
      </c>
      <c r="P34" s="74"/>
      <c r="Q34" s="74"/>
    </row>
    <row r="35" spans="1:17" ht="16" thickBot="1" x14ac:dyDescent="0.25">
      <c r="A35" s="305"/>
      <c r="B35" s="23" t="s">
        <v>150</v>
      </c>
      <c r="C35" s="90" t="s">
        <v>13</v>
      </c>
      <c r="D35" s="90" t="s">
        <v>13</v>
      </c>
      <c r="E35" s="90" t="s">
        <v>13</v>
      </c>
      <c r="F35" s="54">
        <f>F30*H30+H31*F31+F32*H32+H33*F33+F34*H34</f>
        <v>1.4541535162662915</v>
      </c>
      <c r="G35" s="54">
        <f>(ABS(F35))*SQRT(((G30/F30)^2)+((G31/F31)^2)+((G32/F32)^2)+((G33/F33)^2)+((G34/F34)^2))</f>
        <v>0.18089699499125952</v>
      </c>
      <c r="H35" s="91" t="s">
        <v>13</v>
      </c>
      <c r="I35" s="90" t="s">
        <v>13</v>
      </c>
      <c r="J35" s="90" t="s">
        <v>13</v>
      </c>
      <c r="K35" s="90" t="s">
        <v>13</v>
      </c>
      <c r="L35" s="54">
        <f>L30*H30+L31*H31+L32*H32+L33*H33+L34*H34</f>
        <v>3.8602429420395317</v>
      </c>
      <c r="M35" s="92">
        <f>(ABS(L35))*SQRT(((M30/L30)^2)+((M31/L31)^2)+((M32/L32)^2)+((M33/L33)^2)+((M34/L34)^2))</f>
        <v>0.55450453280487433</v>
      </c>
    </row>
    <row r="40" spans="1:17" x14ac:dyDescent="0.2">
      <c r="P40" s="74"/>
      <c r="Q40" s="74"/>
    </row>
  </sheetData>
  <mergeCells count="10">
    <mergeCell ref="A30:A35"/>
    <mergeCell ref="I10:M10"/>
    <mergeCell ref="A1:M1"/>
    <mergeCell ref="B2:G2"/>
    <mergeCell ref="I2:M2"/>
    <mergeCell ref="B10:G10"/>
    <mergeCell ref="A12:A17"/>
    <mergeCell ref="A18:A23"/>
    <mergeCell ref="A24:A29"/>
    <mergeCell ref="A9:M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5EEF7-5984-A24F-8303-890849FA5A28}">
  <dimension ref="B1:BE139"/>
  <sheetViews>
    <sheetView zoomScale="75" zoomScaleNormal="57" workbookViewId="0"/>
  </sheetViews>
  <sheetFormatPr baseColWidth="10" defaultColWidth="9.1640625" defaultRowHeight="15" x14ac:dyDescent="0.2"/>
  <cols>
    <col min="1" max="1" width="4.5" style="14" bestFit="1" customWidth="1"/>
    <col min="2" max="2" width="20.6640625" style="40" bestFit="1" customWidth="1"/>
    <col min="3" max="3" width="9.5" style="14" customWidth="1"/>
    <col min="4" max="4" width="10.1640625" style="14" bestFit="1" customWidth="1"/>
    <col min="5" max="5" width="9.1640625" style="14" bestFit="1" customWidth="1"/>
    <col min="6" max="6" width="8.83203125" style="14" bestFit="1" customWidth="1"/>
    <col min="7" max="7" width="10.33203125" style="14" customWidth="1"/>
    <col min="8" max="8" width="10.1640625" style="14" bestFit="1" customWidth="1"/>
    <col min="9" max="9" width="11.5" style="14" bestFit="1" customWidth="1"/>
    <col min="10" max="10" width="9.1640625" style="14" customWidth="1"/>
    <col min="11" max="11" width="9" style="14" customWidth="1"/>
    <col min="12" max="12" width="26.1640625" style="14" bestFit="1" customWidth="1"/>
    <col min="13" max="13" width="11.5" style="14" bestFit="1" customWidth="1"/>
    <col min="14" max="14" width="26.1640625" style="14" bestFit="1" customWidth="1"/>
    <col min="15" max="15" width="8.83203125" style="14" customWidth="1"/>
    <col min="16" max="16" width="10.1640625" style="14" bestFit="1" customWidth="1"/>
    <col min="17" max="17" width="11.5" style="14" bestFit="1" customWidth="1"/>
    <col min="18" max="20" width="9.1640625" style="14"/>
    <col min="21" max="21" width="21.1640625" style="14" bestFit="1" customWidth="1"/>
    <col min="22" max="22" width="7.1640625" style="14" bestFit="1" customWidth="1"/>
    <col min="23" max="23" width="9.6640625" style="14" bestFit="1" customWidth="1"/>
    <col min="24" max="24" width="9.1640625" style="14"/>
    <col min="25" max="25" width="8" style="14" bestFit="1" customWidth="1"/>
    <col min="26" max="26" width="5.6640625" style="14" bestFit="1" customWidth="1"/>
    <col min="27" max="27" width="9.6640625" style="14" bestFit="1" customWidth="1"/>
    <col min="28" max="28" width="9.1640625" style="14" bestFit="1" customWidth="1"/>
    <col min="29" max="29" width="7.1640625" style="14" bestFit="1" customWidth="1"/>
    <col min="30" max="30" width="5.6640625" style="14" bestFit="1" customWidth="1"/>
    <col min="31" max="31" width="9.6640625" style="14" bestFit="1" customWidth="1"/>
    <col min="32" max="33" width="9.1640625" style="14"/>
    <col min="34" max="34" width="5.6640625" style="14" bestFit="1" customWidth="1"/>
    <col min="35" max="35" width="9.6640625" style="14" bestFit="1" customWidth="1"/>
    <col min="36" max="16384" width="9.1640625" style="14"/>
  </cols>
  <sheetData>
    <row r="1" spans="2:57" ht="16" customHeight="1" x14ac:dyDescent="0.2">
      <c r="B1" s="326" t="s">
        <v>115</v>
      </c>
      <c r="C1" s="327"/>
      <c r="D1" s="327"/>
      <c r="E1" s="327"/>
      <c r="F1" s="327"/>
      <c r="G1" s="327"/>
      <c r="H1" s="327"/>
      <c r="I1" s="327"/>
      <c r="J1" s="327"/>
      <c r="K1" s="327"/>
      <c r="L1" s="327"/>
      <c r="M1" s="327"/>
      <c r="N1" s="327"/>
      <c r="O1" s="327"/>
      <c r="P1" s="327"/>
      <c r="Q1" s="328"/>
      <c r="U1" s="326" t="s">
        <v>115</v>
      </c>
      <c r="V1" s="327"/>
      <c r="W1" s="327"/>
      <c r="X1" s="327"/>
      <c r="Y1" s="327"/>
      <c r="Z1" s="327"/>
      <c r="AA1" s="327"/>
      <c r="AB1" s="327"/>
      <c r="AC1" s="327"/>
      <c r="AD1" s="327"/>
      <c r="AE1" s="327"/>
      <c r="AF1" s="327"/>
      <c r="AG1" s="327"/>
      <c r="AH1" s="327"/>
      <c r="AI1" s="327"/>
      <c r="AJ1" s="328"/>
      <c r="AK1" s="26"/>
      <c r="AL1" s="26"/>
      <c r="AM1" s="26"/>
      <c r="AN1" s="26"/>
      <c r="AO1" s="26"/>
      <c r="AP1" s="26"/>
      <c r="AQ1" s="26"/>
      <c r="AR1" s="26"/>
      <c r="AS1" s="26"/>
      <c r="AT1" s="26"/>
      <c r="AU1" s="26"/>
      <c r="AV1" s="26"/>
      <c r="AW1" s="26"/>
      <c r="AX1" s="26"/>
    </row>
    <row r="2" spans="2:57" s="39" customFormat="1" ht="16" customHeight="1" x14ac:dyDescent="0.2">
      <c r="B2" s="120"/>
      <c r="C2" s="329" t="s">
        <v>6</v>
      </c>
      <c r="D2" s="317"/>
      <c r="E2" s="330"/>
      <c r="F2" s="121"/>
      <c r="G2" s="329" t="s">
        <v>5</v>
      </c>
      <c r="H2" s="317"/>
      <c r="I2" s="330"/>
      <c r="J2" s="121"/>
      <c r="K2" s="329" t="s">
        <v>8</v>
      </c>
      <c r="L2" s="317"/>
      <c r="M2" s="330"/>
      <c r="N2" s="121"/>
      <c r="O2" s="329" t="s">
        <v>7</v>
      </c>
      <c r="P2" s="317"/>
      <c r="Q2" s="318"/>
      <c r="T2" s="61"/>
      <c r="U2" s="120"/>
      <c r="V2" s="329" t="s">
        <v>6</v>
      </c>
      <c r="W2" s="317"/>
      <c r="X2" s="330"/>
      <c r="Y2" s="153"/>
      <c r="Z2" s="329" t="s">
        <v>5</v>
      </c>
      <c r="AA2" s="317"/>
      <c r="AB2" s="330"/>
      <c r="AC2" s="153"/>
      <c r="AD2" s="329" t="s">
        <v>8</v>
      </c>
      <c r="AE2" s="317"/>
      <c r="AF2" s="330"/>
      <c r="AG2" s="153"/>
      <c r="AH2" s="329" t="s">
        <v>7</v>
      </c>
      <c r="AI2" s="317"/>
      <c r="AJ2" s="318"/>
      <c r="AK2" s="26"/>
      <c r="AL2" s="26"/>
      <c r="AM2" s="26"/>
      <c r="AN2" s="26"/>
      <c r="AO2" s="26"/>
      <c r="AP2" s="26"/>
      <c r="AQ2" s="26"/>
      <c r="AR2" s="26"/>
      <c r="AS2" s="26"/>
      <c r="AT2" s="26"/>
      <c r="AU2" s="26"/>
      <c r="AV2" s="26"/>
      <c r="AW2" s="26"/>
      <c r="AX2" s="26"/>
      <c r="AY2" s="61"/>
      <c r="AZ2" s="61"/>
    </row>
    <row r="3" spans="2:57" s="39" customFormat="1" ht="16" x14ac:dyDescent="0.2">
      <c r="B3" s="110"/>
      <c r="C3" s="324" t="s">
        <v>110</v>
      </c>
      <c r="D3" s="19" t="s">
        <v>113</v>
      </c>
      <c r="E3" s="128" t="s">
        <v>112</v>
      </c>
      <c r="F3" s="19"/>
      <c r="G3" s="324" t="s">
        <v>110</v>
      </c>
      <c r="H3" s="19" t="s">
        <v>113</v>
      </c>
      <c r="I3" s="128" t="s">
        <v>112</v>
      </c>
      <c r="J3" s="19"/>
      <c r="K3" s="324" t="s">
        <v>110</v>
      </c>
      <c r="L3" s="19" t="s">
        <v>113</v>
      </c>
      <c r="M3" s="128" t="s">
        <v>112</v>
      </c>
      <c r="N3" s="19"/>
      <c r="O3" s="324" t="s">
        <v>110</v>
      </c>
      <c r="P3" s="19" t="s">
        <v>113</v>
      </c>
      <c r="Q3" s="80" t="s">
        <v>112</v>
      </c>
      <c r="R3" s="32"/>
      <c r="S3" s="31"/>
      <c r="T3" s="34"/>
      <c r="U3" s="110"/>
      <c r="V3" s="324" t="s">
        <v>110</v>
      </c>
      <c r="W3" s="154" t="s">
        <v>113</v>
      </c>
      <c r="X3" s="128" t="s">
        <v>112</v>
      </c>
      <c r="Y3" s="154"/>
      <c r="Z3" s="324" t="s">
        <v>110</v>
      </c>
      <c r="AA3" s="154" t="s">
        <v>113</v>
      </c>
      <c r="AB3" s="128" t="s">
        <v>112</v>
      </c>
      <c r="AC3" s="154"/>
      <c r="AD3" s="324" t="s">
        <v>110</v>
      </c>
      <c r="AE3" s="154" t="s">
        <v>113</v>
      </c>
      <c r="AF3" s="128" t="s">
        <v>112</v>
      </c>
      <c r="AG3" s="154"/>
      <c r="AH3" s="324" t="s">
        <v>110</v>
      </c>
      <c r="AI3" s="154" t="s">
        <v>113</v>
      </c>
      <c r="AJ3" s="80" t="s">
        <v>112</v>
      </c>
      <c r="AK3" s="224"/>
      <c r="AL3" s="224"/>
      <c r="AM3" s="224"/>
      <c r="AN3" s="224"/>
      <c r="AO3" s="135"/>
      <c r="AP3" s="224"/>
      <c r="AQ3" s="224"/>
      <c r="AR3" s="224"/>
      <c r="AS3" s="224"/>
      <c r="AT3" s="135"/>
      <c r="AU3" s="223"/>
      <c r="AV3" s="223"/>
      <c r="AW3" s="223"/>
      <c r="AX3" s="223"/>
      <c r="AY3" s="63"/>
      <c r="AZ3" s="132"/>
    </row>
    <row r="4" spans="2:57" s="61" customFormat="1" ht="16" x14ac:dyDescent="0.2">
      <c r="B4" s="122" t="s">
        <v>111</v>
      </c>
      <c r="C4" s="325"/>
      <c r="D4" s="123" t="s">
        <v>109</v>
      </c>
      <c r="E4" s="129" t="s">
        <v>109</v>
      </c>
      <c r="F4" s="84"/>
      <c r="G4" s="325"/>
      <c r="H4" s="123" t="s">
        <v>109</v>
      </c>
      <c r="I4" s="129" t="s">
        <v>109</v>
      </c>
      <c r="J4" s="84"/>
      <c r="K4" s="325"/>
      <c r="L4" s="123" t="s">
        <v>109</v>
      </c>
      <c r="M4" s="129" t="s">
        <v>109</v>
      </c>
      <c r="N4" s="84"/>
      <c r="O4" s="325"/>
      <c r="P4" s="123" t="s">
        <v>109</v>
      </c>
      <c r="Q4" s="124" t="s">
        <v>109</v>
      </c>
      <c r="R4" s="32"/>
      <c r="S4" s="62"/>
      <c r="T4" s="34"/>
      <c r="U4" s="122" t="s">
        <v>169</v>
      </c>
      <c r="V4" s="325"/>
      <c r="W4" s="123" t="s">
        <v>109</v>
      </c>
      <c r="X4" s="129" t="s">
        <v>109</v>
      </c>
      <c r="Y4" s="155"/>
      <c r="Z4" s="325"/>
      <c r="AA4" s="123" t="s">
        <v>109</v>
      </c>
      <c r="AB4" s="129" t="s">
        <v>109</v>
      </c>
      <c r="AC4" s="155"/>
      <c r="AD4" s="325"/>
      <c r="AE4" s="123" t="s">
        <v>109</v>
      </c>
      <c r="AF4" s="129" t="s">
        <v>109</v>
      </c>
      <c r="AG4" s="155"/>
      <c r="AH4" s="325"/>
      <c r="AI4" s="123" t="s">
        <v>109</v>
      </c>
      <c r="AJ4" s="156" t="s">
        <v>109</v>
      </c>
      <c r="AK4" s="222"/>
      <c r="AL4" s="222"/>
      <c r="AM4" s="222"/>
      <c r="AN4" s="222"/>
      <c r="AO4" s="135"/>
      <c r="AP4" s="222"/>
      <c r="AQ4" s="222"/>
      <c r="AR4" s="222"/>
      <c r="AS4" s="222"/>
      <c r="AT4" s="135"/>
      <c r="AU4" s="135"/>
      <c r="AV4" s="135"/>
      <c r="AW4" s="135"/>
      <c r="AX4" s="135"/>
      <c r="AY4" s="132"/>
      <c r="AZ4" s="132"/>
    </row>
    <row r="5" spans="2:57" ht="16" x14ac:dyDescent="0.2">
      <c r="B5" s="111" t="s">
        <v>64</v>
      </c>
      <c r="C5" s="125">
        <v>1.72E-2</v>
      </c>
      <c r="D5" s="112">
        <v>1.72915908708186E-2</v>
      </c>
      <c r="E5" s="130">
        <v>1.4340346125386901E-2</v>
      </c>
      <c r="F5" s="113"/>
      <c r="G5" s="125">
        <v>6.8099999999999994E-2</v>
      </c>
      <c r="H5" s="112">
        <v>7.7334711913400703E-2</v>
      </c>
      <c r="I5" s="130">
        <v>7.6343141408196591E-2</v>
      </c>
      <c r="J5" s="113"/>
      <c r="K5" s="125">
        <v>0</v>
      </c>
      <c r="L5" s="112">
        <v>2.02823568467854E-2</v>
      </c>
      <c r="M5" s="130">
        <v>2.5423355857255199E-3</v>
      </c>
      <c r="N5" s="113"/>
      <c r="O5" s="125">
        <v>0</v>
      </c>
      <c r="P5" s="35">
        <v>9.7385322353545707E-4</v>
      </c>
      <c r="Q5" s="114">
        <v>2.4187135852019498E-4</v>
      </c>
      <c r="U5" s="111" t="s">
        <v>163</v>
      </c>
      <c r="V5" s="157">
        <v>6.370000000000001</v>
      </c>
      <c r="W5" s="225">
        <f>(D5+D6)*100</f>
        <v>6.7925359875684004</v>
      </c>
      <c r="X5" s="158">
        <v>6.3898827117177142</v>
      </c>
      <c r="Y5" s="113"/>
      <c r="Z5" s="157">
        <v>7.79</v>
      </c>
      <c r="AA5" s="225">
        <f>(H5+H6)*100</f>
        <v>8.5773799403736266</v>
      </c>
      <c r="AB5" s="158">
        <v>8.5528296447526841</v>
      </c>
      <c r="AC5" s="161"/>
      <c r="AD5" s="157">
        <v>26.8</v>
      </c>
      <c r="AE5" s="225">
        <f>(L5+L6)*100</f>
        <v>31.242794639199147</v>
      </c>
      <c r="AF5" s="158">
        <v>27.955628725861661</v>
      </c>
      <c r="AG5" s="161"/>
      <c r="AH5" s="157">
        <v>5.28</v>
      </c>
      <c r="AI5" s="225">
        <f>(P5+P6)*100</f>
        <v>4.3080372252146857</v>
      </c>
      <c r="AJ5" s="162">
        <v>3.3405202314797129</v>
      </c>
      <c r="AK5" s="217"/>
      <c r="AL5" s="217"/>
      <c r="AM5" s="217"/>
      <c r="AN5" s="217"/>
      <c r="AO5" s="217"/>
      <c r="AP5" s="217"/>
      <c r="AQ5" s="217"/>
      <c r="AR5" s="217"/>
      <c r="AS5" s="217"/>
      <c r="AT5" s="217"/>
      <c r="AU5" s="217"/>
      <c r="AV5" s="217"/>
      <c r="AW5" s="217"/>
      <c r="AX5" s="217"/>
      <c r="AY5" s="132"/>
      <c r="AZ5" s="42"/>
      <c r="BA5" s="132"/>
      <c r="BB5" s="132"/>
      <c r="BC5" s="132"/>
      <c r="BD5" s="132"/>
      <c r="BE5" s="132"/>
    </row>
    <row r="6" spans="2:57" ht="16" x14ac:dyDescent="0.2">
      <c r="B6" s="111" t="s">
        <v>65</v>
      </c>
      <c r="C6" s="125">
        <v>4.65E-2</v>
      </c>
      <c r="D6" s="112">
        <v>5.0633769004865402E-2</v>
      </c>
      <c r="E6" s="130">
        <v>4.9443463102992302E-2</v>
      </c>
      <c r="F6" s="113"/>
      <c r="G6" s="125">
        <v>9.7999999999999997E-3</v>
      </c>
      <c r="H6" s="112">
        <v>8.43908749033556E-3</v>
      </c>
      <c r="I6" s="130">
        <v>9.185023149197051E-3</v>
      </c>
      <c r="J6" s="113"/>
      <c r="K6" s="125">
        <v>0.26800000000000002</v>
      </c>
      <c r="L6" s="112">
        <v>0.29214558954520603</v>
      </c>
      <c r="M6" s="130">
        <v>0.28060928857052297</v>
      </c>
      <c r="N6" s="113"/>
      <c r="O6" s="125">
        <v>5.28E-2</v>
      </c>
      <c r="P6" s="35">
        <v>4.21065190286114E-2</v>
      </c>
      <c r="Q6" s="114">
        <v>3.2445962727721003E-2</v>
      </c>
      <c r="U6" s="111" t="s">
        <v>108</v>
      </c>
      <c r="V6" s="157">
        <v>0</v>
      </c>
      <c r="W6" s="225">
        <f>D7*100</f>
        <v>6.6273889269143099E-2</v>
      </c>
      <c r="X6" s="158">
        <v>2.5355397747411596E-2</v>
      </c>
      <c r="Y6" s="113"/>
      <c r="Z6" s="157">
        <v>0</v>
      </c>
      <c r="AA6" s="225">
        <f>H7*100</f>
        <v>4.0795602215703497E-2</v>
      </c>
      <c r="AB6" s="158">
        <v>2.3464493601245719E-2</v>
      </c>
      <c r="AC6" s="161"/>
      <c r="AD6" s="157">
        <v>0</v>
      </c>
      <c r="AE6" s="225">
        <f>L7*100</f>
        <v>0.49248131309985604</v>
      </c>
      <c r="AF6" s="158">
        <v>0.20082825040107374</v>
      </c>
      <c r="AG6" s="161"/>
      <c r="AH6" s="157">
        <v>0</v>
      </c>
      <c r="AI6" s="225">
        <f>P7*100</f>
        <v>0.25180416832521602</v>
      </c>
      <c r="AJ6" s="162">
        <v>0.26458414340857594</v>
      </c>
      <c r="AK6" s="217"/>
      <c r="AL6" s="217"/>
      <c r="AM6" s="217"/>
      <c r="AN6" s="217"/>
      <c r="AO6" s="217"/>
      <c r="AP6" s="217"/>
      <c r="AQ6" s="217"/>
      <c r="AR6" s="217"/>
      <c r="AS6" s="217"/>
      <c r="AT6" s="217"/>
      <c r="AU6" s="217"/>
      <c r="AV6" s="217"/>
      <c r="AW6" s="217"/>
      <c r="AX6" s="217"/>
      <c r="AY6" s="63"/>
      <c r="AZ6" s="42"/>
      <c r="BA6" s="132"/>
      <c r="BB6" s="132"/>
      <c r="BC6" s="132"/>
      <c r="BD6" s="132"/>
      <c r="BE6" s="132"/>
    </row>
    <row r="7" spans="2:57" ht="16" x14ac:dyDescent="0.2">
      <c r="B7" s="111" t="s">
        <v>108</v>
      </c>
      <c r="C7" s="125">
        <v>0</v>
      </c>
      <c r="D7" s="112">
        <v>6.6273889269143104E-4</v>
      </c>
      <c r="E7" s="130">
        <v>2.5309758031471401E-4</v>
      </c>
      <c r="F7" s="113"/>
      <c r="G7" s="125">
        <v>0</v>
      </c>
      <c r="H7" s="112">
        <v>4.0795602215703495E-4</v>
      </c>
      <c r="I7" s="130">
        <v>2.3477682642226099E-4</v>
      </c>
      <c r="J7" s="113"/>
      <c r="K7" s="125">
        <v>0</v>
      </c>
      <c r="L7" s="112">
        <v>4.9248131309985602E-3</v>
      </c>
      <c r="M7" s="130">
        <v>2.0207230168037397E-3</v>
      </c>
      <c r="N7" s="113"/>
      <c r="O7" s="125">
        <v>0</v>
      </c>
      <c r="P7" s="35">
        <v>2.5180416832521601E-3</v>
      </c>
      <c r="Q7" s="114">
        <v>2.5492592837659698E-3</v>
      </c>
      <c r="U7" s="111" t="s">
        <v>164</v>
      </c>
      <c r="V7" s="157">
        <v>1.43</v>
      </c>
      <c r="W7" s="225">
        <f>D8*100</f>
        <v>1.2801427684907101</v>
      </c>
      <c r="X7" s="158">
        <v>1.1914309779959309</v>
      </c>
      <c r="Y7" s="113"/>
      <c r="Z7" s="157">
        <v>4.8599999999999994</v>
      </c>
      <c r="AA7" s="225">
        <f>H8*100</f>
        <v>2.1923229694924502</v>
      </c>
      <c r="AB7" s="158">
        <v>4.0472176107817166</v>
      </c>
      <c r="AC7" s="161"/>
      <c r="AD7" s="157">
        <v>16.7</v>
      </c>
      <c r="AE7" s="225">
        <f>L8*100</f>
        <v>12.546567380362299</v>
      </c>
      <c r="AF7" s="158">
        <v>15.884231183668973</v>
      </c>
      <c r="AG7" s="161"/>
      <c r="AH7" s="157">
        <v>5.0299999999999994</v>
      </c>
      <c r="AI7" s="225">
        <f>P8*100</f>
        <v>2.9082376486694601</v>
      </c>
      <c r="AJ7" s="162">
        <v>5.6659379551527591</v>
      </c>
      <c r="AK7" s="217"/>
      <c r="AL7" s="217"/>
      <c r="AM7" s="217"/>
      <c r="AN7" s="217"/>
      <c r="AO7" s="217"/>
      <c r="AP7" s="217"/>
      <c r="AQ7" s="217"/>
      <c r="AR7" s="217"/>
      <c r="AS7" s="217"/>
      <c r="AT7" s="217"/>
      <c r="AU7" s="217"/>
      <c r="AV7" s="217"/>
      <c r="AW7" s="217"/>
      <c r="AX7" s="217"/>
      <c r="AY7" s="63"/>
      <c r="AZ7" s="42"/>
      <c r="BA7" s="63"/>
      <c r="BB7" s="63"/>
      <c r="BC7" s="63"/>
      <c r="BD7" s="63"/>
      <c r="BE7" s="63"/>
    </row>
    <row r="8" spans="2:57" ht="16" x14ac:dyDescent="0.2">
      <c r="B8" s="111" t="s">
        <v>107</v>
      </c>
      <c r="C8" s="125">
        <v>1.43E-2</v>
      </c>
      <c r="D8" s="112">
        <v>1.28014276849071E-2</v>
      </c>
      <c r="E8" s="130">
        <v>1.1906375800533799E-2</v>
      </c>
      <c r="F8" s="113"/>
      <c r="G8" s="125">
        <v>4.8599999999999997E-2</v>
      </c>
      <c r="H8" s="112">
        <v>2.1923229694924502E-2</v>
      </c>
      <c r="I8" s="130">
        <v>4.0477200378579097E-2</v>
      </c>
      <c r="J8" s="113"/>
      <c r="K8" s="125">
        <v>0.16700000000000001</v>
      </c>
      <c r="L8" s="112">
        <v>0.125465673803623</v>
      </c>
      <c r="M8" s="130">
        <v>0.139281648760126</v>
      </c>
      <c r="N8" s="113"/>
      <c r="O8" s="125">
        <v>5.0299999999999997E-2</v>
      </c>
      <c r="P8" s="35">
        <v>2.9082376486694601E-2</v>
      </c>
      <c r="Q8" s="114">
        <v>4.9900207928073197E-2</v>
      </c>
      <c r="U8" s="111" t="s">
        <v>165</v>
      </c>
      <c r="V8" s="157">
        <v>1.41</v>
      </c>
      <c r="W8" s="225">
        <f>(D9+D10+D11)*100</f>
        <v>3.2763572534464256</v>
      </c>
      <c r="X8" s="158">
        <v>2.0224802513033655</v>
      </c>
      <c r="Y8" s="113"/>
      <c r="Z8" s="157">
        <v>2.1999999999999997</v>
      </c>
      <c r="AA8" s="225">
        <f>(H9+H10+H11)*100</f>
        <v>1.6433966712357571</v>
      </c>
      <c r="AB8" s="158">
        <v>0.72808785337536164</v>
      </c>
      <c r="AC8" s="161"/>
      <c r="AD8" s="157">
        <v>2.5</v>
      </c>
      <c r="AE8" s="225">
        <f>(L9+L10+L11)*100</f>
        <v>0.53906182940230607</v>
      </c>
      <c r="AF8" s="158">
        <v>0.36502514901502126</v>
      </c>
      <c r="AG8" s="161"/>
      <c r="AH8" s="157">
        <v>1.1400000000000001</v>
      </c>
      <c r="AI8" s="225">
        <f>(P9+P10+P11)*100</f>
        <v>3.6031007115934766</v>
      </c>
      <c r="AJ8" s="162">
        <v>0.92229584051837477</v>
      </c>
      <c r="AK8" s="217"/>
      <c r="AL8" s="217"/>
      <c r="AM8" s="217"/>
      <c r="AN8" s="217"/>
      <c r="AO8" s="217"/>
      <c r="AP8" s="217"/>
      <c r="AQ8" s="217"/>
      <c r="AR8" s="217"/>
      <c r="AS8" s="217"/>
      <c r="AT8" s="217"/>
      <c r="AU8" s="217"/>
      <c r="AV8" s="217"/>
      <c r="AW8" s="217"/>
      <c r="AX8" s="217"/>
      <c r="AY8" s="63"/>
      <c r="AZ8" s="42"/>
      <c r="BA8" s="63"/>
      <c r="BB8" s="63"/>
      <c r="BC8" s="63"/>
      <c r="BD8" s="63"/>
      <c r="BE8" s="63"/>
    </row>
    <row r="9" spans="2:57" ht="16" x14ac:dyDescent="0.2">
      <c r="B9" s="111" t="s">
        <v>106</v>
      </c>
      <c r="C9" s="125">
        <v>0</v>
      </c>
      <c r="D9" s="112">
        <v>2.6686421940662099E-3</v>
      </c>
      <c r="E9" s="130">
        <v>7.66066125216615E-3</v>
      </c>
      <c r="F9" s="113"/>
      <c r="G9" s="125">
        <v>0</v>
      </c>
      <c r="H9" s="112">
        <v>3.1102938630527201E-3</v>
      </c>
      <c r="I9" s="130">
        <v>4.5423239615641001E-3</v>
      </c>
      <c r="J9" s="113"/>
      <c r="K9" s="125">
        <v>0</v>
      </c>
      <c r="L9" s="112">
        <v>4.2575732376490601E-5</v>
      </c>
      <c r="M9" s="130">
        <v>6.2067204691666205E-5</v>
      </c>
      <c r="N9" s="113"/>
      <c r="O9" s="125">
        <v>0</v>
      </c>
      <c r="P9" s="35">
        <v>1.00116209905115E-3</v>
      </c>
      <c r="Q9" s="114">
        <v>1.8873438982860999E-3</v>
      </c>
      <c r="U9" s="111" t="s">
        <v>166</v>
      </c>
      <c r="V9" s="157">
        <v>19.25</v>
      </c>
      <c r="W9" s="225">
        <f>(D12+D13+D14+D15)*100</f>
        <v>21.247456229740919</v>
      </c>
      <c r="X9" s="158">
        <v>26.399428557595616</v>
      </c>
      <c r="Y9" s="113"/>
      <c r="Z9" s="157">
        <v>12.709999999999999</v>
      </c>
      <c r="AA9" s="225">
        <f>(H12+H13+H14+H15)*100</f>
        <v>15.572633670159716</v>
      </c>
      <c r="AB9" s="158">
        <v>18.474838889192515</v>
      </c>
      <c r="AC9" s="161"/>
      <c r="AD9" s="157">
        <v>6.8000000000000007</v>
      </c>
      <c r="AE9" s="225">
        <f>(L12+L13+L14+L15)*100</f>
        <v>13.220742555315212</v>
      </c>
      <c r="AF9" s="158">
        <v>15.052479903287812</v>
      </c>
      <c r="AG9" s="161"/>
      <c r="AH9" s="157">
        <v>44.04</v>
      </c>
      <c r="AI9" s="225">
        <f>(P12+P13+P14+P15)*100</f>
        <v>44.678254172798781</v>
      </c>
      <c r="AJ9" s="162">
        <v>49.525780213415899</v>
      </c>
      <c r="AK9" s="217"/>
      <c r="AL9" s="217"/>
      <c r="AM9" s="217"/>
      <c r="AN9" s="217"/>
      <c r="AO9" s="217"/>
      <c r="AP9" s="217"/>
      <c r="AQ9" s="217"/>
      <c r="AR9" s="217"/>
      <c r="AS9" s="217"/>
      <c r="AT9" s="217"/>
      <c r="AU9" s="217"/>
      <c r="AV9" s="217"/>
      <c r="AW9" s="217"/>
      <c r="AX9" s="217"/>
      <c r="AY9" s="63"/>
      <c r="AZ9" s="42"/>
      <c r="BA9" s="63"/>
      <c r="BB9" s="63"/>
      <c r="BC9" s="63"/>
      <c r="BD9" s="63"/>
      <c r="BE9" s="63"/>
    </row>
    <row r="10" spans="2:57" ht="16" x14ac:dyDescent="0.2">
      <c r="B10" s="111" t="s">
        <v>105</v>
      </c>
      <c r="C10" s="125">
        <v>1.41E-2</v>
      </c>
      <c r="D10" s="112">
        <v>8.9815606943372487E-3</v>
      </c>
      <c r="E10" s="130">
        <v>1.12887517050078E-2</v>
      </c>
      <c r="F10" s="113"/>
      <c r="G10" s="125">
        <v>2.1999999999999999E-2</v>
      </c>
      <c r="H10" s="112">
        <v>1.9334862417580501E-3</v>
      </c>
      <c r="I10" s="130">
        <v>1.60022076563173E-3</v>
      </c>
      <c r="J10" s="113"/>
      <c r="K10" s="125">
        <v>2.5000000000000001E-2</v>
      </c>
      <c r="L10" s="112">
        <v>1.8836766364860699E-3</v>
      </c>
      <c r="M10" s="130">
        <v>1.8088700549447501E-3</v>
      </c>
      <c r="N10" s="113"/>
      <c r="O10" s="125">
        <v>0</v>
      </c>
      <c r="P10" s="35">
        <v>1.07711430835502E-3</v>
      </c>
      <c r="Q10" s="114">
        <v>7.2329539254110107E-4</v>
      </c>
      <c r="U10" s="111" t="s">
        <v>167</v>
      </c>
      <c r="V10" s="157">
        <v>36.29</v>
      </c>
      <c r="W10" s="225">
        <f>(D16+D17+D18)*100</f>
        <v>34.182188137218702</v>
      </c>
      <c r="X10" s="158">
        <v>31.235664748367022</v>
      </c>
      <c r="Y10" s="113"/>
      <c r="Z10" s="157">
        <v>39.469999999999992</v>
      </c>
      <c r="AA10" s="225">
        <f>(H16+H17+H18)*100</f>
        <v>40.621445709907597</v>
      </c>
      <c r="AB10" s="158">
        <v>36.751796937334866</v>
      </c>
      <c r="AC10" s="161"/>
      <c r="AD10" s="157">
        <v>2.7</v>
      </c>
      <c r="AE10" s="225">
        <f>(L16+L17+L18)*100</f>
        <v>5.9346649829001796</v>
      </c>
      <c r="AF10" s="158">
        <v>9.8184767477631354</v>
      </c>
      <c r="AG10" s="161"/>
      <c r="AH10" s="157">
        <v>7.9699999999999989</v>
      </c>
      <c r="AI10" s="225">
        <f>(P16+P17+P18)*100</f>
        <v>9.1581018407984249</v>
      </c>
      <c r="AJ10" s="162">
        <v>9.987798136252124</v>
      </c>
      <c r="AK10" s="217"/>
      <c r="AL10" s="217"/>
      <c r="AM10" s="217"/>
      <c r="AN10" s="217"/>
      <c r="AO10" s="217"/>
      <c r="AP10" s="217"/>
      <c r="AQ10" s="217"/>
      <c r="AR10" s="217"/>
      <c r="AS10" s="217"/>
      <c r="AT10" s="217"/>
      <c r="AU10" s="217"/>
      <c r="AV10" s="217"/>
      <c r="AW10" s="217"/>
      <c r="AX10" s="217"/>
      <c r="AY10" s="63"/>
      <c r="AZ10" s="42"/>
      <c r="BA10" s="63"/>
      <c r="BB10" s="63"/>
      <c r="BC10" s="63"/>
      <c r="BD10" s="63"/>
      <c r="BE10" s="63"/>
    </row>
    <row r="11" spans="2:57" ht="16" x14ac:dyDescent="0.2">
      <c r="B11" s="111" t="s">
        <v>104</v>
      </c>
      <c r="C11" s="125">
        <v>1.7999999999999999E-2</v>
      </c>
      <c r="D11" s="112">
        <v>2.1113369646060798E-2</v>
      </c>
      <c r="E11" s="130">
        <v>8.7474656362546092E-3</v>
      </c>
      <c r="F11" s="113"/>
      <c r="G11" s="125">
        <v>0</v>
      </c>
      <c r="H11" s="112">
        <v>1.1390186607546799E-2</v>
      </c>
      <c r="I11" s="130">
        <v>8.2255629386007705E-3</v>
      </c>
      <c r="J11" s="113"/>
      <c r="K11" s="125">
        <v>0</v>
      </c>
      <c r="L11" s="112">
        <v>3.4643659251605004E-3</v>
      </c>
      <c r="M11" s="130">
        <v>1.8054899882952698E-3</v>
      </c>
      <c r="N11" s="113"/>
      <c r="O11" s="125">
        <v>0</v>
      </c>
      <c r="P11" s="35">
        <v>3.3952730708528597E-2</v>
      </c>
      <c r="Q11" s="114">
        <v>5.01780898082934E-2</v>
      </c>
      <c r="U11" s="111" t="s">
        <v>168</v>
      </c>
      <c r="V11" s="157">
        <v>35.299999999999997</v>
      </c>
      <c r="W11" s="225">
        <f>(D19+D20)*100</f>
        <v>32.523218682976228</v>
      </c>
      <c r="X11" s="158">
        <v>32.136287813669988</v>
      </c>
      <c r="Y11" s="113"/>
      <c r="Z11" s="157">
        <v>32.99</v>
      </c>
      <c r="AA11" s="225">
        <f>(H19+H20)*100</f>
        <v>30.855283085539231</v>
      </c>
      <c r="AB11" s="158">
        <v>30.731823662450282</v>
      </c>
      <c r="AC11" s="161"/>
      <c r="AD11" s="157">
        <v>44.5</v>
      </c>
      <c r="AE11" s="225">
        <f>(L19+L20)*100</f>
        <v>35.513546261925711</v>
      </c>
      <c r="AF11" s="158">
        <v>30.13472781125628</v>
      </c>
      <c r="AG11" s="161"/>
      <c r="AH11" s="157">
        <v>36.51</v>
      </c>
      <c r="AI11" s="225">
        <f>(P19+P20)*100</f>
        <v>34.634063359396833</v>
      </c>
      <c r="AJ11" s="162">
        <v>29.847497588021188</v>
      </c>
      <c r="AK11" s="217"/>
      <c r="AL11" s="217"/>
      <c r="AM11" s="217"/>
      <c r="AN11" s="217"/>
      <c r="AO11" s="217"/>
      <c r="AP11" s="217"/>
      <c r="AQ11" s="217"/>
      <c r="AR11" s="217"/>
      <c r="AS11" s="217"/>
      <c r="AT11" s="217"/>
      <c r="AU11" s="217"/>
      <c r="AV11" s="217"/>
      <c r="AW11" s="217"/>
      <c r="AX11" s="217"/>
      <c r="AY11" s="63"/>
      <c r="AZ11" s="42"/>
      <c r="BA11" s="63"/>
      <c r="BB11" s="63"/>
      <c r="BC11" s="63"/>
      <c r="BD11" s="63"/>
      <c r="BE11" s="63"/>
    </row>
    <row r="12" spans="2:57" ht="17" thickBot="1" x14ac:dyDescent="0.25">
      <c r="B12" s="111" t="s">
        <v>103</v>
      </c>
      <c r="C12" s="125">
        <v>0.16400000000000001</v>
      </c>
      <c r="D12" s="112">
        <v>0.173459565874859</v>
      </c>
      <c r="E12" s="130">
        <v>0.17300707680469199</v>
      </c>
      <c r="F12" s="113"/>
      <c r="G12" s="125">
        <v>1.7999999999999999E-2</v>
      </c>
      <c r="H12" s="112">
        <v>3.7747099706750602E-2</v>
      </c>
      <c r="I12" s="130">
        <v>4.6064389449239095E-2</v>
      </c>
      <c r="J12" s="113"/>
      <c r="K12" s="125">
        <v>0</v>
      </c>
      <c r="L12" s="112">
        <v>8.5788021945085793E-3</v>
      </c>
      <c r="M12" s="130">
        <v>4.8734145787322693E-2</v>
      </c>
      <c r="N12" s="113"/>
      <c r="O12" s="125">
        <v>0.32679999999999998</v>
      </c>
      <c r="P12" s="35">
        <v>0.36326997525780103</v>
      </c>
      <c r="Q12" s="114">
        <v>0.30444639551483099</v>
      </c>
      <c r="U12" s="115" t="s">
        <v>95</v>
      </c>
      <c r="V12" s="159">
        <v>0</v>
      </c>
      <c r="W12" s="226">
        <f>D21*100</f>
        <v>0.63182705128464101</v>
      </c>
      <c r="X12" s="160">
        <v>0.59946954160295762</v>
      </c>
      <c r="Y12" s="116"/>
      <c r="Z12" s="159">
        <v>1</v>
      </c>
      <c r="AA12" s="226">
        <f>H21*100</f>
        <v>0.49674235104556502</v>
      </c>
      <c r="AB12" s="160">
        <v>0.68994090851133882</v>
      </c>
      <c r="AC12" s="163"/>
      <c r="AD12" s="159">
        <v>2</v>
      </c>
      <c r="AE12" s="226">
        <f>L21*100</f>
        <v>0.51014103777230302</v>
      </c>
      <c r="AF12" s="160">
        <v>0.58860222874604251</v>
      </c>
      <c r="AG12" s="163"/>
      <c r="AH12" s="159">
        <v>3</v>
      </c>
      <c r="AI12" s="226">
        <f>P21*100</f>
        <v>0.45840087309933297</v>
      </c>
      <c r="AJ12" s="164">
        <v>0.4455858917513662</v>
      </c>
      <c r="AK12" s="217"/>
      <c r="AL12" s="217"/>
      <c r="AM12" s="217"/>
      <c r="AN12" s="217"/>
      <c r="AO12" s="217"/>
      <c r="AP12" s="217"/>
      <c r="AQ12" s="217"/>
      <c r="AR12" s="217"/>
      <c r="AS12" s="217"/>
      <c r="AT12" s="217"/>
      <c r="AU12" s="217"/>
      <c r="AV12" s="217"/>
      <c r="AW12" s="217"/>
      <c r="AX12" s="217"/>
      <c r="AY12" s="63"/>
      <c r="AZ12" s="42"/>
      <c r="BA12" s="63"/>
      <c r="BB12" s="63"/>
      <c r="BC12" s="63"/>
      <c r="BD12" s="63"/>
      <c r="BE12" s="63"/>
    </row>
    <row r="13" spans="2:57" ht="16" x14ac:dyDescent="0.2">
      <c r="B13" s="111" t="s">
        <v>102</v>
      </c>
      <c r="C13" s="125">
        <v>0</v>
      </c>
      <c r="D13" s="112">
        <v>5.5526976641128798E-3</v>
      </c>
      <c r="E13" s="130">
        <v>4.4490527070435602E-3</v>
      </c>
      <c r="F13" s="113"/>
      <c r="G13" s="125">
        <v>8.6999999999999994E-2</v>
      </c>
      <c r="H13" s="112">
        <v>9.5399171557531609E-2</v>
      </c>
      <c r="I13" s="130">
        <v>8.9091143593221997E-2</v>
      </c>
      <c r="J13" s="113"/>
      <c r="K13" s="125">
        <v>8.0000000000000002E-3</v>
      </c>
      <c r="L13" s="112">
        <v>7.6358244569093098E-2</v>
      </c>
      <c r="M13" s="130">
        <v>6.5242125309711796E-2</v>
      </c>
      <c r="N13" s="113"/>
      <c r="O13" s="125">
        <v>3.5499999999999997E-2</v>
      </c>
      <c r="P13" s="35">
        <v>1.5787057532687502E-2</v>
      </c>
      <c r="Q13" s="114">
        <v>1.6793175362261801E-2</v>
      </c>
      <c r="U13" s="221"/>
      <c r="V13" s="217"/>
      <c r="W13" s="217"/>
      <c r="X13" s="217"/>
      <c r="Y13" s="217"/>
      <c r="Z13" s="217"/>
      <c r="AA13" s="217"/>
      <c r="AB13" s="217"/>
      <c r="AC13" s="217"/>
      <c r="AD13" s="217"/>
      <c r="AE13" s="217"/>
      <c r="AF13" s="217"/>
      <c r="AG13" s="217"/>
      <c r="AH13" s="217"/>
      <c r="AI13" s="217"/>
      <c r="AJ13" s="217"/>
      <c r="AK13" s="217"/>
      <c r="AL13" s="217"/>
      <c r="AM13" s="217"/>
      <c r="AN13" s="217"/>
      <c r="AO13" s="217"/>
      <c r="AP13" s="217"/>
      <c r="AQ13" s="217"/>
      <c r="AR13" s="217"/>
      <c r="AS13" s="217"/>
      <c r="AT13" s="217"/>
      <c r="AU13" s="217"/>
      <c r="AV13" s="217"/>
      <c r="AW13" s="217"/>
      <c r="AX13" s="217"/>
      <c r="AY13" s="63"/>
      <c r="AZ13" s="42"/>
      <c r="BA13" s="63"/>
      <c r="BB13" s="63"/>
      <c r="BC13" s="63"/>
      <c r="BD13" s="63"/>
      <c r="BE13" s="63"/>
    </row>
    <row r="14" spans="2:57" ht="16" x14ac:dyDescent="0.2">
      <c r="B14" s="111" t="s">
        <v>114</v>
      </c>
      <c r="C14" s="125">
        <v>1.0500000000000001E-2</v>
      </c>
      <c r="D14" s="112">
        <v>3.3244354075267296E-2</v>
      </c>
      <c r="E14" s="130">
        <v>3.31885728106339E-2</v>
      </c>
      <c r="F14" s="113"/>
      <c r="G14" s="125">
        <v>2.2100000000000002E-2</v>
      </c>
      <c r="H14" s="112">
        <v>2.1439832535310299E-2</v>
      </c>
      <c r="I14" s="130">
        <v>1.6762559529013902E-2</v>
      </c>
      <c r="J14" s="113"/>
      <c r="K14" s="125">
        <v>0.06</v>
      </c>
      <c r="L14" s="112">
        <v>4.7265443249043103E-2</v>
      </c>
      <c r="M14" s="130">
        <v>3.1268590623626996E-2</v>
      </c>
      <c r="N14" s="113"/>
      <c r="O14" s="125">
        <v>3.6200000000000003E-2</v>
      </c>
      <c r="P14" s="35">
        <v>4.8303536993939397E-2</v>
      </c>
      <c r="Q14" s="114">
        <v>7.0751534559491708E-2</v>
      </c>
      <c r="U14" s="221"/>
      <c r="V14" s="217"/>
      <c r="W14" s="217"/>
      <c r="X14" s="217"/>
      <c r="Y14" s="217"/>
      <c r="Z14" s="217"/>
      <c r="AA14" s="217"/>
      <c r="AB14" s="217"/>
      <c r="AC14" s="217"/>
      <c r="AD14" s="217"/>
      <c r="AE14" s="217"/>
      <c r="AF14" s="217"/>
      <c r="AG14" s="217"/>
      <c r="AH14" s="217"/>
      <c r="AI14" s="217"/>
      <c r="AJ14" s="217"/>
      <c r="AK14" s="217"/>
      <c r="AL14" s="217"/>
      <c r="AM14" s="217"/>
      <c r="AN14" s="217"/>
      <c r="AO14" s="217"/>
      <c r="AP14" s="217"/>
      <c r="AQ14" s="217"/>
      <c r="AR14" s="217"/>
      <c r="AS14" s="217"/>
      <c r="AT14" s="217"/>
      <c r="AU14" s="217"/>
      <c r="AV14" s="217"/>
      <c r="AW14" s="217"/>
      <c r="AX14" s="217"/>
      <c r="AY14" s="63"/>
      <c r="AZ14" s="42"/>
      <c r="BA14" s="63"/>
      <c r="BB14" s="63"/>
      <c r="BC14" s="63"/>
      <c r="BD14" s="63"/>
      <c r="BE14" s="63"/>
    </row>
    <row r="15" spans="2:57" ht="16" x14ac:dyDescent="0.2">
      <c r="B15" s="111" t="s">
        <v>101</v>
      </c>
      <c r="C15" s="125">
        <v>0</v>
      </c>
      <c r="D15" s="112">
        <v>2.1794468317002503E-4</v>
      </c>
      <c r="E15" s="130">
        <v>2.07595113010782E-5</v>
      </c>
      <c r="F15" s="113"/>
      <c r="G15" s="125">
        <v>0</v>
      </c>
      <c r="H15" s="112">
        <v>1.1402329020046601E-3</v>
      </c>
      <c r="I15" s="130">
        <v>6.53084779299808E-6</v>
      </c>
      <c r="J15" s="113"/>
      <c r="K15" s="125">
        <v>0</v>
      </c>
      <c r="L15" s="112">
        <v>4.9355405073394003E-6</v>
      </c>
      <c r="M15" s="130">
        <v>2.84780540128477E-6</v>
      </c>
      <c r="N15" s="113"/>
      <c r="O15" s="125">
        <v>0</v>
      </c>
      <c r="P15" s="35">
        <v>1.94219719435599E-2</v>
      </c>
      <c r="Q15" s="114">
        <v>3.9337678659320703E-2</v>
      </c>
      <c r="U15" s="221"/>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63"/>
      <c r="AZ15" s="42"/>
      <c r="BA15" s="63"/>
      <c r="BB15" s="63"/>
      <c r="BC15" s="63"/>
      <c r="BD15" s="63"/>
      <c r="BE15" s="63"/>
    </row>
    <row r="16" spans="2:57" ht="16" x14ac:dyDescent="0.2">
      <c r="B16" s="111" t="s">
        <v>100</v>
      </c>
      <c r="C16" s="125">
        <v>0.15590000000000001</v>
      </c>
      <c r="D16" s="112">
        <v>0.116234577161564</v>
      </c>
      <c r="E16" s="130">
        <v>0.126209123911909</v>
      </c>
      <c r="F16" s="113"/>
      <c r="G16" s="125">
        <v>0.24129999999999999</v>
      </c>
      <c r="H16" s="112">
        <v>0.213250297312641</v>
      </c>
      <c r="I16" s="130">
        <v>0.201133750347957</v>
      </c>
      <c r="J16" s="113"/>
      <c r="K16" s="125">
        <v>0</v>
      </c>
      <c r="L16" s="112">
        <v>2.9420385295639501E-3</v>
      </c>
      <c r="M16" s="130">
        <v>1.1202751879497E-2</v>
      </c>
      <c r="N16" s="113"/>
      <c r="O16" s="125">
        <v>1.14E-2</v>
      </c>
      <c r="P16" s="35">
        <v>1.93714276918063E-3</v>
      </c>
      <c r="Q16" s="114">
        <v>1.09002252962658E-3</v>
      </c>
      <c r="U16" s="221"/>
      <c r="V16" s="217"/>
      <c r="W16" s="217"/>
      <c r="X16" s="217"/>
      <c r="Y16" s="217"/>
      <c r="Z16" s="217"/>
      <c r="AA16" s="217"/>
      <c r="AB16" s="217"/>
      <c r="AC16" s="217"/>
      <c r="AD16" s="217"/>
      <c r="AE16" s="217"/>
      <c r="AF16" s="217"/>
      <c r="AG16" s="217"/>
      <c r="AH16" s="217"/>
      <c r="AI16" s="217"/>
      <c r="AJ16" s="217"/>
      <c r="AK16" s="217"/>
      <c r="AL16" s="217"/>
      <c r="AM16" s="217"/>
      <c r="AN16" s="217"/>
      <c r="AO16" s="217"/>
      <c r="AP16" s="217"/>
      <c r="AQ16" s="217"/>
      <c r="AR16" s="217"/>
      <c r="AS16" s="217"/>
      <c r="AT16" s="217"/>
      <c r="AU16" s="217"/>
      <c r="AV16" s="217"/>
      <c r="AW16" s="217"/>
      <c r="AX16" s="217"/>
      <c r="AY16" s="63"/>
      <c r="AZ16" s="42"/>
      <c r="BA16" s="63"/>
      <c r="BB16" s="63"/>
      <c r="BC16" s="63"/>
      <c r="BD16" s="63"/>
      <c r="BE16" s="63"/>
    </row>
    <row r="17" spans="2:57" ht="16" x14ac:dyDescent="0.2">
      <c r="B17" s="111" t="s">
        <v>99</v>
      </c>
      <c r="C17" s="125">
        <v>0</v>
      </c>
      <c r="D17" s="112">
        <v>1.5329286351123E-2</v>
      </c>
      <c r="E17" s="130">
        <v>1.9554104994819299E-2</v>
      </c>
      <c r="F17" s="113"/>
      <c r="G17" s="125">
        <v>7.2800000000000004E-2</v>
      </c>
      <c r="H17" s="112">
        <v>8.7433940759828008E-2</v>
      </c>
      <c r="I17" s="130">
        <v>9.503135898746301E-2</v>
      </c>
      <c r="J17" s="113"/>
      <c r="K17" s="125">
        <v>2.7E-2</v>
      </c>
      <c r="L17" s="112">
        <v>5.2926763277653402E-2</v>
      </c>
      <c r="M17" s="130">
        <v>7.0336531395429197E-2</v>
      </c>
      <c r="N17" s="113"/>
      <c r="O17" s="125">
        <v>0</v>
      </c>
      <c r="P17" s="35">
        <v>8.4867500066552397E-4</v>
      </c>
      <c r="Q17" s="114">
        <v>2.62987328201004E-5</v>
      </c>
      <c r="U17" s="221"/>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63"/>
      <c r="AZ17" s="42"/>
      <c r="BA17" s="63"/>
      <c r="BB17" s="63"/>
      <c r="BC17" s="63"/>
      <c r="BD17" s="63"/>
      <c r="BE17" s="63"/>
    </row>
    <row r="18" spans="2:57" ht="16" x14ac:dyDescent="0.2">
      <c r="B18" s="111" t="s">
        <v>98</v>
      </c>
      <c r="C18" s="125">
        <v>0.20699999999999999</v>
      </c>
      <c r="D18" s="112">
        <v>0.21025801785950002</v>
      </c>
      <c r="E18" s="130">
        <v>0.16584219337955999</v>
      </c>
      <c r="F18" s="113"/>
      <c r="G18" s="125">
        <v>8.0600000000000005E-2</v>
      </c>
      <c r="H18" s="112">
        <v>0.10553021902660699</v>
      </c>
      <c r="I18" s="130">
        <v>7.1100624930100192E-2</v>
      </c>
      <c r="J18" s="113"/>
      <c r="K18" s="125">
        <v>0</v>
      </c>
      <c r="L18" s="112">
        <v>3.4778480217844496E-3</v>
      </c>
      <c r="M18" s="130">
        <v>1.4698882313700101E-3</v>
      </c>
      <c r="N18" s="113"/>
      <c r="O18" s="125">
        <v>7.9699999999999993E-2</v>
      </c>
      <c r="P18" s="35">
        <v>8.8795200638138103E-2</v>
      </c>
      <c r="Q18" s="114">
        <v>9.5002198431581503E-2</v>
      </c>
      <c r="U18" s="221"/>
      <c r="V18" s="217"/>
      <c r="W18" s="217"/>
      <c r="X18" s="217"/>
      <c r="Y18" s="217"/>
      <c r="Z18" s="217"/>
      <c r="AA18" s="217"/>
      <c r="AB18" s="217"/>
      <c r="AC18" s="217"/>
      <c r="AD18" s="217"/>
      <c r="AE18" s="217"/>
      <c r="AF18" s="217"/>
      <c r="AG18" s="217"/>
      <c r="AH18" s="217"/>
      <c r="AI18" s="217"/>
      <c r="AJ18" s="217"/>
      <c r="AK18" s="217"/>
      <c r="AL18" s="217"/>
      <c r="AM18" s="217"/>
      <c r="AN18" s="217"/>
      <c r="AO18" s="217"/>
      <c r="AP18" s="217"/>
      <c r="AQ18" s="217"/>
      <c r="AR18" s="217"/>
      <c r="AS18" s="217"/>
      <c r="AT18" s="217"/>
      <c r="AU18" s="217"/>
      <c r="AV18" s="217"/>
      <c r="AW18" s="217"/>
      <c r="AX18" s="217"/>
      <c r="AY18" s="63"/>
      <c r="AZ18" s="42"/>
      <c r="BA18" s="63"/>
      <c r="BB18" s="63"/>
      <c r="BC18" s="63"/>
      <c r="BD18" s="63"/>
      <c r="BE18" s="63"/>
    </row>
    <row r="19" spans="2:57" ht="16" x14ac:dyDescent="0.2">
      <c r="B19" s="111" t="s">
        <v>97</v>
      </c>
      <c r="C19" s="126">
        <v>0.35299999999999998</v>
      </c>
      <c r="D19" s="112">
        <v>0.32338210597775502</v>
      </c>
      <c r="E19" s="130">
        <v>0.36454633743675702</v>
      </c>
      <c r="F19" s="113"/>
      <c r="G19" s="126">
        <v>0.32990000000000003</v>
      </c>
      <c r="H19" s="112">
        <v>0.30808958826656302</v>
      </c>
      <c r="I19" s="130">
        <v>0.33273959777541895</v>
      </c>
      <c r="J19" s="113"/>
      <c r="K19" s="126">
        <v>0.374</v>
      </c>
      <c r="L19" s="112">
        <v>0.30705334956580099</v>
      </c>
      <c r="M19" s="130">
        <v>0.27006605809968898</v>
      </c>
      <c r="N19" s="113"/>
      <c r="O19" s="126">
        <v>0.36509999999999998</v>
      </c>
      <c r="P19" s="35">
        <v>0.34596639104904903</v>
      </c>
      <c r="Q19" s="114">
        <v>0.29217284592466297</v>
      </c>
      <c r="U19" s="221"/>
      <c r="V19" s="217"/>
      <c r="W19" s="217"/>
      <c r="X19" s="217"/>
      <c r="Y19" s="217"/>
      <c r="Z19" s="217"/>
      <c r="AA19" s="217"/>
      <c r="AB19" s="217"/>
      <c r="AC19" s="217"/>
      <c r="AD19" s="217"/>
      <c r="AE19" s="217"/>
      <c r="AF19" s="217"/>
      <c r="AG19" s="217"/>
      <c r="AH19" s="217"/>
      <c r="AI19" s="217"/>
      <c r="AJ19" s="217"/>
      <c r="AK19" s="217"/>
      <c r="AL19" s="217"/>
      <c r="AM19" s="217"/>
      <c r="AN19" s="217"/>
      <c r="AO19" s="217"/>
      <c r="AP19" s="217"/>
      <c r="AQ19" s="217"/>
      <c r="AR19" s="217"/>
      <c r="AS19" s="217"/>
      <c r="AT19" s="217"/>
      <c r="AU19" s="217"/>
      <c r="AV19" s="217"/>
      <c r="AW19" s="217"/>
      <c r="AX19" s="217"/>
      <c r="AY19" s="63"/>
      <c r="AZ19" s="42"/>
      <c r="BA19" s="63"/>
      <c r="BB19" s="63"/>
      <c r="BC19" s="63"/>
      <c r="BD19" s="63"/>
      <c r="BE19" s="63"/>
    </row>
    <row r="20" spans="2:57" ht="16" x14ac:dyDescent="0.2">
      <c r="B20" s="111" t="s">
        <v>96</v>
      </c>
      <c r="C20" s="126">
        <v>0</v>
      </c>
      <c r="D20" s="112">
        <v>1.8500808520072801E-3</v>
      </c>
      <c r="E20" s="130">
        <v>1.7583598234368601E-3</v>
      </c>
      <c r="F20" s="113"/>
      <c r="G20" s="126">
        <v>0</v>
      </c>
      <c r="H20" s="112">
        <v>4.6324258882931001E-4</v>
      </c>
      <c r="I20" s="130">
        <v>4.7257647823126399E-4</v>
      </c>
      <c r="J20" s="113"/>
      <c r="K20" s="126">
        <v>7.0999999999999994E-2</v>
      </c>
      <c r="L20" s="112">
        <v>4.8082113053456103E-2</v>
      </c>
      <c r="M20" s="130">
        <v>4.0677620628751097E-2</v>
      </c>
      <c r="N20" s="113"/>
      <c r="O20" s="126">
        <v>0</v>
      </c>
      <c r="P20" s="35">
        <v>3.7424254491930797E-4</v>
      </c>
      <c r="Q20" s="114">
        <v>5.8339823584199594E-4</v>
      </c>
      <c r="U20" s="221"/>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63"/>
      <c r="AZ20" s="42"/>
      <c r="BA20" s="63"/>
      <c r="BB20" s="63"/>
      <c r="BC20" s="63"/>
      <c r="BD20" s="63"/>
      <c r="BE20" s="63"/>
    </row>
    <row r="21" spans="2:57" ht="17" thickBot="1" x14ac:dyDescent="0.25">
      <c r="B21" s="115" t="s">
        <v>95</v>
      </c>
      <c r="C21" s="127">
        <v>0</v>
      </c>
      <c r="D21" s="117">
        <v>6.3182705128464103E-3</v>
      </c>
      <c r="E21" s="131">
        <v>5.9842574173942396E-3</v>
      </c>
      <c r="F21" s="116"/>
      <c r="G21" s="127">
        <v>0</v>
      </c>
      <c r="H21" s="117">
        <v>4.9674235104556503E-3</v>
      </c>
      <c r="I21" s="131">
        <v>6.9892186365957199E-3</v>
      </c>
      <c r="J21" s="116"/>
      <c r="K21" s="127">
        <v>0</v>
      </c>
      <c r="L21" s="117">
        <v>5.1014103777230306E-3</v>
      </c>
      <c r="M21" s="131">
        <v>5.0690170587236608E-3</v>
      </c>
      <c r="N21" s="116"/>
      <c r="O21" s="127">
        <v>0</v>
      </c>
      <c r="P21" s="118">
        <v>4.5840087309933298E-3</v>
      </c>
      <c r="Q21" s="119">
        <v>4.1704216525307201E-3</v>
      </c>
      <c r="U21" s="221"/>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63"/>
      <c r="AZ21" s="42"/>
      <c r="BA21" s="63"/>
      <c r="BB21" s="63"/>
      <c r="BC21" s="63"/>
      <c r="BD21" s="63"/>
      <c r="BE21" s="63"/>
    </row>
    <row r="22" spans="2:57" ht="16" x14ac:dyDescent="0.2">
      <c r="C22" s="219"/>
      <c r="D22" s="219"/>
      <c r="E22" s="219"/>
      <c r="F22" s="219"/>
      <c r="G22" s="219"/>
      <c r="H22" s="219"/>
      <c r="I22" s="219"/>
      <c r="J22" s="219"/>
      <c r="K22" s="219"/>
      <c r="L22" s="219"/>
      <c r="M22" s="219"/>
      <c r="N22" s="219"/>
      <c r="O22" s="219"/>
      <c r="P22" s="219"/>
      <c r="Q22" s="219"/>
      <c r="U22" s="6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63"/>
      <c r="AZ22" s="63"/>
      <c r="BA22" s="63"/>
      <c r="BB22" s="63"/>
      <c r="BC22" s="63"/>
      <c r="BD22" s="63"/>
      <c r="BE22" s="63"/>
    </row>
    <row r="23" spans="2:57" ht="16" x14ac:dyDescent="0.2">
      <c r="U23" s="63"/>
      <c r="V23" s="63"/>
      <c r="W23" s="63"/>
      <c r="X23" s="63"/>
      <c r="Y23" s="63"/>
      <c r="Z23" s="63"/>
      <c r="AA23" s="63"/>
      <c r="AB23" s="63"/>
      <c r="AC23" s="63"/>
      <c r="AD23" s="63"/>
      <c r="AE23" s="63"/>
      <c r="AF23" s="63"/>
      <c r="AG23" s="63"/>
      <c r="AH23" s="63"/>
      <c r="AI23" s="63"/>
      <c r="AJ23" s="63"/>
      <c r="AK23" s="63"/>
      <c r="AL23" s="63"/>
      <c r="AM23" s="63"/>
      <c r="AN23" s="63"/>
      <c r="AO23" s="63"/>
      <c r="AP23" s="63"/>
      <c r="AQ23" s="63"/>
      <c r="AR23" s="63"/>
      <c r="AS23" s="63"/>
      <c r="AT23" s="63"/>
      <c r="AU23" s="63"/>
      <c r="AV23" s="63"/>
      <c r="AW23" s="63"/>
      <c r="AX23" s="63"/>
      <c r="AY23" s="63"/>
      <c r="AZ23" s="63"/>
      <c r="BA23" s="63"/>
      <c r="BB23" s="63"/>
      <c r="BC23" s="63"/>
      <c r="BD23" s="63"/>
      <c r="BE23" s="63"/>
    </row>
    <row r="24" spans="2:57" ht="16" x14ac:dyDescent="0.2">
      <c r="R24" s="39"/>
      <c r="U24" s="63"/>
      <c r="V24" s="63"/>
      <c r="W24" s="63"/>
      <c r="X24" s="63"/>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row>
    <row r="25" spans="2:57" ht="16" x14ac:dyDescent="0.2">
      <c r="R25" s="39"/>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row>
    <row r="26" spans="2:57" ht="16" x14ac:dyDescent="0.2">
      <c r="U26" s="63"/>
      <c r="V26" s="63"/>
      <c r="W26" s="63"/>
      <c r="X26" s="63"/>
      <c r="Y26" s="63"/>
      <c r="Z26" s="63"/>
      <c r="AA26" s="63"/>
      <c r="AB26" s="63"/>
      <c r="AC26" s="63"/>
      <c r="AD26" s="63"/>
      <c r="AE26" s="63"/>
      <c r="AF26" s="63"/>
      <c r="AG26" s="63"/>
      <c r="AH26" s="63"/>
      <c r="AI26" s="63"/>
      <c r="AJ26" s="63"/>
      <c r="AK26" s="63"/>
      <c r="AL26" s="63"/>
      <c r="AM26" s="63"/>
      <c r="AN26" s="63"/>
      <c r="AO26" s="63"/>
      <c r="AP26" s="63"/>
      <c r="AQ26" s="63"/>
      <c r="AR26" s="63"/>
      <c r="AS26" s="63"/>
      <c r="AT26" s="63"/>
      <c r="AU26" s="63"/>
      <c r="AV26" s="63"/>
      <c r="AW26" s="63"/>
      <c r="AX26" s="63"/>
      <c r="AY26" s="63"/>
      <c r="AZ26" s="63"/>
      <c r="BA26" s="63"/>
      <c r="BB26" s="63"/>
      <c r="BC26" s="63"/>
      <c r="BD26" s="63"/>
      <c r="BE26" s="63"/>
    </row>
    <row r="27" spans="2:57" ht="16" x14ac:dyDescent="0.2">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row>
    <row r="28" spans="2:57" ht="16" x14ac:dyDescent="0.2">
      <c r="U28" s="63"/>
      <c r="V28" s="63"/>
      <c r="W28" s="63"/>
      <c r="X28" s="63"/>
      <c r="Y28" s="63"/>
      <c r="Z28" s="63"/>
      <c r="AA28" s="63"/>
      <c r="AB28" s="63"/>
      <c r="AC28" s="63"/>
      <c r="AD28" s="63"/>
      <c r="AE28" s="63"/>
      <c r="AF28" s="63"/>
      <c r="AG28" s="63"/>
      <c r="AH28" s="63"/>
      <c r="AI28" s="63"/>
      <c r="AJ28" s="63"/>
      <c r="AK28" s="63"/>
      <c r="AL28" s="63"/>
      <c r="AM28" s="63"/>
      <c r="AN28" s="63"/>
      <c r="AO28" s="63"/>
      <c r="AP28" s="63"/>
      <c r="AQ28" s="63"/>
      <c r="AR28" s="63"/>
      <c r="AS28" s="63"/>
      <c r="AT28" s="63"/>
      <c r="AU28" s="63"/>
      <c r="AV28" s="63"/>
      <c r="AW28" s="63"/>
      <c r="AX28" s="63"/>
      <c r="AY28" s="63"/>
      <c r="AZ28" s="63"/>
      <c r="BA28" s="63"/>
      <c r="BB28" s="63"/>
      <c r="BC28" s="63"/>
      <c r="BD28" s="63"/>
      <c r="BE28" s="63"/>
    </row>
    <row r="29" spans="2:57" ht="16" x14ac:dyDescent="0.2">
      <c r="U29" s="63"/>
      <c r="V29" s="63"/>
      <c r="W29" s="63"/>
      <c r="X29" s="63"/>
      <c r="Y29" s="63"/>
      <c r="Z29" s="63"/>
      <c r="AA29" s="63"/>
      <c r="AB29" s="63"/>
      <c r="AC29" s="63"/>
      <c r="AD29" s="63"/>
      <c r="AE29" s="63"/>
      <c r="AF29" s="63"/>
      <c r="AG29" s="63"/>
      <c r="AH29" s="63"/>
      <c r="AI29" s="63"/>
      <c r="AJ29" s="63"/>
      <c r="AK29" s="63"/>
      <c r="AL29" s="63"/>
      <c r="AM29" s="63"/>
      <c r="AN29" s="63"/>
      <c r="AO29" s="63"/>
      <c r="AP29" s="63"/>
      <c r="AQ29" s="63"/>
      <c r="AR29" s="63"/>
      <c r="AS29" s="63"/>
      <c r="AT29" s="63"/>
      <c r="AU29" s="63"/>
      <c r="AV29" s="63"/>
      <c r="AW29" s="63"/>
      <c r="AX29" s="63"/>
      <c r="AY29" s="63"/>
      <c r="AZ29" s="63"/>
      <c r="BA29" s="63"/>
      <c r="BB29" s="63"/>
      <c r="BC29" s="63"/>
      <c r="BD29" s="63"/>
      <c r="BE29" s="63"/>
    </row>
    <row r="30" spans="2:57" ht="16" x14ac:dyDescent="0.2">
      <c r="U30" s="63"/>
      <c r="V30" s="63"/>
      <c r="W30" s="63"/>
      <c r="X30" s="63"/>
      <c r="Y30" s="63"/>
      <c r="Z30" s="63"/>
      <c r="AA30" s="63"/>
      <c r="AB30" s="63"/>
      <c r="AC30" s="63"/>
      <c r="AD30" s="63"/>
      <c r="AE30" s="63"/>
      <c r="AF30" s="63"/>
      <c r="AG30" s="63"/>
      <c r="AH30" s="63"/>
      <c r="AI30" s="63"/>
      <c r="AJ30" s="63"/>
      <c r="AK30" s="63"/>
      <c r="AL30" s="63"/>
      <c r="AM30" s="63"/>
      <c r="AN30" s="63"/>
      <c r="AO30" s="63"/>
      <c r="AP30" s="63"/>
      <c r="AQ30" s="63"/>
      <c r="AR30" s="63"/>
      <c r="AS30" s="63"/>
      <c r="AT30" s="63"/>
      <c r="AU30" s="63"/>
      <c r="AV30" s="63"/>
      <c r="AW30" s="63"/>
      <c r="AX30" s="63"/>
      <c r="AY30" s="63"/>
      <c r="AZ30" s="63"/>
      <c r="BA30" s="63"/>
      <c r="BB30" s="63"/>
      <c r="BC30" s="63"/>
      <c r="BD30" s="63"/>
      <c r="BE30" s="63"/>
    </row>
    <row r="31" spans="2:57" ht="16" x14ac:dyDescent="0.2">
      <c r="U31" s="63"/>
      <c r="V31" s="63"/>
      <c r="W31" s="63"/>
      <c r="X31" s="63"/>
      <c r="Y31" s="63"/>
      <c r="Z31" s="63"/>
      <c r="AA31" s="63"/>
      <c r="AB31" s="63"/>
      <c r="AC31" s="63"/>
      <c r="AD31" s="63"/>
      <c r="AE31" s="63"/>
      <c r="AF31" s="63"/>
      <c r="AG31" s="63"/>
      <c r="AH31" s="63"/>
      <c r="AI31" s="63"/>
      <c r="AJ31" s="63"/>
      <c r="AK31" s="63"/>
      <c r="AL31" s="63"/>
      <c r="AM31" s="63"/>
      <c r="AN31" s="63"/>
      <c r="AO31" s="63"/>
      <c r="AP31" s="63"/>
      <c r="AQ31" s="63"/>
      <c r="AR31" s="63"/>
      <c r="AS31" s="63"/>
      <c r="AT31" s="63"/>
      <c r="AU31" s="63"/>
      <c r="AV31" s="63"/>
      <c r="AW31" s="63"/>
      <c r="AX31" s="63"/>
      <c r="AY31" s="63"/>
      <c r="AZ31" s="63"/>
      <c r="BA31" s="63"/>
      <c r="BB31" s="63"/>
      <c r="BC31" s="63"/>
      <c r="BD31" s="63"/>
      <c r="BE31" s="63"/>
    </row>
    <row r="32" spans="2:57" ht="16" x14ac:dyDescent="0.2">
      <c r="U32" s="63"/>
      <c r="V32" s="63"/>
      <c r="W32" s="63"/>
      <c r="X32" s="63"/>
      <c r="Y32" s="63"/>
      <c r="Z32" s="63"/>
      <c r="AA32" s="63"/>
      <c r="AB32" s="63"/>
      <c r="AC32" s="63"/>
      <c r="AD32" s="63"/>
      <c r="AE32" s="63"/>
      <c r="AF32" s="63"/>
      <c r="AG32" s="63"/>
      <c r="AH32" s="63"/>
      <c r="AI32" s="63"/>
      <c r="AJ32" s="63"/>
      <c r="AK32" s="63"/>
      <c r="AL32" s="63"/>
      <c r="AM32" s="63"/>
      <c r="AN32" s="63"/>
      <c r="AO32" s="63"/>
      <c r="AP32" s="63"/>
      <c r="AQ32" s="63"/>
      <c r="AR32" s="63"/>
      <c r="AS32" s="63"/>
      <c r="AT32" s="63"/>
      <c r="AU32" s="63"/>
      <c r="AV32" s="63"/>
      <c r="AW32" s="63"/>
      <c r="AX32" s="63"/>
      <c r="AY32" s="63"/>
      <c r="AZ32" s="63"/>
      <c r="BA32" s="63"/>
      <c r="BB32" s="63"/>
      <c r="BC32" s="63"/>
      <c r="BD32" s="63"/>
      <c r="BE32" s="63"/>
    </row>
    <row r="33" spans="21:57" ht="16" x14ac:dyDescent="0.2">
      <c r="U33" s="63"/>
      <c r="V33" s="63"/>
      <c r="W33" s="63"/>
      <c r="X33" s="63"/>
      <c r="Y33" s="63"/>
      <c r="Z33" s="63"/>
      <c r="AA33" s="63"/>
      <c r="AB33" s="63"/>
      <c r="AC33" s="63"/>
      <c r="AD33" s="63"/>
      <c r="AE33" s="63"/>
      <c r="AF33" s="63"/>
      <c r="AG33" s="63"/>
      <c r="AH33" s="63"/>
      <c r="AI33" s="63"/>
      <c r="AJ33" s="63"/>
      <c r="AK33" s="63"/>
      <c r="AL33" s="63"/>
      <c r="AM33" s="63"/>
      <c r="AN33" s="63"/>
      <c r="AO33" s="63"/>
      <c r="AP33" s="63"/>
      <c r="AQ33" s="63"/>
      <c r="AR33" s="63"/>
      <c r="AS33" s="63"/>
      <c r="AT33" s="63"/>
      <c r="AU33" s="63"/>
      <c r="AV33" s="63"/>
      <c r="AW33" s="63"/>
      <c r="AX33" s="63"/>
      <c r="AY33" s="63"/>
      <c r="AZ33" s="63"/>
      <c r="BA33" s="63"/>
      <c r="BB33" s="63"/>
      <c r="BC33" s="63"/>
      <c r="BD33" s="63"/>
      <c r="BE33" s="63"/>
    </row>
    <row r="34" spans="21:57" ht="16" x14ac:dyDescent="0.2">
      <c r="U34" s="63"/>
      <c r="V34" s="63"/>
      <c r="W34" s="63"/>
      <c r="X34" s="63"/>
      <c r="Y34" s="63"/>
      <c r="Z34" s="63"/>
      <c r="AA34" s="63"/>
      <c r="AB34" s="63"/>
      <c r="AC34" s="63"/>
      <c r="AD34" s="63"/>
      <c r="AE34" s="63"/>
      <c r="AF34" s="63"/>
      <c r="AG34" s="63"/>
      <c r="AH34" s="63"/>
      <c r="AI34" s="63"/>
      <c r="AJ34" s="63"/>
      <c r="AK34" s="63"/>
      <c r="AL34" s="63"/>
      <c r="AM34" s="63"/>
      <c r="AN34" s="63"/>
      <c r="AO34" s="63"/>
      <c r="AP34" s="63"/>
      <c r="AQ34" s="63"/>
      <c r="AR34" s="63"/>
      <c r="AS34" s="63"/>
      <c r="AT34" s="63"/>
      <c r="AU34" s="63"/>
      <c r="AV34" s="63"/>
      <c r="AW34" s="63"/>
      <c r="AX34" s="63"/>
      <c r="AY34" s="63"/>
      <c r="AZ34" s="63"/>
      <c r="BA34" s="63"/>
      <c r="BB34" s="63"/>
      <c r="BC34" s="63"/>
      <c r="BD34" s="63"/>
      <c r="BE34" s="63"/>
    </row>
    <row r="35" spans="21:57" ht="16" x14ac:dyDescent="0.2">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63"/>
      <c r="BA35" s="63"/>
      <c r="BB35" s="63"/>
      <c r="BC35" s="63"/>
      <c r="BD35" s="63"/>
      <c r="BE35" s="63"/>
    </row>
    <row r="36" spans="21:57" ht="16" x14ac:dyDescent="0.2">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row>
    <row r="37" spans="21:57" ht="16" x14ac:dyDescent="0.2">
      <c r="U37" s="63"/>
      <c r="V37" s="63"/>
      <c r="W37" s="63"/>
      <c r="X37" s="63"/>
      <c r="Y37" s="63"/>
      <c r="Z37" s="63"/>
      <c r="AA37" s="63"/>
      <c r="AB37" s="63"/>
      <c r="AC37" s="63"/>
      <c r="AD37" s="63"/>
      <c r="AE37" s="63"/>
      <c r="AF37" s="63"/>
      <c r="AG37" s="63"/>
      <c r="AH37" s="63"/>
      <c r="AI37" s="63"/>
      <c r="AJ37" s="63"/>
      <c r="AK37" s="63"/>
      <c r="AL37" s="63"/>
      <c r="AM37" s="63"/>
      <c r="AN37" s="63"/>
      <c r="AO37" s="63"/>
      <c r="AP37" s="63"/>
      <c r="AQ37" s="63"/>
      <c r="AR37" s="63"/>
      <c r="AS37" s="63"/>
      <c r="AT37" s="63"/>
      <c r="AU37" s="63"/>
      <c r="AV37" s="63"/>
      <c r="AW37" s="63"/>
      <c r="AX37" s="63"/>
      <c r="AY37" s="63"/>
      <c r="AZ37" s="63"/>
      <c r="BA37" s="63"/>
      <c r="BB37" s="63"/>
      <c r="BC37" s="63"/>
      <c r="BD37" s="63"/>
      <c r="BE37" s="63"/>
    </row>
    <row r="38" spans="21:57" ht="16" x14ac:dyDescent="0.2">
      <c r="U38" s="63"/>
      <c r="V38" s="63"/>
      <c r="W38" s="63"/>
      <c r="X38" s="63"/>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row>
    <row r="39" spans="21:57" ht="16" x14ac:dyDescent="0.2">
      <c r="U39" s="63"/>
      <c r="V39" s="63"/>
      <c r="W39" s="63"/>
      <c r="X39" s="63"/>
      <c r="Y39" s="63"/>
      <c r="Z39" s="63"/>
      <c r="AA39" s="63"/>
      <c r="AB39" s="63"/>
      <c r="AC39" s="63"/>
      <c r="AD39" s="63"/>
      <c r="AE39" s="63"/>
      <c r="AF39" s="63"/>
      <c r="AG39" s="63"/>
      <c r="AH39" s="63"/>
      <c r="AI39" s="63"/>
      <c r="AJ39" s="63"/>
      <c r="AK39" s="63"/>
      <c r="AL39" s="63"/>
      <c r="AM39" s="63"/>
      <c r="AN39" s="63"/>
      <c r="AO39" s="63"/>
      <c r="AP39" s="63"/>
      <c r="AQ39" s="63"/>
      <c r="AR39" s="63"/>
      <c r="AS39" s="63"/>
      <c r="AT39" s="63"/>
      <c r="AU39" s="63"/>
      <c r="AV39" s="63"/>
      <c r="AW39" s="63"/>
      <c r="AX39" s="63"/>
      <c r="AY39" s="63"/>
      <c r="AZ39" s="63"/>
      <c r="BA39" s="63"/>
      <c r="BB39" s="63"/>
      <c r="BC39" s="63"/>
      <c r="BD39" s="63"/>
      <c r="BE39" s="63"/>
    </row>
    <row r="40" spans="21:57" ht="16" x14ac:dyDescent="0.2">
      <c r="U40" s="63"/>
      <c r="V40" s="63"/>
      <c r="W40" s="63"/>
      <c r="X40" s="63"/>
      <c r="Y40" s="63"/>
      <c r="Z40" s="63"/>
      <c r="AA40" s="63"/>
      <c r="AB40" s="63"/>
      <c r="AC40" s="63"/>
      <c r="AD40" s="63"/>
      <c r="AE40" s="63"/>
      <c r="AF40" s="63"/>
      <c r="AG40" s="63"/>
      <c r="AH40" s="63"/>
      <c r="AI40" s="63"/>
      <c r="AJ40" s="63"/>
      <c r="AK40" s="63"/>
      <c r="AL40" s="63"/>
      <c r="AM40" s="63"/>
      <c r="AN40" s="63"/>
      <c r="AO40" s="63"/>
      <c r="AP40" s="63"/>
      <c r="AQ40" s="63"/>
      <c r="AR40" s="63"/>
      <c r="AS40" s="63"/>
      <c r="AT40" s="63"/>
      <c r="AU40" s="63"/>
      <c r="AV40" s="63"/>
      <c r="AW40" s="63"/>
      <c r="AX40" s="63"/>
      <c r="AY40" s="63"/>
      <c r="AZ40" s="63"/>
      <c r="BA40" s="63"/>
      <c r="BB40" s="63"/>
      <c r="BC40" s="63"/>
      <c r="BD40" s="63"/>
      <c r="BE40" s="63"/>
    </row>
    <row r="41" spans="21:57" ht="16" x14ac:dyDescent="0.2">
      <c r="U41" s="63"/>
      <c r="V41" s="63"/>
      <c r="W41" s="63"/>
      <c r="X41" s="63"/>
      <c r="Y41" s="63"/>
      <c r="Z41" s="63"/>
      <c r="AA41" s="63"/>
      <c r="AB41" s="63"/>
      <c r="AC41" s="63"/>
      <c r="AD41" s="63"/>
      <c r="AE41" s="63"/>
      <c r="AF41" s="63"/>
      <c r="AG41" s="63"/>
      <c r="AH41" s="63"/>
      <c r="AI41" s="63"/>
      <c r="AJ41" s="63"/>
      <c r="AK41" s="63"/>
      <c r="AL41" s="63"/>
      <c r="AM41" s="63"/>
      <c r="AN41" s="63"/>
      <c r="AO41" s="63"/>
      <c r="AP41" s="63"/>
      <c r="AQ41" s="63"/>
      <c r="AR41" s="63"/>
      <c r="AS41" s="63"/>
      <c r="AT41" s="63"/>
      <c r="AU41" s="63"/>
      <c r="AV41" s="63"/>
      <c r="AW41" s="63"/>
      <c r="AX41" s="63"/>
      <c r="AY41" s="63"/>
      <c r="AZ41" s="63"/>
      <c r="BA41" s="63"/>
      <c r="BB41" s="63"/>
      <c r="BC41" s="63"/>
      <c r="BD41" s="63"/>
      <c r="BE41" s="63"/>
    </row>
    <row r="42" spans="21:57" ht="16" x14ac:dyDescent="0.2">
      <c r="AK42" s="63"/>
      <c r="AL42" s="63"/>
      <c r="AM42" s="63"/>
      <c r="AN42" s="63"/>
      <c r="AO42" s="63"/>
      <c r="AP42" s="63"/>
      <c r="AQ42" s="63"/>
      <c r="AR42" s="63"/>
      <c r="AS42" s="63"/>
      <c r="AT42" s="63"/>
      <c r="AU42" s="63"/>
      <c r="AV42" s="63"/>
      <c r="AW42" s="63"/>
      <c r="AX42" s="63"/>
      <c r="AY42" s="63"/>
      <c r="AZ42" s="63"/>
      <c r="BA42" s="63"/>
      <c r="BB42" s="63"/>
      <c r="BC42" s="63"/>
      <c r="BD42" s="63"/>
      <c r="BE42" s="63"/>
    </row>
    <row r="43" spans="21:57" ht="16" x14ac:dyDescent="0.2">
      <c r="AK43" s="63"/>
      <c r="AL43" s="63"/>
      <c r="AM43" s="63"/>
      <c r="AN43" s="63"/>
      <c r="AO43" s="63"/>
      <c r="AP43" s="63"/>
      <c r="AQ43" s="63"/>
      <c r="AR43" s="63"/>
      <c r="AS43" s="63"/>
      <c r="AT43" s="63"/>
      <c r="AU43" s="63"/>
      <c r="AV43" s="63"/>
      <c r="AW43" s="63"/>
      <c r="AX43" s="63"/>
      <c r="AY43" s="63"/>
      <c r="AZ43" s="63"/>
      <c r="BA43" s="63"/>
      <c r="BB43" s="63"/>
      <c r="BC43" s="63"/>
      <c r="BD43" s="63"/>
      <c r="BE43" s="63"/>
    </row>
    <row r="44" spans="21:57" ht="16" x14ac:dyDescent="0.2">
      <c r="AK44" s="63"/>
      <c r="AL44" s="63"/>
      <c r="AM44" s="63"/>
      <c r="AN44" s="63"/>
      <c r="AO44" s="63"/>
      <c r="AP44" s="63"/>
      <c r="AQ44" s="63"/>
      <c r="AR44" s="63"/>
      <c r="AS44" s="63"/>
      <c r="AT44" s="63"/>
      <c r="AU44" s="63"/>
      <c r="AV44" s="63"/>
      <c r="AW44" s="63"/>
      <c r="AX44" s="63"/>
      <c r="AY44" s="63"/>
      <c r="AZ44" s="63"/>
      <c r="BA44" s="63"/>
      <c r="BB44" s="63"/>
      <c r="BC44" s="63"/>
      <c r="BD44" s="63"/>
      <c r="BE44" s="63"/>
    </row>
    <row r="45" spans="21:57" ht="16" x14ac:dyDescent="0.2">
      <c r="AK45" s="63"/>
      <c r="AL45" s="63"/>
      <c r="AM45" s="63"/>
      <c r="AN45" s="63"/>
      <c r="AO45" s="63"/>
      <c r="AP45" s="63"/>
      <c r="AQ45" s="63"/>
      <c r="AR45" s="63"/>
      <c r="AS45" s="63"/>
      <c r="AT45" s="63"/>
      <c r="AU45" s="63"/>
      <c r="AV45" s="63"/>
      <c r="AW45" s="63"/>
      <c r="AX45" s="63"/>
      <c r="AY45" s="63"/>
      <c r="AZ45" s="63"/>
      <c r="BA45" s="63"/>
      <c r="BB45" s="63"/>
      <c r="BC45" s="63"/>
      <c r="BD45" s="63"/>
      <c r="BE45" s="63"/>
    </row>
    <row r="46" spans="21:57" ht="16" x14ac:dyDescent="0.2">
      <c r="AK46" s="63"/>
      <c r="AL46" s="63"/>
      <c r="AM46" s="63"/>
      <c r="AN46" s="63"/>
      <c r="AO46" s="63"/>
      <c r="AP46" s="63"/>
      <c r="AQ46" s="63"/>
      <c r="AR46" s="63"/>
      <c r="AS46" s="63"/>
      <c r="AT46" s="63"/>
      <c r="AU46" s="63"/>
      <c r="AV46" s="63"/>
      <c r="AW46" s="63"/>
      <c r="AX46" s="63"/>
      <c r="AY46" s="63"/>
      <c r="AZ46" s="63"/>
      <c r="BA46" s="63"/>
      <c r="BB46" s="63"/>
      <c r="BC46" s="63"/>
      <c r="BD46" s="63"/>
      <c r="BE46" s="63"/>
    </row>
    <row r="47" spans="21:57" ht="16" x14ac:dyDescent="0.2">
      <c r="AK47" s="63"/>
      <c r="AL47" s="63"/>
      <c r="AM47" s="63"/>
      <c r="AN47" s="63"/>
      <c r="AO47" s="63"/>
      <c r="AP47" s="63"/>
      <c r="AQ47" s="63"/>
      <c r="AR47" s="63"/>
      <c r="AS47" s="63"/>
      <c r="AT47" s="63"/>
      <c r="AU47" s="63"/>
      <c r="AV47" s="63"/>
      <c r="AW47" s="63"/>
      <c r="AX47" s="63"/>
      <c r="AY47" s="63"/>
      <c r="AZ47" s="63"/>
      <c r="BA47" s="63"/>
      <c r="BB47" s="63"/>
      <c r="BC47" s="63"/>
      <c r="BD47" s="63"/>
      <c r="BE47" s="63"/>
    </row>
    <row r="48" spans="21:57" ht="16" x14ac:dyDescent="0.2">
      <c r="AK48" s="63"/>
      <c r="AL48" s="63"/>
      <c r="AM48" s="63"/>
      <c r="AN48" s="63"/>
      <c r="AO48" s="63"/>
      <c r="AP48" s="63"/>
      <c r="AQ48" s="63"/>
      <c r="AR48" s="63"/>
      <c r="AS48" s="63"/>
      <c r="AT48" s="63"/>
      <c r="AU48" s="63"/>
      <c r="AV48" s="63"/>
      <c r="AW48" s="63"/>
      <c r="AX48" s="63"/>
      <c r="AY48" s="63"/>
      <c r="AZ48" s="63"/>
      <c r="BA48" s="63"/>
      <c r="BB48" s="63"/>
      <c r="BC48" s="63"/>
      <c r="BD48" s="63"/>
      <c r="BE48" s="63"/>
    </row>
    <row r="49" spans="21:57" ht="16" x14ac:dyDescent="0.2">
      <c r="AK49" s="63"/>
      <c r="AL49" s="63"/>
      <c r="AM49" s="63"/>
      <c r="AN49" s="63"/>
      <c r="AO49" s="63"/>
      <c r="AP49" s="63"/>
      <c r="AQ49" s="63"/>
      <c r="AR49" s="63"/>
      <c r="AS49" s="63"/>
      <c r="AT49" s="63"/>
      <c r="AU49" s="63"/>
      <c r="AV49" s="63"/>
      <c r="AW49" s="63"/>
      <c r="AX49" s="63"/>
      <c r="AY49" s="63"/>
      <c r="AZ49" s="63"/>
      <c r="BA49" s="63"/>
      <c r="BB49" s="63"/>
      <c r="BC49" s="63"/>
      <c r="BD49" s="63"/>
      <c r="BE49" s="63"/>
    </row>
    <row r="50" spans="21:57" ht="16" x14ac:dyDescent="0.2">
      <c r="AK50" s="63"/>
      <c r="AL50" s="63"/>
      <c r="AM50" s="63"/>
      <c r="AN50" s="63"/>
      <c r="AO50" s="63"/>
      <c r="AP50" s="63"/>
      <c r="AQ50" s="63"/>
      <c r="AR50" s="63"/>
      <c r="AS50" s="63"/>
      <c r="AT50" s="63"/>
      <c r="AU50" s="63"/>
      <c r="AV50" s="63"/>
      <c r="AW50" s="63"/>
      <c r="AX50" s="63"/>
      <c r="AY50" s="63"/>
      <c r="AZ50" s="63"/>
      <c r="BA50" s="63"/>
      <c r="BB50" s="63"/>
      <c r="BC50" s="63"/>
      <c r="BD50" s="63"/>
      <c r="BE50" s="63"/>
    </row>
    <row r="51" spans="21:57" ht="16" x14ac:dyDescent="0.2">
      <c r="AK51" s="63"/>
      <c r="AL51" s="63"/>
      <c r="AM51" s="63"/>
      <c r="AN51" s="63"/>
      <c r="AO51" s="63"/>
      <c r="AP51" s="63"/>
      <c r="AQ51" s="63"/>
      <c r="AR51" s="63"/>
      <c r="AS51" s="63"/>
      <c r="AT51" s="63"/>
      <c r="AU51" s="63"/>
      <c r="AV51" s="63"/>
      <c r="AW51" s="63"/>
      <c r="AX51" s="63"/>
      <c r="AY51" s="63"/>
      <c r="AZ51" s="63"/>
      <c r="BA51" s="63"/>
      <c r="BB51" s="63"/>
      <c r="BC51" s="63"/>
      <c r="BD51" s="63"/>
      <c r="BE51" s="63"/>
    </row>
    <row r="52" spans="21:57" ht="16" x14ac:dyDescent="0.2">
      <c r="AK52" s="63"/>
      <c r="AL52" s="63"/>
      <c r="AM52" s="63"/>
      <c r="AN52" s="63"/>
      <c r="AO52" s="63"/>
      <c r="AP52" s="63"/>
      <c r="AQ52" s="63"/>
      <c r="AR52" s="63"/>
      <c r="AS52" s="63"/>
      <c r="AT52" s="63"/>
      <c r="AU52" s="63"/>
      <c r="AV52" s="63"/>
      <c r="AW52" s="63"/>
      <c r="AX52" s="63"/>
      <c r="AY52" s="63"/>
      <c r="AZ52" s="63"/>
      <c r="BA52" s="63"/>
      <c r="BB52" s="63"/>
      <c r="BC52" s="63"/>
      <c r="BD52" s="63"/>
      <c r="BE52" s="63"/>
    </row>
    <row r="53" spans="21:57" ht="16" x14ac:dyDescent="0.2">
      <c r="AK53" s="63"/>
      <c r="AL53" s="63"/>
      <c r="AM53" s="63"/>
      <c r="AN53" s="63"/>
      <c r="AO53" s="63"/>
      <c r="AP53" s="63"/>
      <c r="AQ53" s="63"/>
      <c r="AR53" s="63"/>
      <c r="AS53" s="63"/>
      <c r="AT53" s="63"/>
      <c r="AU53" s="63"/>
      <c r="AV53" s="63"/>
      <c r="AW53" s="63"/>
      <c r="AX53" s="63"/>
      <c r="AY53" s="63"/>
      <c r="AZ53" s="63"/>
      <c r="BA53" s="63"/>
      <c r="BB53" s="63"/>
      <c r="BC53" s="63"/>
      <c r="BD53" s="63"/>
      <c r="BE53" s="63"/>
    </row>
    <row r="54" spans="21:57" ht="16" x14ac:dyDescent="0.2">
      <c r="U54" s="63"/>
      <c r="V54" s="63"/>
      <c r="W54" s="63"/>
      <c r="X54" s="63"/>
      <c r="Y54" s="63"/>
      <c r="Z54" s="63"/>
      <c r="AA54" s="63"/>
      <c r="AB54" s="63"/>
      <c r="AC54" s="63"/>
      <c r="AD54" s="63"/>
      <c r="AE54" s="63"/>
      <c r="AF54" s="63"/>
      <c r="AG54" s="63"/>
      <c r="AH54" s="63"/>
      <c r="AI54" s="63"/>
      <c r="AJ54" s="63"/>
      <c r="AK54" s="63"/>
      <c r="AL54" s="63"/>
      <c r="AM54" s="63"/>
      <c r="AN54" s="63"/>
      <c r="AO54" s="63"/>
      <c r="AP54" s="63"/>
      <c r="AQ54" s="63"/>
      <c r="AR54" s="63"/>
      <c r="AS54" s="63"/>
      <c r="AT54" s="63"/>
      <c r="AU54" s="63"/>
      <c r="AV54" s="63"/>
      <c r="AW54" s="63"/>
      <c r="AX54" s="63"/>
      <c r="AY54" s="63"/>
      <c r="AZ54" s="63"/>
      <c r="BA54" s="63"/>
      <c r="BB54" s="63"/>
      <c r="BC54" s="63"/>
      <c r="BD54" s="63"/>
      <c r="BE54" s="63"/>
    </row>
    <row r="55" spans="21:57" ht="16" x14ac:dyDescent="0.2">
      <c r="U55" s="63"/>
      <c r="V55" s="63"/>
      <c r="W55" s="63"/>
      <c r="X55" s="63"/>
      <c r="Y55" s="63"/>
      <c r="Z55" s="63"/>
      <c r="AA55" s="63"/>
      <c r="AB55" s="63"/>
      <c r="AC55" s="63"/>
      <c r="AD55" s="63"/>
      <c r="AE55" s="63"/>
      <c r="AF55" s="63"/>
      <c r="AG55" s="63"/>
      <c r="AH55" s="63"/>
      <c r="AI55" s="63"/>
      <c r="AJ55" s="63"/>
      <c r="AK55" s="63"/>
      <c r="AL55" s="63"/>
      <c r="AM55" s="63"/>
      <c r="AN55" s="63"/>
      <c r="AO55" s="63"/>
      <c r="AP55" s="63"/>
      <c r="AQ55" s="63"/>
      <c r="AR55" s="63"/>
      <c r="AS55" s="63"/>
      <c r="AT55" s="63"/>
      <c r="AU55" s="63"/>
      <c r="AV55" s="63"/>
      <c r="AW55" s="63"/>
      <c r="AX55" s="63"/>
      <c r="AY55" s="63"/>
      <c r="AZ55" s="63"/>
      <c r="BA55" s="63"/>
      <c r="BB55" s="63"/>
      <c r="BC55" s="63"/>
      <c r="BD55" s="63"/>
      <c r="BE55" s="63"/>
    </row>
    <row r="56" spans="21:57" ht="16" x14ac:dyDescent="0.2">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row>
    <row r="57" spans="21:57" ht="16" x14ac:dyDescent="0.2">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63"/>
      <c r="BC57" s="63"/>
      <c r="BD57" s="63"/>
      <c r="BE57" s="63"/>
    </row>
    <row r="58" spans="21:57" ht="16" x14ac:dyDescent="0.2">
      <c r="U58" s="63"/>
      <c r="V58" s="63"/>
      <c r="W58" s="63"/>
      <c r="X58" s="63"/>
      <c r="Y58" s="63"/>
      <c r="Z58" s="63"/>
      <c r="AA58" s="63"/>
      <c r="AB58" s="63"/>
      <c r="AC58" s="63"/>
      <c r="AD58" s="63"/>
      <c r="AE58" s="63"/>
      <c r="AF58" s="63"/>
      <c r="AG58" s="63"/>
      <c r="AH58" s="63"/>
      <c r="AI58" s="63"/>
      <c r="AJ58" s="63"/>
      <c r="AK58" s="63"/>
      <c r="AL58" s="63"/>
      <c r="AM58" s="63"/>
      <c r="AN58" s="63"/>
      <c r="AO58" s="63"/>
      <c r="AP58" s="63"/>
      <c r="AQ58" s="63"/>
      <c r="AR58" s="63"/>
      <c r="AS58" s="63"/>
      <c r="AT58" s="63"/>
      <c r="AU58" s="63"/>
      <c r="AV58" s="63"/>
      <c r="AW58" s="63"/>
      <c r="AX58" s="63"/>
      <c r="AY58" s="63"/>
      <c r="AZ58" s="63"/>
      <c r="BA58" s="63"/>
      <c r="BB58" s="63"/>
      <c r="BC58" s="63"/>
      <c r="BD58" s="63"/>
      <c r="BE58" s="63"/>
    </row>
    <row r="59" spans="21:57" ht="16" x14ac:dyDescent="0.2">
      <c r="U59" s="63"/>
      <c r="V59" s="63"/>
      <c r="W59" s="63"/>
      <c r="X59" s="63"/>
      <c r="Y59" s="63"/>
      <c r="Z59" s="63"/>
      <c r="AA59" s="63"/>
      <c r="AB59" s="63"/>
      <c r="AC59" s="63"/>
      <c r="AD59" s="63"/>
      <c r="AE59" s="63"/>
      <c r="AF59" s="63"/>
      <c r="AG59" s="63"/>
      <c r="AH59" s="63"/>
      <c r="AI59" s="63"/>
      <c r="AJ59" s="63"/>
      <c r="AK59" s="63"/>
      <c r="AL59" s="63"/>
      <c r="AM59" s="63"/>
      <c r="AN59" s="63"/>
      <c r="AO59" s="63"/>
      <c r="AP59" s="63"/>
      <c r="AQ59" s="63"/>
      <c r="AR59" s="63"/>
      <c r="AS59" s="63"/>
      <c r="AT59" s="63"/>
      <c r="AU59" s="63"/>
      <c r="AV59" s="63"/>
      <c r="AW59" s="63"/>
      <c r="AX59" s="63"/>
      <c r="AY59" s="63"/>
      <c r="AZ59" s="63"/>
      <c r="BA59" s="63"/>
      <c r="BB59" s="63"/>
      <c r="BC59" s="63"/>
      <c r="BD59" s="63"/>
      <c r="BE59" s="63"/>
    </row>
    <row r="60" spans="21:57" ht="16" x14ac:dyDescent="0.2">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row>
    <row r="61" spans="21:57" ht="16" x14ac:dyDescent="0.2">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row>
    <row r="62" spans="21:57" ht="16" x14ac:dyDescent="0.2">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row>
    <row r="63" spans="21:57" ht="16" x14ac:dyDescent="0.2">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row>
    <row r="64" spans="21:57" ht="16" x14ac:dyDescent="0.2">
      <c r="U64" s="63"/>
      <c r="V64" s="63"/>
      <c r="W64" s="63"/>
      <c r="X64" s="63"/>
      <c r="Y64" s="63"/>
      <c r="Z64" s="63"/>
      <c r="AA64" s="63"/>
      <c r="AB64" s="63"/>
      <c r="AC64" s="63"/>
      <c r="AD64" s="63"/>
      <c r="AE64" s="63"/>
      <c r="AF64" s="63"/>
      <c r="AG64" s="63"/>
      <c r="AH64" s="63"/>
      <c r="AI64" s="63"/>
      <c r="AJ64" s="63"/>
      <c r="AK64" s="63"/>
      <c r="AL64" s="63"/>
      <c r="AM64" s="63"/>
      <c r="AN64" s="63"/>
      <c r="AO64" s="63"/>
      <c r="AP64" s="63"/>
      <c r="AQ64" s="63"/>
      <c r="AR64" s="63"/>
      <c r="AS64" s="63"/>
      <c r="AT64" s="63"/>
      <c r="AU64" s="63"/>
      <c r="AV64" s="63"/>
      <c r="AW64" s="63"/>
      <c r="AX64" s="63"/>
      <c r="AY64" s="63"/>
      <c r="AZ64" s="63"/>
      <c r="BA64" s="63"/>
      <c r="BB64" s="63"/>
      <c r="BC64" s="63"/>
      <c r="BD64" s="63"/>
      <c r="BE64" s="63"/>
    </row>
    <row r="65" spans="2:57" ht="16" x14ac:dyDescent="0.2">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3"/>
    </row>
    <row r="66" spans="2:57" ht="16" x14ac:dyDescent="0.2">
      <c r="U66" s="63"/>
      <c r="V66" s="63"/>
      <c r="W66" s="63"/>
      <c r="X66" s="63"/>
      <c r="Y66" s="63"/>
      <c r="Z66" s="63"/>
      <c r="AA66" s="63"/>
      <c r="AB66" s="63"/>
      <c r="AC66" s="63"/>
      <c r="AD66" s="63"/>
      <c r="AE66" s="63"/>
      <c r="AF66" s="63"/>
      <c r="AG66" s="63"/>
      <c r="AH66" s="63"/>
      <c r="AI66" s="63"/>
      <c r="AJ66" s="63"/>
      <c r="AK66" s="63"/>
      <c r="AL66" s="63"/>
      <c r="AM66" s="63"/>
      <c r="AN66" s="63"/>
      <c r="AO66" s="63"/>
      <c r="AP66" s="63"/>
      <c r="AQ66" s="63"/>
      <c r="AR66" s="63"/>
      <c r="AS66" s="63"/>
      <c r="AT66" s="63"/>
      <c r="AU66" s="63"/>
      <c r="AV66" s="63"/>
      <c r="AW66" s="63"/>
      <c r="AX66" s="63"/>
      <c r="AY66" s="63"/>
      <c r="AZ66" s="63"/>
      <c r="BA66" s="63"/>
      <c r="BB66" s="63"/>
      <c r="BC66" s="63"/>
      <c r="BD66" s="63"/>
      <c r="BE66" s="63"/>
    </row>
    <row r="67" spans="2:57" ht="16" x14ac:dyDescent="0.2">
      <c r="BA67" s="63"/>
      <c r="BB67" s="63"/>
      <c r="BC67" s="63"/>
      <c r="BD67" s="63"/>
      <c r="BE67" s="63"/>
    </row>
    <row r="68" spans="2:57" ht="16" x14ac:dyDescent="0.2">
      <c r="BA68" s="63"/>
      <c r="BB68" s="63"/>
      <c r="BC68" s="63"/>
      <c r="BD68" s="63"/>
      <c r="BE68" s="63"/>
    </row>
    <row r="71" spans="2:57" x14ac:dyDescent="0.2">
      <c r="C71" s="33"/>
      <c r="D71" s="33"/>
      <c r="G71" s="33"/>
      <c r="H71" s="33"/>
      <c r="K71" s="33"/>
      <c r="L71" s="33"/>
      <c r="O71" s="33"/>
      <c r="P71" s="33"/>
    </row>
    <row r="73" spans="2:57" ht="16" thickBot="1" x14ac:dyDescent="0.25">
      <c r="B73" s="323" t="s">
        <v>175</v>
      </c>
      <c r="C73" s="323"/>
      <c r="D73" s="323"/>
      <c r="E73" s="323"/>
      <c r="F73" s="323"/>
      <c r="G73" s="323"/>
      <c r="H73" s="243"/>
      <c r="I73" s="323" t="s">
        <v>267</v>
      </c>
      <c r="J73" s="323"/>
      <c r="K73" s="323"/>
      <c r="L73" s="323"/>
      <c r="M73" s="323"/>
      <c r="N73" s="323"/>
      <c r="O73" s="243"/>
      <c r="P73" s="243"/>
      <c r="Q73" s="243"/>
    </row>
    <row r="74" spans="2:57" ht="16" thickBot="1" x14ac:dyDescent="0.25">
      <c r="B74" s="234" t="s">
        <v>226</v>
      </c>
      <c r="C74" s="234" t="s">
        <v>227</v>
      </c>
      <c r="D74" s="235" t="s">
        <v>6</v>
      </c>
      <c r="E74" s="234" t="s">
        <v>5</v>
      </c>
      <c r="F74" s="234" t="s">
        <v>8</v>
      </c>
      <c r="G74" s="236" t="s">
        <v>7</v>
      </c>
      <c r="H74" s="227"/>
      <c r="I74" s="234" t="s">
        <v>208</v>
      </c>
      <c r="J74" s="234" t="s">
        <v>227</v>
      </c>
      <c r="K74" s="234" t="s">
        <v>8</v>
      </c>
      <c r="L74" s="234" t="s">
        <v>248</v>
      </c>
      <c r="M74" s="234" t="s">
        <v>7</v>
      </c>
      <c r="N74" s="244" t="s">
        <v>248</v>
      </c>
      <c r="O74" s="227"/>
      <c r="P74" s="227"/>
      <c r="Q74" s="227"/>
    </row>
    <row r="75" spans="2:57" ht="19" thickBot="1" x14ac:dyDescent="0.25">
      <c r="B75" s="237" t="s">
        <v>228</v>
      </c>
      <c r="C75" s="238" t="s">
        <v>229</v>
      </c>
      <c r="D75" s="239">
        <v>48</v>
      </c>
      <c r="E75" s="238">
        <v>54</v>
      </c>
      <c r="F75" s="238">
        <v>41</v>
      </c>
      <c r="G75" s="240">
        <v>53</v>
      </c>
      <c r="H75" s="227"/>
      <c r="I75" s="237" t="s">
        <v>249</v>
      </c>
      <c r="J75" s="238" t="s">
        <v>250</v>
      </c>
      <c r="K75" s="238">
        <v>82.91</v>
      </c>
      <c r="L75" s="238">
        <v>2.1999999999999999E-2</v>
      </c>
      <c r="M75" s="238">
        <v>8.8580000000000005</v>
      </c>
      <c r="N75" s="241">
        <v>0.13300000000000001</v>
      </c>
      <c r="O75" s="227"/>
      <c r="P75" s="227"/>
      <c r="Q75" s="227"/>
    </row>
    <row r="76" spans="2:57" ht="19" thickBot="1" x14ac:dyDescent="0.25">
      <c r="B76" s="237" t="s">
        <v>230</v>
      </c>
      <c r="C76" s="238" t="s">
        <v>229</v>
      </c>
      <c r="D76" s="239">
        <v>0.1</v>
      </c>
      <c r="E76" s="238">
        <v>0.2</v>
      </c>
      <c r="F76" s="238">
        <v>1.7</v>
      </c>
      <c r="G76" s="240">
        <v>0.1</v>
      </c>
      <c r="H76" s="243"/>
      <c r="I76" s="237" t="s">
        <v>225</v>
      </c>
      <c r="J76" s="238" t="s">
        <v>250</v>
      </c>
      <c r="K76" s="238">
        <v>23.39</v>
      </c>
      <c r="L76" s="238">
        <v>0.64800000000000002</v>
      </c>
      <c r="M76" s="238">
        <v>2.68</v>
      </c>
      <c r="N76" s="241">
        <v>0.52800000000000002</v>
      </c>
      <c r="O76" s="243"/>
      <c r="P76" s="243"/>
      <c r="Q76" s="243"/>
    </row>
    <row r="77" spans="2:57" ht="19" thickBot="1" x14ac:dyDescent="0.25">
      <c r="B77" s="237" t="s">
        <v>231</v>
      </c>
      <c r="C77" s="238" t="s">
        <v>229</v>
      </c>
      <c r="D77" s="239">
        <v>4.5</v>
      </c>
      <c r="E77" s="238">
        <v>8.9</v>
      </c>
      <c r="F77" s="238">
        <v>7.4</v>
      </c>
      <c r="G77" s="240">
        <v>2.6</v>
      </c>
      <c r="H77" s="228"/>
      <c r="I77" s="237" t="s">
        <v>224</v>
      </c>
      <c r="J77" s="238" t="s">
        <v>250</v>
      </c>
      <c r="K77" s="238">
        <v>204.2</v>
      </c>
      <c r="L77" s="238">
        <v>0.74299999999999999</v>
      </c>
      <c r="M77" s="238">
        <v>25.81</v>
      </c>
      <c r="N77" s="241">
        <v>0.41299999999999998</v>
      </c>
      <c r="O77" s="242"/>
      <c r="P77" s="228"/>
      <c r="Q77" s="228"/>
    </row>
    <row r="78" spans="2:57" ht="19" thickBot="1" x14ac:dyDescent="0.2">
      <c r="B78" s="237" t="s">
        <v>232</v>
      </c>
      <c r="C78" s="238" t="s">
        <v>229</v>
      </c>
      <c r="D78" s="239">
        <v>32</v>
      </c>
      <c r="E78" s="238">
        <v>18</v>
      </c>
      <c r="F78" s="238">
        <v>19</v>
      </c>
      <c r="G78" s="240">
        <v>32</v>
      </c>
      <c r="H78" s="165"/>
      <c r="I78" s="237" t="s">
        <v>120</v>
      </c>
      <c r="J78" s="238" t="s">
        <v>250</v>
      </c>
      <c r="K78" s="238">
        <v>813.5</v>
      </c>
      <c r="L78" s="238">
        <v>0.83799999999999997</v>
      </c>
      <c r="M78" s="238">
        <v>123.2</v>
      </c>
      <c r="N78" s="241">
        <v>0.46500000000000002</v>
      </c>
      <c r="O78" s="242"/>
      <c r="P78" s="165"/>
      <c r="Q78" s="165"/>
    </row>
    <row r="79" spans="2:57" ht="16" thickBot="1" x14ac:dyDescent="0.25">
      <c r="B79" s="237" t="s">
        <v>233</v>
      </c>
      <c r="C79" s="238" t="s">
        <v>229</v>
      </c>
      <c r="D79" s="239">
        <v>0.1</v>
      </c>
      <c r="E79" s="238">
        <v>0.1</v>
      </c>
      <c r="F79" s="238">
        <v>0.3</v>
      </c>
      <c r="G79" s="240">
        <v>0.12</v>
      </c>
      <c r="H79" s="38"/>
      <c r="I79" s="237" t="s">
        <v>223</v>
      </c>
      <c r="J79" s="238" t="s">
        <v>250</v>
      </c>
      <c r="K79" s="238">
        <v>119.6</v>
      </c>
      <c r="L79" s="238">
        <v>0.82799999999999996</v>
      </c>
      <c r="M79" s="238">
        <v>6.4930000000000003</v>
      </c>
      <c r="N79" s="241">
        <v>0.5</v>
      </c>
      <c r="O79" s="36"/>
      <c r="P79" s="38"/>
      <c r="Q79" s="37"/>
    </row>
    <row r="80" spans="2:57" ht="16" thickBot="1" x14ac:dyDescent="0.25">
      <c r="B80" s="237" t="s">
        <v>234</v>
      </c>
      <c r="C80" s="238" t="s">
        <v>229</v>
      </c>
      <c r="D80" s="239">
        <v>1.8</v>
      </c>
      <c r="E80" s="238">
        <v>1.6</v>
      </c>
      <c r="F80" s="238">
        <v>3.3</v>
      </c>
      <c r="G80" s="240">
        <v>3.7</v>
      </c>
      <c r="H80" s="38"/>
      <c r="I80" s="237" t="s">
        <v>214</v>
      </c>
      <c r="J80" s="238" t="s">
        <v>250</v>
      </c>
      <c r="K80" s="238">
        <v>401.6</v>
      </c>
      <c r="L80" s="238">
        <v>0.78700000000000003</v>
      </c>
      <c r="M80" s="238">
        <v>13.96</v>
      </c>
      <c r="N80" s="241">
        <v>0.74399999999999999</v>
      </c>
      <c r="O80" s="36"/>
      <c r="P80" s="38"/>
      <c r="Q80" s="37"/>
    </row>
    <row r="81" spans="2:17" ht="16" thickBot="1" x14ac:dyDescent="0.25">
      <c r="B81" s="237" t="s">
        <v>235</v>
      </c>
      <c r="C81" s="238" t="s">
        <v>229</v>
      </c>
      <c r="D81" s="239">
        <v>3</v>
      </c>
      <c r="E81" s="238">
        <v>2.7</v>
      </c>
      <c r="F81" s="238">
        <v>9.9</v>
      </c>
      <c r="G81" s="240">
        <v>4.5</v>
      </c>
      <c r="H81" s="38"/>
      <c r="I81" s="237" t="s">
        <v>121</v>
      </c>
      <c r="J81" s="238" t="s">
        <v>250</v>
      </c>
      <c r="K81" s="238">
        <v>389.2</v>
      </c>
      <c r="L81" s="238">
        <v>1.1439999999999999</v>
      </c>
      <c r="M81" s="238">
        <v>10.039999999999999</v>
      </c>
      <c r="N81" s="241">
        <v>0.72299999999999998</v>
      </c>
      <c r="O81" s="36"/>
      <c r="P81" s="38"/>
      <c r="Q81" s="37"/>
    </row>
    <row r="82" spans="2:17" ht="19" thickBot="1" x14ac:dyDescent="0.25">
      <c r="B82" s="237" t="s">
        <v>236</v>
      </c>
      <c r="C82" s="238" t="s">
        <v>229</v>
      </c>
      <c r="D82" s="239">
        <v>1.9</v>
      </c>
      <c r="E82" s="238">
        <v>3</v>
      </c>
      <c r="F82" s="238">
        <v>0.1</v>
      </c>
      <c r="G82" s="240">
        <v>0.1</v>
      </c>
      <c r="H82" s="38"/>
      <c r="I82" s="237" t="s">
        <v>132</v>
      </c>
      <c r="J82" s="238" t="s">
        <v>250</v>
      </c>
      <c r="K82" s="238">
        <v>2300</v>
      </c>
      <c r="L82" s="238">
        <v>0.378</v>
      </c>
      <c r="M82" s="238">
        <v>33.28</v>
      </c>
      <c r="N82" s="241">
        <v>0.39600000000000002</v>
      </c>
      <c r="O82" s="36"/>
      <c r="P82" s="38"/>
      <c r="Q82" s="37"/>
    </row>
    <row r="83" spans="2:17" ht="19" thickBot="1" x14ac:dyDescent="0.25">
      <c r="B83" s="237" t="s">
        <v>237</v>
      </c>
      <c r="C83" s="238" t="s">
        <v>229</v>
      </c>
      <c r="D83" s="239">
        <v>0.4</v>
      </c>
      <c r="E83" s="238">
        <v>2.6</v>
      </c>
      <c r="F83" s="238">
        <v>2</v>
      </c>
      <c r="G83" s="240">
        <v>0.4</v>
      </c>
      <c r="H83" s="38"/>
      <c r="I83" s="237" t="s">
        <v>219</v>
      </c>
      <c r="J83" s="238" t="s">
        <v>250</v>
      </c>
      <c r="K83" s="238">
        <v>51.95</v>
      </c>
      <c r="L83" s="238">
        <v>0.55400000000000005</v>
      </c>
      <c r="M83" s="238">
        <v>15.76</v>
      </c>
      <c r="N83" s="241">
        <v>0.39300000000000002</v>
      </c>
      <c r="O83" s="36"/>
      <c r="P83" s="38"/>
      <c r="Q83" s="37"/>
    </row>
    <row r="84" spans="2:17" ht="19" thickBot="1" x14ac:dyDescent="0.25">
      <c r="B84" s="237" t="s">
        <v>238</v>
      </c>
      <c r="C84" s="238" t="s">
        <v>229</v>
      </c>
      <c r="D84" s="239">
        <v>0.2</v>
      </c>
      <c r="E84" s="238">
        <v>0.1</v>
      </c>
      <c r="F84" s="238">
        <v>0.2</v>
      </c>
      <c r="G84" s="240">
        <v>0.2</v>
      </c>
      <c r="H84" s="38"/>
      <c r="I84" s="237" t="s">
        <v>218</v>
      </c>
      <c r="J84" s="238" t="s">
        <v>250</v>
      </c>
      <c r="K84" s="238">
        <v>129.4</v>
      </c>
      <c r="L84" s="238">
        <v>0.56100000000000005</v>
      </c>
      <c r="M84" s="238">
        <v>32.72</v>
      </c>
      <c r="N84" s="241">
        <v>0.45900000000000002</v>
      </c>
      <c r="O84" s="36"/>
      <c r="P84" s="38"/>
      <c r="Q84" s="37"/>
    </row>
    <row r="85" spans="2:17" ht="19" thickBot="1" x14ac:dyDescent="0.25">
      <c r="B85" s="237" t="s">
        <v>239</v>
      </c>
      <c r="C85" s="238" t="s">
        <v>229</v>
      </c>
      <c r="D85" s="239">
        <v>0.8</v>
      </c>
      <c r="E85" s="238">
        <v>1.2</v>
      </c>
      <c r="F85" s="238">
        <v>15</v>
      </c>
      <c r="G85" s="240">
        <v>3.2</v>
      </c>
      <c r="H85" s="38"/>
      <c r="I85" s="237" t="s">
        <v>213</v>
      </c>
      <c r="J85" s="238" t="s">
        <v>250</v>
      </c>
      <c r="K85" s="238">
        <v>15.2</v>
      </c>
      <c r="L85" s="238">
        <v>0.81100000000000005</v>
      </c>
      <c r="M85" s="238">
        <v>5.7469999999999999</v>
      </c>
      <c r="N85" s="241">
        <v>0.55600000000000005</v>
      </c>
      <c r="O85" s="36"/>
      <c r="P85" s="38"/>
      <c r="Q85" s="37"/>
    </row>
    <row r="86" spans="2:17" ht="19" thickBot="1" x14ac:dyDescent="0.25">
      <c r="B86" s="237" t="s">
        <v>240</v>
      </c>
      <c r="C86" s="238" t="s">
        <v>229</v>
      </c>
      <c r="D86" s="239">
        <v>0.1</v>
      </c>
      <c r="E86" s="238">
        <v>0.1</v>
      </c>
      <c r="F86" s="238">
        <v>0.2</v>
      </c>
      <c r="G86" s="240">
        <v>0</v>
      </c>
      <c r="H86" s="38"/>
      <c r="I86" s="237" t="s">
        <v>217</v>
      </c>
      <c r="J86" s="238" t="s">
        <v>250</v>
      </c>
      <c r="K86" s="238">
        <v>129.9</v>
      </c>
      <c r="L86" s="238">
        <v>0.81399999999999995</v>
      </c>
      <c r="M86" s="238">
        <v>14.77</v>
      </c>
      <c r="N86" s="241">
        <v>0.623</v>
      </c>
      <c r="O86" s="36"/>
      <c r="P86" s="38"/>
      <c r="Q86" s="37"/>
    </row>
    <row r="87" spans="2:17" ht="16" thickBot="1" x14ac:dyDescent="0.25">
      <c r="B87" s="237" t="s">
        <v>241</v>
      </c>
      <c r="C87" s="238" t="s">
        <v>229</v>
      </c>
      <c r="D87" s="239">
        <v>0</v>
      </c>
      <c r="E87" s="238">
        <v>0.1</v>
      </c>
      <c r="F87" s="238">
        <v>0</v>
      </c>
      <c r="G87" s="240">
        <v>0</v>
      </c>
      <c r="H87" s="38"/>
      <c r="I87" s="237" t="s">
        <v>216</v>
      </c>
      <c r="J87" s="238" t="s">
        <v>250</v>
      </c>
      <c r="K87" s="238">
        <v>18.920000000000002</v>
      </c>
      <c r="L87" s="238">
        <v>0.72299999999999998</v>
      </c>
      <c r="M87" s="238">
        <v>0.69599999999999995</v>
      </c>
      <c r="N87" s="241">
        <v>0.28000000000000003</v>
      </c>
      <c r="O87" s="36"/>
      <c r="P87" s="38"/>
      <c r="Q87" s="37"/>
    </row>
    <row r="88" spans="2:17" ht="19" thickBot="1" x14ac:dyDescent="0.25">
      <c r="B88" s="237" t="s">
        <v>242</v>
      </c>
      <c r="C88" s="238" t="s">
        <v>229</v>
      </c>
      <c r="D88" s="239">
        <v>5.7</v>
      </c>
      <c r="E88" s="238">
        <v>4.2</v>
      </c>
      <c r="F88" s="238" t="s">
        <v>211</v>
      </c>
      <c r="G88" s="240" t="s">
        <v>211</v>
      </c>
      <c r="H88" s="38"/>
      <c r="I88" s="237" t="s">
        <v>117</v>
      </c>
      <c r="J88" s="238" t="s">
        <v>250</v>
      </c>
      <c r="K88" s="238">
        <v>349</v>
      </c>
      <c r="L88" s="238">
        <v>0.66400000000000003</v>
      </c>
      <c r="M88" s="238">
        <v>33.770000000000003</v>
      </c>
      <c r="N88" s="241">
        <v>0.37</v>
      </c>
      <c r="O88" s="36"/>
      <c r="P88" s="38"/>
      <c r="Q88" s="37"/>
    </row>
    <row r="89" spans="2:17" ht="16" thickBot="1" x14ac:dyDescent="0.25">
      <c r="B89" s="237" t="s">
        <v>212</v>
      </c>
      <c r="C89" s="238" t="s">
        <v>229</v>
      </c>
      <c r="D89" s="239">
        <v>0.9</v>
      </c>
      <c r="E89" s="238">
        <v>3.1</v>
      </c>
      <c r="F89" s="238" t="s">
        <v>211</v>
      </c>
      <c r="G89" s="240" t="s">
        <v>211</v>
      </c>
      <c r="H89" s="38"/>
      <c r="I89" s="237" t="s">
        <v>251</v>
      </c>
      <c r="J89" s="238" t="s">
        <v>250</v>
      </c>
      <c r="K89" s="238">
        <v>18.82</v>
      </c>
      <c r="L89" s="238">
        <v>0.81299999999999994</v>
      </c>
      <c r="M89" s="238">
        <v>3.3919999999999999</v>
      </c>
      <c r="N89" s="241">
        <v>0.16500000000000001</v>
      </c>
      <c r="O89" s="37"/>
      <c r="P89" s="38"/>
      <c r="Q89" s="37"/>
    </row>
    <row r="90" spans="2:17" ht="16" thickBot="1" x14ac:dyDescent="0.25">
      <c r="B90" s="237" t="s">
        <v>213</v>
      </c>
      <c r="C90" s="238" t="s">
        <v>243</v>
      </c>
      <c r="D90" s="239">
        <v>94</v>
      </c>
      <c r="E90" s="238">
        <v>1979</v>
      </c>
      <c r="F90" s="238"/>
      <c r="G90" s="240"/>
      <c r="H90" s="38"/>
      <c r="I90" s="237" t="s">
        <v>252</v>
      </c>
      <c r="J90" s="238" t="s">
        <v>250</v>
      </c>
      <c r="K90" s="238">
        <v>44.54</v>
      </c>
      <c r="L90" s="238">
        <v>0.41499999999999998</v>
      </c>
      <c r="M90" s="238">
        <v>6.8090000000000002</v>
      </c>
      <c r="N90" s="241">
        <v>0.20899999999999999</v>
      </c>
      <c r="O90" s="37"/>
      <c r="P90" s="38"/>
      <c r="Q90" s="37"/>
    </row>
    <row r="91" spans="2:17" ht="16" thickBot="1" x14ac:dyDescent="0.25">
      <c r="B91" s="237" t="s">
        <v>132</v>
      </c>
      <c r="C91" s="238" t="s">
        <v>243</v>
      </c>
      <c r="D91" s="238">
        <v>72</v>
      </c>
      <c r="E91" s="238">
        <v>94</v>
      </c>
      <c r="F91" s="238">
        <v>1979</v>
      </c>
      <c r="G91" s="241">
        <v>36</v>
      </c>
      <c r="I91" s="237" t="s">
        <v>253</v>
      </c>
      <c r="J91" s="238" t="s">
        <v>250</v>
      </c>
      <c r="K91" s="238">
        <v>5.9710000000000001</v>
      </c>
      <c r="L91" s="238">
        <v>1.512</v>
      </c>
      <c r="M91" s="238">
        <v>0.85599999999999998</v>
      </c>
      <c r="N91" s="241">
        <v>0.747</v>
      </c>
      <c r="O91" s="37"/>
      <c r="P91" s="38"/>
      <c r="Q91" s="37"/>
    </row>
    <row r="92" spans="2:17" ht="16" thickBot="1" x14ac:dyDescent="0.25">
      <c r="B92" s="237" t="s">
        <v>121</v>
      </c>
      <c r="C92" s="238" t="s">
        <v>243</v>
      </c>
      <c r="D92" s="238">
        <v>83</v>
      </c>
      <c r="E92" s="238">
        <v>54</v>
      </c>
      <c r="F92" s="238">
        <v>312</v>
      </c>
      <c r="G92" s="241">
        <v>13</v>
      </c>
      <c r="I92" s="237" t="s">
        <v>254</v>
      </c>
      <c r="J92" s="238" t="s">
        <v>250</v>
      </c>
      <c r="K92" s="238">
        <v>25.39</v>
      </c>
      <c r="L92" s="238">
        <v>0.26700000000000002</v>
      </c>
      <c r="M92" s="238">
        <v>3.6230000000000002</v>
      </c>
      <c r="N92" s="241">
        <v>0.46300000000000002</v>
      </c>
      <c r="O92" s="37"/>
      <c r="P92" s="37"/>
      <c r="Q92" s="41"/>
    </row>
    <row r="93" spans="2:17" ht="16" thickBot="1" x14ac:dyDescent="0.25">
      <c r="B93" s="237" t="s">
        <v>214</v>
      </c>
      <c r="C93" s="238" t="s">
        <v>243</v>
      </c>
      <c r="D93" s="238">
        <v>194</v>
      </c>
      <c r="E93" s="238">
        <v>248</v>
      </c>
      <c r="F93" s="238">
        <v>317</v>
      </c>
      <c r="G93" s="241">
        <v>8</v>
      </c>
      <c r="I93" s="237" t="s">
        <v>255</v>
      </c>
      <c r="J93" s="238" t="s">
        <v>250</v>
      </c>
      <c r="K93" s="238">
        <v>5.58</v>
      </c>
      <c r="L93" s="238">
        <v>1.26</v>
      </c>
      <c r="M93" s="238">
        <v>0.82499999999999996</v>
      </c>
      <c r="N93" s="241">
        <v>0.66200000000000003</v>
      </c>
    </row>
    <row r="94" spans="2:17" ht="16" thickBot="1" x14ac:dyDescent="0.25">
      <c r="B94" s="237" t="s">
        <v>215</v>
      </c>
      <c r="C94" s="238" t="s">
        <v>243</v>
      </c>
      <c r="D94" s="238">
        <v>34</v>
      </c>
      <c r="E94" s="238">
        <v>52</v>
      </c>
      <c r="F94" s="238">
        <v>6</v>
      </c>
      <c r="G94" s="241">
        <v>3</v>
      </c>
      <c r="I94" s="237" t="s">
        <v>256</v>
      </c>
      <c r="J94" s="238" t="s">
        <v>250</v>
      </c>
      <c r="K94" s="238">
        <v>1.8160000000000001</v>
      </c>
      <c r="L94" s="238">
        <v>1.7000000000000001E-2</v>
      </c>
      <c r="M94" s="238">
        <v>0.47699999999999998</v>
      </c>
      <c r="N94" s="241">
        <v>0.40200000000000002</v>
      </c>
    </row>
    <row r="95" spans="2:17" ht="16" thickBot="1" x14ac:dyDescent="0.25">
      <c r="B95" s="237" t="s">
        <v>216</v>
      </c>
      <c r="C95" s="238" t="s">
        <v>243</v>
      </c>
      <c r="D95" s="238">
        <v>2</v>
      </c>
      <c r="E95" s="238">
        <v>6</v>
      </c>
      <c r="F95" s="238">
        <v>20</v>
      </c>
      <c r="G95" s="241" t="s">
        <v>244</v>
      </c>
      <c r="I95" s="237" t="s">
        <v>257</v>
      </c>
      <c r="J95" s="238" t="s">
        <v>250</v>
      </c>
      <c r="K95" s="238">
        <v>0.76300000000000001</v>
      </c>
      <c r="L95" s="238">
        <v>0.26</v>
      </c>
      <c r="M95" s="238">
        <v>0.13</v>
      </c>
      <c r="N95" s="241">
        <v>1.0620000000000001</v>
      </c>
    </row>
    <row r="96" spans="2:17" ht="16" thickBot="1" x14ac:dyDescent="0.25">
      <c r="B96" s="237" t="s">
        <v>217</v>
      </c>
      <c r="C96" s="238" t="s">
        <v>243</v>
      </c>
      <c r="D96" s="238">
        <v>61</v>
      </c>
      <c r="E96" s="238">
        <v>103</v>
      </c>
      <c r="F96" s="238">
        <v>148</v>
      </c>
      <c r="G96" s="241">
        <v>18</v>
      </c>
      <c r="I96" s="237" t="s">
        <v>258</v>
      </c>
      <c r="J96" s="238" t="s">
        <v>250</v>
      </c>
      <c r="K96" s="238">
        <v>4.7789999999999999</v>
      </c>
      <c r="L96" s="238">
        <v>0.53100000000000003</v>
      </c>
      <c r="M96" s="238">
        <v>0.873</v>
      </c>
      <c r="N96" s="241">
        <v>0.95599999999999996</v>
      </c>
    </row>
    <row r="97" spans="2:14" ht="16" thickBot="1" x14ac:dyDescent="0.25">
      <c r="B97" s="237" t="s">
        <v>213</v>
      </c>
      <c r="C97" s="238" t="s">
        <v>243</v>
      </c>
      <c r="D97" s="238">
        <v>15</v>
      </c>
      <c r="E97" s="238">
        <v>15</v>
      </c>
      <c r="F97" s="238">
        <v>24</v>
      </c>
      <c r="G97" s="241">
        <v>13</v>
      </c>
      <c r="I97" s="237" t="s">
        <v>259</v>
      </c>
      <c r="J97" s="238" t="s">
        <v>250</v>
      </c>
      <c r="K97" s="238">
        <v>3.71</v>
      </c>
      <c r="L97" s="238">
        <v>1.3129999999999999</v>
      </c>
      <c r="M97" s="238">
        <v>0.84899999999999998</v>
      </c>
      <c r="N97" s="241">
        <v>0.996</v>
      </c>
    </row>
    <row r="98" spans="2:14" ht="16" thickBot="1" x14ac:dyDescent="0.25">
      <c r="B98" s="237" t="s">
        <v>218</v>
      </c>
      <c r="C98" s="238" t="s">
        <v>243</v>
      </c>
      <c r="D98" s="238">
        <v>354</v>
      </c>
      <c r="E98" s="238">
        <v>596</v>
      </c>
      <c r="F98" s="238">
        <v>138</v>
      </c>
      <c r="G98" s="241">
        <v>34</v>
      </c>
      <c r="I98" s="237" t="s">
        <v>260</v>
      </c>
      <c r="J98" s="238" t="s">
        <v>250</v>
      </c>
      <c r="K98" s="238">
        <v>0.745</v>
      </c>
      <c r="L98" s="238">
        <v>0.41899999999999998</v>
      </c>
      <c r="M98" s="238">
        <v>0.17699999999999999</v>
      </c>
      <c r="N98" s="241">
        <v>0.99</v>
      </c>
    </row>
    <row r="99" spans="2:14" ht="16" thickBot="1" x14ac:dyDescent="0.25">
      <c r="B99" s="237" t="s">
        <v>219</v>
      </c>
      <c r="C99" s="238" t="s">
        <v>243</v>
      </c>
      <c r="D99" s="238">
        <v>22</v>
      </c>
      <c r="E99" s="238">
        <v>84</v>
      </c>
      <c r="F99" s="238">
        <v>58</v>
      </c>
      <c r="G99" s="241">
        <v>19</v>
      </c>
      <c r="I99" s="237" t="s">
        <v>261</v>
      </c>
      <c r="J99" s="238" t="s">
        <v>250</v>
      </c>
      <c r="K99" s="238">
        <v>1.7230000000000001</v>
      </c>
      <c r="L99" s="238">
        <v>0.78300000000000003</v>
      </c>
      <c r="M99" s="238">
        <v>0.55400000000000005</v>
      </c>
      <c r="N99" s="241">
        <v>1.085</v>
      </c>
    </row>
    <row r="100" spans="2:14" ht="16" thickBot="1" x14ac:dyDescent="0.25">
      <c r="B100" s="237" t="s">
        <v>220</v>
      </c>
      <c r="C100" s="238" t="s">
        <v>243</v>
      </c>
      <c r="D100" s="238" t="s">
        <v>245</v>
      </c>
      <c r="E100" s="238" t="s">
        <v>245</v>
      </c>
      <c r="F100" s="238" t="s">
        <v>246</v>
      </c>
      <c r="G100" s="241" t="s">
        <v>246</v>
      </c>
      <c r="I100" s="237" t="s">
        <v>262</v>
      </c>
      <c r="J100" s="238" t="s">
        <v>250</v>
      </c>
      <c r="K100" s="238">
        <v>0.33700000000000002</v>
      </c>
      <c r="L100" s="238">
        <v>0.06</v>
      </c>
      <c r="M100" s="238">
        <v>7.8E-2</v>
      </c>
      <c r="N100" s="241">
        <v>1.6339999999999999</v>
      </c>
    </row>
    <row r="101" spans="2:14" ht="16" thickBot="1" x14ac:dyDescent="0.25">
      <c r="B101" s="237" t="s">
        <v>221</v>
      </c>
      <c r="C101" s="238" t="s">
        <v>243</v>
      </c>
      <c r="D101" s="238">
        <v>3</v>
      </c>
      <c r="E101" s="238">
        <v>2</v>
      </c>
      <c r="F101" s="238" t="s">
        <v>246</v>
      </c>
      <c r="G101" s="241" t="s">
        <v>246</v>
      </c>
      <c r="I101" s="237" t="s">
        <v>263</v>
      </c>
      <c r="J101" s="238" t="s">
        <v>250</v>
      </c>
      <c r="K101" s="238">
        <v>1.4419999999999999</v>
      </c>
      <c r="L101" s="238">
        <v>0.61599999999999999</v>
      </c>
      <c r="M101" s="238">
        <v>0.54100000000000004</v>
      </c>
      <c r="N101" s="241">
        <v>1.659</v>
      </c>
    </row>
    <row r="102" spans="2:14" ht="16" thickBot="1" x14ac:dyDescent="0.25">
      <c r="B102" s="237" t="s">
        <v>222</v>
      </c>
      <c r="C102" s="238" t="s">
        <v>243</v>
      </c>
      <c r="D102" s="238">
        <v>10</v>
      </c>
      <c r="E102" s="238">
        <v>23</v>
      </c>
      <c r="F102" s="238">
        <v>50</v>
      </c>
      <c r="G102" s="241">
        <v>15</v>
      </c>
      <c r="I102" s="237" t="s">
        <v>264</v>
      </c>
      <c r="J102" s="238" t="s">
        <v>250</v>
      </c>
      <c r="K102" s="238">
        <v>0.317</v>
      </c>
      <c r="L102" s="238">
        <v>0.92800000000000005</v>
      </c>
      <c r="M102" s="238">
        <v>0.09</v>
      </c>
      <c r="N102" s="241">
        <v>1.474</v>
      </c>
    </row>
    <row r="103" spans="2:14" ht="16" thickBot="1" x14ac:dyDescent="0.25">
      <c r="B103" s="237" t="s">
        <v>223</v>
      </c>
      <c r="C103" s="238" t="s">
        <v>243</v>
      </c>
      <c r="D103" s="238">
        <v>20</v>
      </c>
      <c r="E103" s="238">
        <v>17</v>
      </c>
      <c r="F103" s="238">
        <v>118</v>
      </c>
      <c r="G103" s="241">
        <v>28</v>
      </c>
      <c r="I103" s="237" t="s">
        <v>265</v>
      </c>
      <c r="J103" s="238" t="s">
        <v>250</v>
      </c>
      <c r="K103" s="238">
        <v>3.5550000000000002</v>
      </c>
      <c r="L103" s="238">
        <v>0.96099999999999997</v>
      </c>
      <c r="M103" s="238">
        <v>0.39300000000000002</v>
      </c>
      <c r="N103" s="241">
        <v>1.444</v>
      </c>
    </row>
    <row r="104" spans="2:14" ht="16" thickBot="1" x14ac:dyDescent="0.25">
      <c r="B104" s="237" t="s">
        <v>126</v>
      </c>
      <c r="C104" s="238" t="s">
        <v>243</v>
      </c>
      <c r="D104" s="238">
        <v>596</v>
      </c>
      <c r="E104" s="238">
        <v>627</v>
      </c>
      <c r="F104" s="238">
        <v>2470</v>
      </c>
      <c r="G104" s="241">
        <v>1239</v>
      </c>
      <c r="I104" s="237" t="s">
        <v>266</v>
      </c>
      <c r="J104" s="238" t="s">
        <v>250</v>
      </c>
      <c r="K104" s="238">
        <v>1.3160000000000001</v>
      </c>
      <c r="L104" s="238">
        <v>1.278</v>
      </c>
      <c r="M104" s="238">
        <v>7.1999999999999995E-2</v>
      </c>
      <c r="N104" s="241">
        <v>3.4969999999999999</v>
      </c>
    </row>
    <row r="105" spans="2:14" ht="16" thickBot="1" x14ac:dyDescent="0.25">
      <c r="B105" s="237" t="s">
        <v>120</v>
      </c>
      <c r="C105" s="238" t="s">
        <v>243</v>
      </c>
      <c r="D105" s="238">
        <v>543</v>
      </c>
      <c r="E105" s="238">
        <v>687</v>
      </c>
      <c r="F105" s="238">
        <v>1118</v>
      </c>
      <c r="G105" s="241">
        <v>161</v>
      </c>
      <c r="I105" s="237" t="s">
        <v>222</v>
      </c>
      <c r="J105" s="238" t="s">
        <v>250</v>
      </c>
      <c r="K105" s="238">
        <v>56.22</v>
      </c>
      <c r="L105" s="238">
        <v>0.46800000000000003</v>
      </c>
      <c r="M105" s="238">
        <v>13.03</v>
      </c>
      <c r="N105" s="241">
        <v>0.72199999999999998</v>
      </c>
    </row>
    <row r="106" spans="2:14" ht="16" thickBot="1" x14ac:dyDescent="0.25">
      <c r="B106" s="237" t="s">
        <v>224</v>
      </c>
      <c r="C106" s="238" t="s">
        <v>243</v>
      </c>
      <c r="D106" s="238">
        <v>68</v>
      </c>
      <c r="E106" s="238">
        <v>66</v>
      </c>
      <c r="F106" s="238">
        <v>252</v>
      </c>
      <c r="G106" s="241">
        <v>31</v>
      </c>
      <c r="I106" s="237" t="s">
        <v>221</v>
      </c>
      <c r="J106" s="238" t="s">
        <v>250</v>
      </c>
      <c r="K106" s="238">
        <v>2.2839999999999998</v>
      </c>
      <c r="L106" s="238">
        <v>0.54100000000000004</v>
      </c>
      <c r="M106" s="238">
        <v>0.68700000000000006</v>
      </c>
      <c r="N106" s="241">
        <v>0.747</v>
      </c>
    </row>
    <row r="107" spans="2:14" ht="16" thickBot="1" x14ac:dyDescent="0.25">
      <c r="B107" s="237" t="s">
        <v>122</v>
      </c>
      <c r="C107" s="238" t="s">
        <v>243</v>
      </c>
      <c r="D107" s="238">
        <v>1454</v>
      </c>
      <c r="E107" s="238">
        <v>1194</v>
      </c>
      <c r="F107" s="238">
        <v>1458</v>
      </c>
      <c r="G107" s="241">
        <v>1292</v>
      </c>
      <c r="I107" s="237" t="s">
        <v>220</v>
      </c>
      <c r="J107" s="238" t="s">
        <v>250</v>
      </c>
      <c r="K107" s="238">
        <v>0.76900000000000002</v>
      </c>
      <c r="L107" s="238">
        <v>1.1240000000000001</v>
      </c>
      <c r="M107" s="238">
        <v>0.216</v>
      </c>
      <c r="N107" s="241">
        <v>0.91</v>
      </c>
    </row>
    <row r="108" spans="2:14" ht="16" thickBot="1" x14ac:dyDescent="0.25">
      <c r="B108" s="237" t="s">
        <v>129</v>
      </c>
      <c r="C108" s="238" t="s">
        <v>243</v>
      </c>
      <c r="D108" s="238">
        <v>7594</v>
      </c>
      <c r="E108" s="238">
        <v>7667</v>
      </c>
      <c r="F108" s="238">
        <v>19120</v>
      </c>
      <c r="G108" s="241">
        <v>3892</v>
      </c>
    </row>
    <row r="109" spans="2:14" ht="16" thickBot="1" x14ac:dyDescent="0.25">
      <c r="B109" s="237" t="s">
        <v>119</v>
      </c>
      <c r="C109" s="238" t="s">
        <v>243</v>
      </c>
      <c r="D109" s="238">
        <v>179</v>
      </c>
      <c r="E109" s="238">
        <v>266</v>
      </c>
      <c r="F109" s="238">
        <v>126</v>
      </c>
      <c r="G109" s="241">
        <v>416</v>
      </c>
    </row>
    <row r="110" spans="2:14" ht="16" thickBot="1" x14ac:dyDescent="0.25">
      <c r="B110" s="237" t="s">
        <v>225</v>
      </c>
      <c r="C110" s="238" t="s">
        <v>243</v>
      </c>
      <c r="D110" s="238">
        <v>6</v>
      </c>
      <c r="E110" s="238">
        <v>6</v>
      </c>
      <c r="F110" s="238">
        <v>39</v>
      </c>
      <c r="G110" s="241">
        <v>8</v>
      </c>
    </row>
    <row r="111" spans="2:14" ht="16" thickBot="1" x14ac:dyDescent="0.25">
      <c r="B111" s="237" t="s">
        <v>117</v>
      </c>
      <c r="C111" s="238" t="s">
        <v>243</v>
      </c>
      <c r="D111" s="238">
        <v>433</v>
      </c>
      <c r="E111" s="238">
        <v>648</v>
      </c>
      <c r="F111" s="238">
        <v>478</v>
      </c>
      <c r="G111" s="241" t="s">
        <v>247</v>
      </c>
    </row>
    <row r="112" spans="2:14" x14ac:dyDescent="0.2">
      <c r="B112" s="14"/>
    </row>
    <row r="113" spans="2:22" ht="69" customHeight="1" thickBot="1" x14ac:dyDescent="0.25">
      <c r="H113" s="339" t="s">
        <v>275</v>
      </c>
      <c r="I113" s="339"/>
      <c r="J113" s="339"/>
      <c r="K113" s="339"/>
      <c r="L113" s="339"/>
    </row>
    <row r="114" spans="2:22" ht="16" thickBot="1" x14ac:dyDescent="0.25">
      <c r="B114" s="229" t="s">
        <v>208</v>
      </c>
      <c r="C114" s="230" t="s">
        <v>6</v>
      </c>
      <c r="D114" s="230" t="s">
        <v>5</v>
      </c>
      <c r="E114" s="230" t="s">
        <v>8</v>
      </c>
      <c r="F114" s="230" t="s">
        <v>7</v>
      </c>
      <c r="H114" s="229" t="s">
        <v>208</v>
      </c>
      <c r="I114" s="230" t="s">
        <v>6</v>
      </c>
      <c r="J114" s="230" t="s">
        <v>5</v>
      </c>
      <c r="K114" s="230" t="s">
        <v>8</v>
      </c>
      <c r="L114" s="230" t="s">
        <v>7</v>
      </c>
    </row>
    <row r="115" spans="2:22" ht="16" thickBot="1" x14ac:dyDescent="0.25">
      <c r="B115" s="231" t="s">
        <v>116</v>
      </c>
      <c r="C115" s="232">
        <f>I115/100</f>
        <v>2.3963948486485705E-2</v>
      </c>
      <c r="D115" s="232">
        <f t="shared" ref="D115:F126" si="0">J115/100</f>
        <v>4.6945550843506115E-2</v>
      </c>
      <c r="E115" s="232">
        <f t="shared" si="0"/>
        <v>3.9361062330101754E-2</v>
      </c>
      <c r="F115" s="232">
        <f t="shared" si="0"/>
        <v>1.3867119913693082E-2</v>
      </c>
      <c r="H115" s="231" t="s">
        <v>116</v>
      </c>
      <c r="I115" s="338">
        <v>2.3963948486485704</v>
      </c>
      <c r="J115" s="338">
        <v>4.6945550843506112</v>
      </c>
      <c r="K115" s="338">
        <v>3.9361062330101757</v>
      </c>
      <c r="L115" s="338">
        <v>1.3867119913693082</v>
      </c>
      <c r="M115" s="38"/>
      <c r="N115" s="38"/>
      <c r="O115" s="37"/>
      <c r="P115" s="37"/>
      <c r="Q115" s="38"/>
      <c r="R115" s="37"/>
      <c r="S115" s="30"/>
      <c r="T115" s="37"/>
      <c r="U115" s="38"/>
      <c r="V115" s="37"/>
    </row>
    <row r="116" spans="2:22" ht="16" thickBot="1" x14ac:dyDescent="0.25">
      <c r="B116" s="231" t="s">
        <v>118</v>
      </c>
      <c r="C116" s="232">
        <f t="shared" ref="C116:C126" si="1">I116/100</f>
        <v>2.1335237500608444E-2</v>
      </c>
      <c r="D116" s="232">
        <f t="shared" si="0"/>
        <v>1.9561997786422775E-2</v>
      </c>
      <c r="E116" s="232">
        <f t="shared" si="0"/>
        <v>7.0907791279485349E-2</v>
      </c>
      <c r="F116" s="232">
        <f t="shared" si="0"/>
        <v>3.2007752790454723E-2</v>
      </c>
      <c r="H116" s="231" t="s">
        <v>118</v>
      </c>
      <c r="I116" s="338">
        <v>2.1335237500608444</v>
      </c>
      <c r="J116" s="338">
        <v>1.9561997786422776</v>
      </c>
      <c r="K116" s="338">
        <v>7.0907791279485348</v>
      </c>
      <c r="L116" s="338">
        <v>3.2007752790454722</v>
      </c>
      <c r="M116" s="38"/>
      <c r="N116" s="38"/>
      <c r="O116" s="37"/>
      <c r="P116" s="37"/>
      <c r="Q116" s="37"/>
      <c r="R116" s="37"/>
      <c r="S116" s="30"/>
      <c r="T116" s="37"/>
      <c r="U116" s="37"/>
      <c r="V116" s="37"/>
    </row>
    <row r="117" spans="2:22" ht="16" thickBot="1" x14ac:dyDescent="0.25">
      <c r="B117" s="231" t="s">
        <v>120</v>
      </c>
      <c r="C117" s="232">
        <f t="shared" si="1"/>
        <v>4.6776890858745324E-4</v>
      </c>
      <c r="D117" s="232">
        <f t="shared" si="0"/>
        <v>6.4339686447917929E-4</v>
      </c>
      <c r="E117" s="232">
        <f t="shared" si="0"/>
        <v>1.1133502512812856E-3</v>
      </c>
      <c r="F117" s="232" t="s">
        <v>209</v>
      </c>
      <c r="H117" s="231" t="s">
        <v>120</v>
      </c>
      <c r="I117" s="338">
        <v>4.6776890858745326E-2</v>
      </c>
      <c r="J117" s="338">
        <v>6.4339686447917932E-2</v>
      </c>
      <c r="K117" s="338">
        <v>0.11133502512812857</v>
      </c>
      <c r="L117" s="338">
        <v>1.710454296661193E-2</v>
      </c>
    </row>
    <row r="118" spans="2:22" ht="16" thickBot="1" x14ac:dyDescent="0.25">
      <c r="B118" s="231" t="s">
        <v>123</v>
      </c>
      <c r="C118" s="232">
        <f t="shared" si="1"/>
        <v>0.22483877139938716</v>
      </c>
      <c r="D118" s="232">
        <f t="shared" si="0"/>
        <v>0.12628849448665563</v>
      </c>
      <c r="E118" s="232">
        <f t="shared" si="0"/>
        <v>0.13091748427832919</v>
      </c>
      <c r="F118" s="232">
        <f t="shared" si="0"/>
        <v>0.22502031087748367</v>
      </c>
      <c r="H118" s="231" t="s">
        <v>123</v>
      </c>
      <c r="I118" s="338">
        <v>22.483877139938716</v>
      </c>
      <c r="J118" s="338">
        <v>12.628849448665562</v>
      </c>
      <c r="K118" s="338">
        <v>13.09174842783292</v>
      </c>
      <c r="L118" s="338">
        <v>22.502031087748367</v>
      </c>
    </row>
    <row r="119" spans="2:22" ht="16" thickBot="1" x14ac:dyDescent="0.25">
      <c r="B119" s="231" t="s">
        <v>124</v>
      </c>
      <c r="C119" s="232">
        <f t="shared" si="1"/>
        <v>3.6810764771151717E-3</v>
      </c>
      <c r="D119" s="232">
        <f t="shared" si="0"/>
        <v>2.1603704341833757E-2</v>
      </c>
      <c r="E119" s="232">
        <f t="shared" si="0"/>
        <v>1.6889801216548688E-2</v>
      </c>
      <c r="F119" s="232">
        <f t="shared" si="0"/>
        <v>3.240782130039976E-3</v>
      </c>
      <c r="H119" s="231" t="s">
        <v>124</v>
      </c>
      <c r="I119" s="338">
        <v>0.36810764771151716</v>
      </c>
      <c r="J119" s="338">
        <v>2.1603704341833758</v>
      </c>
      <c r="K119" s="338">
        <v>1.6889801216548688</v>
      </c>
      <c r="L119" s="338">
        <v>0.32407821300399758</v>
      </c>
    </row>
    <row r="120" spans="2:22" ht="16" thickBot="1" x14ac:dyDescent="0.25">
      <c r="B120" s="231" t="s">
        <v>125</v>
      </c>
      <c r="C120" s="232">
        <f t="shared" si="1"/>
        <v>1.0543969912693917E-2</v>
      </c>
      <c r="D120" s="232">
        <f t="shared" si="0"/>
        <v>9.6183748582286902E-3</v>
      </c>
      <c r="E120" s="232">
        <f t="shared" si="0"/>
        <v>2.0127089604201964E-2</v>
      </c>
      <c r="F120" s="232">
        <f t="shared" si="0"/>
        <v>2.2158123524144875E-2</v>
      </c>
      <c r="H120" s="231" t="s">
        <v>125</v>
      </c>
      <c r="I120" s="338">
        <v>1.0543969912693918</v>
      </c>
      <c r="J120" s="338">
        <v>0.96183748582286899</v>
      </c>
      <c r="K120" s="338">
        <v>2.0127089604201962</v>
      </c>
      <c r="L120" s="338">
        <v>2.2158123524144875</v>
      </c>
    </row>
    <row r="121" spans="2:22" ht="16" thickBot="1" x14ac:dyDescent="0.25">
      <c r="B121" s="231" t="s">
        <v>126</v>
      </c>
      <c r="C121" s="232">
        <f t="shared" si="1"/>
        <v>6.3540059181358907E-4</v>
      </c>
      <c r="D121" s="232">
        <f t="shared" si="0"/>
        <v>6.093989951134447E-4</v>
      </c>
      <c r="E121" s="232">
        <f t="shared" si="0"/>
        <v>2.1122000675904019E-3</v>
      </c>
      <c r="F121" s="232">
        <f t="shared" si="0"/>
        <v>1.1691568963873797E-3</v>
      </c>
      <c r="H121" s="231" t="s">
        <v>126</v>
      </c>
      <c r="I121" s="338">
        <v>6.354005918135891E-2</v>
      </c>
      <c r="J121" s="338">
        <v>6.0939899511344466E-2</v>
      </c>
      <c r="K121" s="338">
        <v>0.21122000675904021</v>
      </c>
      <c r="L121" s="338">
        <v>0.11691568963873797</v>
      </c>
    </row>
    <row r="122" spans="2:22" ht="16" thickBot="1" x14ac:dyDescent="0.25">
      <c r="B122" s="231" t="s">
        <v>127</v>
      </c>
      <c r="C122" s="232">
        <f t="shared" si="1"/>
        <v>1.4201297500118551E-2</v>
      </c>
      <c r="D122" s="232">
        <f t="shared" si="0"/>
        <v>2.1939369418430724E-2</v>
      </c>
      <c r="E122" s="232">
        <f t="shared" si="0"/>
        <v>8.160237388724034E-4</v>
      </c>
      <c r="F122" s="232">
        <f t="shared" si="0"/>
        <v>6.2057749372289425E-4</v>
      </c>
      <c r="H122" s="231" t="s">
        <v>127</v>
      </c>
      <c r="I122" s="338">
        <v>1.420129750011855</v>
      </c>
      <c r="J122" s="338">
        <v>2.1939369418430723</v>
      </c>
      <c r="K122" s="338">
        <v>8.1602373887240343E-2</v>
      </c>
      <c r="L122" s="338">
        <v>6.2057749372289424E-2</v>
      </c>
    </row>
    <row r="123" spans="2:22" ht="16" thickBot="1" x14ac:dyDescent="0.25">
      <c r="B123" s="231" t="s">
        <v>128</v>
      </c>
      <c r="C123" s="232">
        <f t="shared" si="1"/>
        <v>9.2069267663528911E-4</v>
      </c>
      <c r="D123" s="232">
        <f t="shared" si="0"/>
        <v>5.9466014766586467E-4</v>
      </c>
      <c r="E123" s="232">
        <f t="shared" si="0"/>
        <v>7.0619787823244227E-4</v>
      </c>
      <c r="F123" s="232">
        <f t="shared" si="0"/>
        <v>6.5462162869861214E-4</v>
      </c>
      <c r="H123" s="231" t="s">
        <v>128</v>
      </c>
      <c r="I123" s="338">
        <v>9.2069267663528909E-2</v>
      </c>
      <c r="J123" s="338">
        <v>5.9466014766586466E-2</v>
      </c>
      <c r="K123" s="338">
        <v>7.0619787823244226E-2</v>
      </c>
      <c r="L123" s="338">
        <v>6.5462162869861215E-2</v>
      </c>
    </row>
    <row r="124" spans="2:22" ht="16" thickBot="1" x14ac:dyDescent="0.25">
      <c r="B124" s="231" t="s">
        <v>129</v>
      </c>
      <c r="C124" s="232">
        <f t="shared" si="1"/>
        <v>2.3E-2</v>
      </c>
      <c r="D124" s="232">
        <f t="shared" si="0"/>
        <v>3.2000000000000001E-2</v>
      </c>
      <c r="E124" s="232">
        <f t="shared" si="0"/>
        <v>9.5000000000000001E-2</v>
      </c>
      <c r="F124" s="232">
        <f t="shared" si="0"/>
        <v>0.02</v>
      </c>
      <c r="H124" s="231" t="s">
        <v>129</v>
      </c>
      <c r="I124" s="338">
        <v>2.2999999999999998</v>
      </c>
      <c r="J124" s="338">
        <v>3.2</v>
      </c>
      <c r="K124" s="338">
        <v>9.5</v>
      </c>
      <c r="L124" s="338">
        <v>2</v>
      </c>
    </row>
    <row r="125" spans="2:22" ht="16" thickBot="1" x14ac:dyDescent="0.25">
      <c r="B125" s="231" t="s">
        <v>130</v>
      </c>
      <c r="C125" s="232">
        <f t="shared" si="1"/>
        <v>0.22390218313283319</v>
      </c>
      <c r="D125" s="232">
        <f t="shared" si="0"/>
        <v>0.25024538037370248</v>
      </c>
      <c r="E125" s="232">
        <f t="shared" si="0"/>
        <v>0.18995168343085889</v>
      </c>
      <c r="F125" s="232">
        <f t="shared" si="0"/>
        <v>0.24691308084240354</v>
      </c>
      <c r="H125" s="231" t="s">
        <v>130</v>
      </c>
      <c r="I125" s="338">
        <v>22.39021831328332</v>
      </c>
      <c r="J125" s="338">
        <v>25.024538037370245</v>
      </c>
      <c r="K125" s="338">
        <v>18.99516834308589</v>
      </c>
      <c r="L125" s="338">
        <v>24.691308084240355</v>
      </c>
    </row>
    <row r="126" spans="2:22" ht="16" thickBot="1" x14ac:dyDescent="0.25">
      <c r="B126" s="231" t="s">
        <v>131</v>
      </c>
      <c r="C126" s="232">
        <f t="shared" si="1"/>
        <v>6.6748977188950712E-4</v>
      </c>
      <c r="D126" s="232">
        <f t="shared" si="0"/>
        <v>1.2425476935051243E-3</v>
      </c>
      <c r="E126" s="232">
        <f t="shared" si="0"/>
        <v>9.8914933157484564E-3</v>
      </c>
      <c r="F126" s="232">
        <f t="shared" si="0"/>
        <v>5.0725606747427984E-4</v>
      </c>
      <c r="H126" s="231" t="s">
        <v>131</v>
      </c>
      <c r="I126" s="338">
        <v>6.6748977188950717E-2</v>
      </c>
      <c r="J126" s="338">
        <v>0.12425476935051243</v>
      </c>
      <c r="K126" s="338">
        <v>0.98914933157484564</v>
      </c>
      <c r="L126" s="338">
        <v>5.072560674742798E-2</v>
      </c>
    </row>
    <row r="127" spans="2:22" ht="19" thickBot="1" x14ac:dyDescent="0.25">
      <c r="B127" s="231" t="s">
        <v>210</v>
      </c>
      <c r="C127" s="232">
        <v>5.7000000000000002E-2</v>
      </c>
      <c r="D127" s="232">
        <v>4.2000000000000003E-2</v>
      </c>
      <c r="E127" s="233" t="s">
        <v>211</v>
      </c>
      <c r="F127" s="233" t="s">
        <v>211</v>
      </c>
      <c r="H127" s="231" t="s">
        <v>210</v>
      </c>
      <c r="I127" s="338">
        <v>5.7000000000000002E-2</v>
      </c>
      <c r="J127" s="338">
        <v>4.2000000000000003E-2</v>
      </c>
      <c r="K127" s="338" t="s">
        <v>211</v>
      </c>
      <c r="L127" s="338" t="s">
        <v>211</v>
      </c>
    </row>
    <row r="128" spans="2:22" ht="16" thickBot="1" x14ac:dyDescent="0.25">
      <c r="B128" s="231" t="s">
        <v>212</v>
      </c>
      <c r="C128" s="232">
        <v>8.9999999999999993E-3</v>
      </c>
      <c r="D128" s="232">
        <v>3.1E-2</v>
      </c>
      <c r="E128" s="233" t="s">
        <v>211</v>
      </c>
      <c r="F128" s="233" t="s">
        <v>211</v>
      </c>
      <c r="H128" s="231" t="s">
        <v>212</v>
      </c>
      <c r="I128" s="338">
        <v>8.9999999999999993E-3</v>
      </c>
      <c r="J128" s="338">
        <v>3.1E-2</v>
      </c>
      <c r="K128" s="338" t="s">
        <v>211</v>
      </c>
      <c r="L128" s="338" t="s">
        <v>211</v>
      </c>
    </row>
    <row r="133" spans="11:11" x14ac:dyDescent="0.2">
      <c r="K133" s="40"/>
    </row>
    <row r="134" spans="11:11" x14ac:dyDescent="0.2">
      <c r="K134" s="40"/>
    </row>
    <row r="135" spans="11:11" x14ac:dyDescent="0.2">
      <c r="K135" s="40"/>
    </row>
    <row r="136" spans="11:11" x14ac:dyDescent="0.2">
      <c r="K136" s="40"/>
    </row>
    <row r="137" spans="11:11" x14ac:dyDescent="0.2">
      <c r="K137" s="40"/>
    </row>
    <row r="138" spans="11:11" x14ac:dyDescent="0.2">
      <c r="K138" s="40"/>
    </row>
    <row r="139" spans="11:11" x14ac:dyDescent="0.2">
      <c r="K139" s="40"/>
    </row>
  </sheetData>
  <mergeCells count="21">
    <mergeCell ref="H113:L113"/>
    <mergeCell ref="B1:Q1"/>
    <mergeCell ref="O3:O4"/>
    <mergeCell ref="C2:E2"/>
    <mergeCell ref="G2:I2"/>
    <mergeCell ref="K2:M2"/>
    <mergeCell ref="O2:Q2"/>
    <mergeCell ref="C3:C4"/>
    <mergeCell ref="G3:G4"/>
    <mergeCell ref="K3:K4"/>
    <mergeCell ref="AH3:AH4"/>
    <mergeCell ref="U1:AJ1"/>
    <mergeCell ref="V2:X2"/>
    <mergeCell ref="Z2:AB2"/>
    <mergeCell ref="AD2:AF2"/>
    <mergeCell ref="AH2:AJ2"/>
    <mergeCell ref="B73:G73"/>
    <mergeCell ref="I73:N73"/>
    <mergeCell ref="V3:V4"/>
    <mergeCell ref="Z3:Z4"/>
    <mergeCell ref="AD3:AD4"/>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D5D64-E0D9-2C45-8012-B83569978CD4}">
  <dimension ref="A1:G65"/>
  <sheetViews>
    <sheetView workbookViewId="0">
      <selection sqref="A1:A2"/>
    </sheetView>
  </sheetViews>
  <sheetFormatPr baseColWidth="10" defaultRowHeight="16" x14ac:dyDescent="0.2"/>
  <cols>
    <col min="1" max="1" width="17.83203125" style="63" bestFit="1" customWidth="1"/>
    <col min="2" max="3" width="10.83203125" style="63"/>
  </cols>
  <sheetData>
    <row r="1" spans="1:7" ht="19" customHeight="1" x14ac:dyDescent="0.2">
      <c r="A1" s="331" t="s">
        <v>269</v>
      </c>
      <c r="B1" s="336" t="s">
        <v>273</v>
      </c>
      <c r="C1" s="336" t="s">
        <v>274</v>
      </c>
      <c r="D1" s="333" t="s">
        <v>8</v>
      </c>
      <c r="E1" s="334"/>
      <c r="F1" s="335" t="s">
        <v>7</v>
      </c>
      <c r="G1" s="334"/>
    </row>
    <row r="2" spans="1:7" ht="18" x14ac:dyDescent="0.25">
      <c r="A2" s="332"/>
      <c r="B2" s="337"/>
      <c r="C2" s="337"/>
      <c r="D2" s="253" t="s">
        <v>270</v>
      </c>
      <c r="E2" s="254" t="s">
        <v>271</v>
      </c>
      <c r="F2" s="252" t="s">
        <v>270</v>
      </c>
      <c r="G2" s="254" t="s">
        <v>271</v>
      </c>
    </row>
    <row r="3" spans="1:7" ht="16" customHeight="1" x14ac:dyDescent="0.2">
      <c r="A3" s="245">
        <v>0</v>
      </c>
      <c r="B3" s="246">
        <v>7.57</v>
      </c>
      <c r="C3" s="246">
        <v>2</v>
      </c>
      <c r="D3" s="250">
        <v>7.3800000000000008</v>
      </c>
      <c r="E3" s="251">
        <v>8.4852813742385777E-2</v>
      </c>
      <c r="F3" s="255">
        <v>7.73</v>
      </c>
      <c r="G3" s="256">
        <v>8.4852813742385777E-2</v>
      </c>
    </row>
    <row r="4" spans="1:7" x14ac:dyDescent="0.2">
      <c r="A4" s="245">
        <v>1</v>
      </c>
      <c r="B4" s="246">
        <v>7.43</v>
      </c>
      <c r="C4" s="246">
        <v>1.99</v>
      </c>
      <c r="D4" s="250">
        <v>7.4849999999999994</v>
      </c>
      <c r="E4" s="251">
        <v>9.1923881554251102E-2</v>
      </c>
      <c r="F4" s="255">
        <v>7.83</v>
      </c>
      <c r="G4" s="256">
        <v>0.1555634918610409</v>
      </c>
    </row>
    <row r="5" spans="1:7" x14ac:dyDescent="0.2">
      <c r="A5" s="245">
        <v>2</v>
      </c>
      <c r="B5" s="246">
        <v>7.15</v>
      </c>
      <c r="C5" s="246">
        <v>1.99</v>
      </c>
      <c r="D5" s="250">
        <v>7.4450000000000003</v>
      </c>
      <c r="E5" s="251">
        <v>0.1626345596729056</v>
      </c>
      <c r="F5" s="255">
        <v>7.8449999999999998</v>
      </c>
      <c r="G5" s="256">
        <v>6.3639610306789177E-2</v>
      </c>
    </row>
    <row r="6" spans="1:7" x14ac:dyDescent="0.2">
      <c r="A6" s="245">
        <v>3</v>
      </c>
      <c r="B6" s="246">
        <v>7.11</v>
      </c>
      <c r="C6" s="246">
        <v>1.9</v>
      </c>
      <c r="D6" s="250">
        <v>7.42</v>
      </c>
      <c r="E6" s="251">
        <v>0</v>
      </c>
      <c r="F6" s="255">
        <v>7.8049999999999997</v>
      </c>
      <c r="G6" s="256">
        <v>7.0710678118653244E-3</v>
      </c>
    </row>
    <row r="7" spans="1:7" x14ac:dyDescent="0.2">
      <c r="A7" s="245">
        <v>4</v>
      </c>
      <c r="B7" s="246">
        <v>7.15</v>
      </c>
      <c r="C7" s="246">
        <v>1.99</v>
      </c>
      <c r="D7" s="250">
        <v>7.5449999999999999</v>
      </c>
      <c r="E7" s="251">
        <v>0.13435028842544369</v>
      </c>
      <c r="F7" s="255">
        <v>8</v>
      </c>
      <c r="G7" s="256">
        <v>9.8994949366117052E-2</v>
      </c>
    </row>
    <row r="8" spans="1:7" x14ac:dyDescent="0.2">
      <c r="A8" s="245">
        <v>5</v>
      </c>
      <c r="B8" s="246">
        <v>7.24</v>
      </c>
      <c r="C8" s="246">
        <v>2.0299999999999998</v>
      </c>
      <c r="D8" s="250">
        <v>7.6999999999999993</v>
      </c>
      <c r="E8" s="251">
        <v>2.8284271247461926E-2</v>
      </c>
      <c r="F8" s="255">
        <v>8.15</v>
      </c>
      <c r="G8" s="256">
        <v>0.12727922061357835</v>
      </c>
    </row>
    <row r="9" spans="1:7" x14ac:dyDescent="0.2">
      <c r="A9" s="245">
        <v>6</v>
      </c>
      <c r="B9" s="246">
        <v>7.33</v>
      </c>
      <c r="C9" s="246">
        <v>1.95</v>
      </c>
      <c r="D9" s="250">
        <v>7.7750000000000004</v>
      </c>
      <c r="E9" s="251">
        <v>0.21920310216782946</v>
      </c>
      <c r="F9" s="255">
        <v>8.1199999999999992</v>
      </c>
      <c r="G9" s="256">
        <v>0.1131370849898477</v>
      </c>
    </row>
    <row r="10" spans="1:7" x14ac:dyDescent="0.2">
      <c r="A10" s="245">
        <v>7</v>
      </c>
      <c r="B10" s="246">
        <v>7.33</v>
      </c>
      <c r="C10" s="246">
        <v>2</v>
      </c>
      <c r="D10" s="250">
        <v>7.5600000000000005</v>
      </c>
      <c r="E10" s="251">
        <v>2.8284271247461926E-2</v>
      </c>
      <c r="F10" s="255">
        <v>7.6549999999999994</v>
      </c>
      <c r="G10" s="256">
        <v>0.14849242404917495</v>
      </c>
    </row>
    <row r="11" spans="1:7" x14ac:dyDescent="0.2">
      <c r="A11" s="245">
        <v>8</v>
      </c>
      <c r="B11" s="246">
        <v>7.32</v>
      </c>
      <c r="C11" s="246">
        <v>1.99</v>
      </c>
      <c r="D11" s="250">
        <v>7.8149999999999995</v>
      </c>
      <c r="E11" s="251">
        <v>0.1343502884254443</v>
      </c>
      <c r="F11" s="255">
        <v>8.0249999999999986</v>
      </c>
      <c r="G11" s="256">
        <v>7.0710678118653244E-3</v>
      </c>
    </row>
    <row r="12" spans="1:7" x14ac:dyDescent="0.2">
      <c r="A12" s="245">
        <v>9</v>
      </c>
      <c r="B12" s="246">
        <v>7.16</v>
      </c>
      <c r="C12" s="246">
        <v>2.04</v>
      </c>
      <c r="D12" s="250">
        <v>7.5549999999999997</v>
      </c>
      <c r="E12" s="251">
        <v>2.12132034355966E-2</v>
      </c>
      <c r="F12" s="255">
        <v>7.665</v>
      </c>
      <c r="G12" s="256">
        <v>7.7781745930519827E-2</v>
      </c>
    </row>
    <row r="13" spans="1:7" x14ac:dyDescent="0.2">
      <c r="A13" s="245">
        <v>10</v>
      </c>
      <c r="B13" s="246">
        <v>7.31</v>
      </c>
      <c r="C13" s="246">
        <v>1.99</v>
      </c>
      <c r="D13" s="250">
        <v>7.6850000000000005</v>
      </c>
      <c r="E13" s="251">
        <v>6.3639610306789801E-2</v>
      </c>
      <c r="F13" s="255">
        <v>8.08</v>
      </c>
      <c r="G13" s="256">
        <v>1.4142135623730649E-2</v>
      </c>
    </row>
    <row r="14" spans="1:7" x14ac:dyDescent="0.2">
      <c r="A14" s="245">
        <v>11</v>
      </c>
      <c r="B14" s="246">
        <v>7.67</v>
      </c>
      <c r="C14" s="246">
        <v>1.91</v>
      </c>
      <c r="D14" s="250">
        <v>7.6749999999999998</v>
      </c>
      <c r="E14" s="251">
        <v>0.12020815280171303</v>
      </c>
      <c r="F14" s="255">
        <v>7.8550000000000004</v>
      </c>
      <c r="G14" s="256">
        <v>3.5355339059327251E-2</v>
      </c>
    </row>
    <row r="15" spans="1:7" x14ac:dyDescent="0.2">
      <c r="A15" s="245">
        <v>12</v>
      </c>
      <c r="B15" s="246">
        <v>7.81</v>
      </c>
      <c r="C15" s="246">
        <v>1.98</v>
      </c>
      <c r="D15" s="250">
        <v>7.8949999999999996</v>
      </c>
      <c r="E15" s="251">
        <v>7.0710678118659524E-3</v>
      </c>
      <c r="F15" s="255">
        <v>8.0350000000000001</v>
      </c>
      <c r="G15" s="256">
        <v>0.1343502884254443</v>
      </c>
    </row>
    <row r="16" spans="1:7" x14ac:dyDescent="0.2">
      <c r="A16" s="245">
        <v>13</v>
      </c>
      <c r="B16" s="246">
        <v>6.8</v>
      </c>
      <c r="C16" s="246">
        <v>1.99</v>
      </c>
      <c r="D16" s="250">
        <v>7.5649999999999995</v>
      </c>
      <c r="E16" s="251">
        <v>7.7781745930520452E-2</v>
      </c>
      <c r="F16" s="255">
        <v>7.4649999999999999</v>
      </c>
      <c r="G16" s="256">
        <v>0.2050609665440988</v>
      </c>
    </row>
    <row r="17" spans="1:7" x14ac:dyDescent="0.2">
      <c r="A17" s="245">
        <v>14</v>
      </c>
      <c r="B17" s="246">
        <v>7.87</v>
      </c>
      <c r="C17" s="246">
        <v>2.0099999999999998</v>
      </c>
      <c r="D17" s="250">
        <v>7.6749999999999998</v>
      </c>
      <c r="E17" s="251">
        <v>7.0710678118653244E-3</v>
      </c>
      <c r="F17" s="255">
        <v>7.76</v>
      </c>
      <c r="G17" s="256">
        <v>7.0710678118654502E-2</v>
      </c>
    </row>
    <row r="18" spans="1:7" x14ac:dyDescent="0.2">
      <c r="A18" s="245">
        <v>15</v>
      </c>
      <c r="B18" s="246">
        <v>7.87</v>
      </c>
      <c r="C18" s="246">
        <v>2.04</v>
      </c>
      <c r="D18" s="250">
        <v>7.8449999999999998</v>
      </c>
      <c r="E18" s="251">
        <v>7.0710678118653244E-3</v>
      </c>
      <c r="F18" s="255">
        <v>8.0549999999999997</v>
      </c>
      <c r="G18" s="256">
        <v>2.1213203435597228E-2</v>
      </c>
    </row>
    <row r="19" spans="1:7" x14ac:dyDescent="0.2">
      <c r="A19" s="245">
        <v>16</v>
      </c>
      <c r="B19" s="246">
        <v>7.92</v>
      </c>
      <c r="C19" s="246">
        <v>1.94</v>
      </c>
      <c r="D19" s="250">
        <v>7.5449999999999999</v>
      </c>
      <c r="E19" s="251">
        <v>2.1213203435595972E-2</v>
      </c>
      <c r="F19" s="255">
        <v>7.7050000000000001</v>
      </c>
      <c r="G19" s="256">
        <v>7.0710678118653244E-3</v>
      </c>
    </row>
    <row r="20" spans="1:7" x14ac:dyDescent="0.2">
      <c r="A20" s="245">
        <v>17</v>
      </c>
      <c r="B20" s="246">
        <v>8.09</v>
      </c>
      <c r="C20" s="246">
        <v>2</v>
      </c>
      <c r="D20" s="250">
        <v>7.7649999999999997</v>
      </c>
      <c r="E20" s="251">
        <v>7.0710678118653244E-3</v>
      </c>
      <c r="F20" s="255">
        <v>7.88</v>
      </c>
      <c r="G20" s="256">
        <v>1.4142135623730649E-2</v>
      </c>
    </row>
    <row r="21" spans="1:7" x14ac:dyDescent="0.2">
      <c r="A21" s="245">
        <v>18</v>
      </c>
      <c r="B21" s="246">
        <v>8.0299999999999994</v>
      </c>
      <c r="C21" s="246">
        <v>2.0499999999999998</v>
      </c>
      <c r="D21" s="250">
        <v>7.8650000000000002</v>
      </c>
      <c r="E21" s="251">
        <v>7.0710678118653244E-3</v>
      </c>
      <c r="F21" s="255">
        <v>8.0250000000000004</v>
      </c>
      <c r="G21" s="256">
        <v>6.3639610306789177E-2</v>
      </c>
    </row>
    <row r="22" spans="1:7" x14ac:dyDescent="0.2">
      <c r="A22" s="245">
        <v>19</v>
      </c>
      <c r="B22" s="246">
        <v>7.46</v>
      </c>
      <c r="C22" s="246">
        <v>2.02</v>
      </c>
      <c r="D22" s="250">
        <v>7.63</v>
      </c>
      <c r="E22" s="251">
        <v>1.4142135623730649E-2</v>
      </c>
      <c r="F22" s="255">
        <v>7.72</v>
      </c>
      <c r="G22" s="256">
        <v>5.6568542494923851E-2</v>
      </c>
    </row>
    <row r="23" spans="1:7" x14ac:dyDescent="0.2">
      <c r="A23" s="245">
        <v>20</v>
      </c>
      <c r="B23" s="246">
        <v>7.47</v>
      </c>
      <c r="C23" s="246">
        <v>2.1</v>
      </c>
      <c r="D23" s="250">
        <v>7.7200000000000006</v>
      </c>
      <c r="E23" s="251">
        <v>1.4142135623731277E-2</v>
      </c>
      <c r="F23" s="255">
        <v>7.8049999999999997</v>
      </c>
      <c r="G23" s="256">
        <v>3.5355339059327251E-2</v>
      </c>
    </row>
    <row r="24" spans="1:7" x14ac:dyDescent="0.2">
      <c r="A24" s="245">
        <v>21</v>
      </c>
      <c r="B24" s="246">
        <v>7.62</v>
      </c>
      <c r="C24" s="246">
        <v>2.06</v>
      </c>
      <c r="D24" s="250">
        <v>7.7799999999999994</v>
      </c>
      <c r="E24" s="251">
        <v>2.8284271247461926E-2</v>
      </c>
      <c r="F24" s="255">
        <v>7.7650000000000006</v>
      </c>
      <c r="G24" s="256">
        <v>0.10606601717798175</v>
      </c>
    </row>
    <row r="25" spans="1:7" x14ac:dyDescent="0.2">
      <c r="A25" s="245">
        <v>22</v>
      </c>
      <c r="B25" s="246">
        <v>7.41</v>
      </c>
      <c r="C25" s="246">
        <v>2.0499999999999998</v>
      </c>
      <c r="D25" s="250">
        <v>7.84</v>
      </c>
      <c r="E25" s="251">
        <v>1.4142135623730649E-2</v>
      </c>
      <c r="F25" s="255">
        <v>7.9</v>
      </c>
      <c r="G25" s="256">
        <v>5.6568542494923851E-2</v>
      </c>
    </row>
    <row r="26" spans="1:7" x14ac:dyDescent="0.2">
      <c r="A26" s="245">
        <v>23</v>
      </c>
      <c r="B26" s="246">
        <v>7.63</v>
      </c>
      <c r="C26" s="246">
        <v>2.0099999999999998</v>
      </c>
      <c r="D26" s="250">
        <v>7.7850000000000001</v>
      </c>
      <c r="E26" s="251">
        <v>6.3639610306789177E-2</v>
      </c>
      <c r="F26" s="255">
        <v>7.835</v>
      </c>
      <c r="G26" s="256">
        <v>3.5355339059327882E-2</v>
      </c>
    </row>
    <row r="27" spans="1:7" x14ac:dyDescent="0.2">
      <c r="A27" s="245">
        <v>24</v>
      </c>
      <c r="B27" s="246">
        <v>7.61</v>
      </c>
      <c r="C27" s="246">
        <v>2.04</v>
      </c>
      <c r="D27" s="250">
        <v>7.8149999999999995</v>
      </c>
      <c r="E27" s="251">
        <v>2.12132034355966E-2</v>
      </c>
      <c r="F27" s="255">
        <v>7.62</v>
      </c>
      <c r="G27" s="256">
        <v>0.1131370849898477</v>
      </c>
    </row>
    <row r="28" spans="1:7" x14ac:dyDescent="0.2">
      <c r="A28" s="245">
        <v>25</v>
      </c>
      <c r="B28" s="246">
        <v>7.52</v>
      </c>
      <c r="C28" s="246">
        <v>2.02</v>
      </c>
      <c r="D28" s="250">
        <v>7.87</v>
      </c>
      <c r="E28" s="251">
        <v>4.2426406871193201E-2</v>
      </c>
      <c r="F28" s="255">
        <v>7.8049999999999997</v>
      </c>
      <c r="G28" s="256">
        <v>7.7781745930520452E-2</v>
      </c>
    </row>
    <row r="29" spans="1:7" x14ac:dyDescent="0.2">
      <c r="A29" s="245">
        <v>26</v>
      </c>
      <c r="B29" s="246">
        <v>7.52</v>
      </c>
      <c r="C29" s="246">
        <v>2.0299999999999998</v>
      </c>
      <c r="D29" s="250">
        <v>7.5750000000000002</v>
      </c>
      <c r="E29" s="251">
        <v>0.17677669529663689</v>
      </c>
      <c r="F29" s="255">
        <v>7.25</v>
      </c>
      <c r="G29" s="256">
        <v>0.49497474683058273</v>
      </c>
    </row>
    <row r="30" spans="1:7" x14ac:dyDescent="0.2">
      <c r="A30" s="245">
        <v>27</v>
      </c>
      <c r="B30" s="246">
        <v>7.39</v>
      </c>
      <c r="C30" s="246">
        <v>1.98</v>
      </c>
      <c r="D30" s="250">
        <v>7.6099999999999994</v>
      </c>
      <c r="E30" s="251">
        <v>4.2426406871192576E-2</v>
      </c>
      <c r="F30" s="255">
        <v>7.2450000000000001</v>
      </c>
      <c r="G30" s="256">
        <v>0.41719300090006295</v>
      </c>
    </row>
    <row r="31" spans="1:7" x14ac:dyDescent="0.2">
      <c r="A31" s="245">
        <v>28</v>
      </c>
      <c r="B31" s="246">
        <v>7.7</v>
      </c>
      <c r="C31" s="246">
        <v>2</v>
      </c>
      <c r="D31" s="250">
        <v>7.58</v>
      </c>
      <c r="E31" s="251">
        <v>5.6568542494923851E-2</v>
      </c>
      <c r="F31" s="255">
        <v>7.8450000000000006</v>
      </c>
      <c r="G31" s="256">
        <v>2.12132034355966E-2</v>
      </c>
    </row>
    <row r="32" spans="1:7" x14ac:dyDescent="0.2">
      <c r="A32" s="245">
        <v>29</v>
      </c>
      <c r="B32" s="246">
        <v>7.34</v>
      </c>
      <c r="C32" s="246">
        <v>1.72</v>
      </c>
      <c r="D32" s="250">
        <v>7.7549999999999999</v>
      </c>
      <c r="E32" s="251">
        <v>4.9497474683058526E-2</v>
      </c>
      <c r="F32" s="255">
        <v>7.94</v>
      </c>
      <c r="G32" s="256">
        <v>5.6568542494923851E-2</v>
      </c>
    </row>
    <row r="33" spans="1:7" x14ac:dyDescent="0.2">
      <c r="A33" s="245">
        <v>30</v>
      </c>
      <c r="B33" s="246">
        <v>7.86</v>
      </c>
      <c r="C33" s="246">
        <v>2.04</v>
      </c>
      <c r="D33" s="250">
        <v>7.665</v>
      </c>
      <c r="E33" s="251">
        <v>0.10606601717798238</v>
      </c>
      <c r="F33" s="255">
        <v>7.835</v>
      </c>
      <c r="G33" s="256">
        <v>0.17677669529663689</v>
      </c>
    </row>
    <row r="34" spans="1:7" x14ac:dyDescent="0.2">
      <c r="A34" s="245">
        <v>31</v>
      </c>
      <c r="B34" s="246">
        <v>7.66</v>
      </c>
      <c r="C34" s="246">
        <v>2.0299999999999998</v>
      </c>
      <c r="D34" s="250">
        <v>7.7349999999999994</v>
      </c>
      <c r="E34" s="251">
        <v>2.12132034355966E-2</v>
      </c>
      <c r="F34" s="255">
        <v>7.95</v>
      </c>
      <c r="G34" s="256">
        <v>7.0710678118654502E-2</v>
      </c>
    </row>
    <row r="35" spans="1:7" x14ac:dyDescent="0.2">
      <c r="A35" s="245">
        <v>32</v>
      </c>
      <c r="B35" s="246">
        <v>7.38</v>
      </c>
      <c r="C35" s="246">
        <v>2.0099999999999998</v>
      </c>
      <c r="D35" s="250">
        <v>7.7249999999999996</v>
      </c>
      <c r="E35" s="251">
        <v>2.12132034355966E-2</v>
      </c>
      <c r="F35" s="255">
        <v>7.9700000000000006</v>
      </c>
      <c r="G35" s="256">
        <v>0.12727922061357899</v>
      </c>
    </row>
    <row r="36" spans="1:7" x14ac:dyDescent="0.2">
      <c r="A36" s="245">
        <v>33</v>
      </c>
      <c r="B36" s="246">
        <v>7.6</v>
      </c>
      <c r="C36" s="246">
        <v>2.2400000000000002</v>
      </c>
      <c r="D36" s="250">
        <v>7.7149999999999999</v>
      </c>
      <c r="E36" s="251">
        <v>7.0710678118653244E-3</v>
      </c>
      <c r="F36" s="255">
        <v>7.77</v>
      </c>
      <c r="G36" s="256">
        <v>0.16970562748477094</v>
      </c>
    </row>
    <row r="37" spans="1:7" x14ac:dyDescent="0.2">
      <c r="A37" s="245">
        <v>34</v>
      </c>
      <c r="B37" s="246">
        <v>7.66</v>
      </c>
      <c r="C37" s="246">
        <v>2.08</v>
      </c>
      <c r="D37" s="250">
        <v>7.73</v>
      </c>
      <c r="E37" s="251">
        <v>4.2426406871192576E-2</v>
      </c>
      <c r="F37" s="255">
        <v>7.8599999999999994</v>
      </c>
      <c r="G37" s="256">
        <v>9.8994949366116428E-2</v>
      </c>
    </row>
    <row r="38" spans="1:7" x14ac:dyDescent="0.2">
      <c r="A38" s="245">
        <v>35</v>
      </c>
      <c r="B38" s="246">
        <v>7.48</v>
      </c>
      <c r="C38" s="246">
        <v>1.96</v>
      </c>
      <c r="D38" s="250">
        <v>7.6400000000000006</v>
      </c>
      <c r="E38" s="251">
        <v>1.4142135623731277E-2</v>
      </c>
      <c r="F38" s="255">
        <v>7.94</v>
      </c>
      <c r="G38" s="256">
        <v>0</v>
      </c>
    </row>
    <row r="39" spans="1:7" x14ac:dyDescent="0.2">
      <c r="A39" s="245">
        <v>36</v>
      </c>
      <c r="B39" s="246">
        <v>7.66</v>
      </c>
      <c r="C39" s="246">
        <v>2.04</v>
      </c>
      <c r="D39" s="250">
        <v>7.7050000000000001</v>
      </c>
      <c r="E39" s="251">
        <v>3.5355339059327882E-2</v>
      </c>
      <c r="F39" s="255">
        <v>7.9450000000000003</v>
      </c>
      <c r="G39" s="256">
        <v>4.9497474683058526E-2</v>
      </c>
    </row>
    <row r="40" spans="1:7" x14ac:dyDescent="0.2">
      <c r="A40" s="245">
        <v>37</v>
      </c>
      <c r="B40" s="246">
        <v>7.17</v>
      </c>
      <c r="C40" s="246">
        <v>2.0299999999999998</v>
      </c>
      <c r="D40" s="250">
        <v>7.5250000000000004</v>
      </c>
      <c r="E40" s="251">
        <v>4.9497474683057895E-2</v>
      </c>
      <c r="F40" s="255">
        <v>7.54</v>
      </c>
      <c r="G40" s="256">
        <v>1.4142135623730649E-2</v>
      </c>
    </row>
    <row r="41" spans="1:7" x14ac:dyDescent="0.2">
      <c r="A41" s="245">
        <v>38</v>
      </c>
      <c r="B41" s="246">
        <v>7.53</v>
      </c>
      <c r="C41" s="246">
        <v>2</v>
      </c>
      <c r="D41" s="250">
        <v>7.6</v>
      </c>
      <c r="E41" s="251">
        <v>1.4142135623731277E-2</v>
      </c>
      <c r="F41" s="255">
        <v>7.8599999999999994</v>
      </c>
      <c r="G41" s="256">
        <v>7.0710678118655126E-2</v>
      </c>
    </row>
    <row r="42" spans="1:7" x14ac:dyDescent="0.2">
      <c r="A42" s="245">
        <v>39</v>
      </c>
      <c r="B42" s="246">
        <v>7.65</v>
      </c>
      <c r="C42" s="246">
        <v>2.0299999999999998</v>
      </c>
      <c r="D42" s="250">
        <v>7.5500000000000007</v>
      </c>
      <c r="E42" s="251">
        <v>2.8284271247461926E-2</v>
      </c>
      <c r="F42" s="255">
        <v>7.7650000000000006</v>
      </c>
      <c r="G42" s="256">
        <v>2.12132034355966E-2</v>
      </c>
    </row>
    <row r="43" spans="1:7" x14ac:dyDescent="0.2">
      <c r="A43" s="245">
        <v>40</v>
      </c>
      <c r="B43" s="246">
        <v>7.81</v>
      </c>
      <c r="C43" s="246">
        <v>2</v>
      </c>
      <c r="D43" s="250">
        <v>7.7200000000000006</v>
      </c>
      <c r="E43" s="251">
        <v>1.4142135623731277E-2</v>
      </c>
      <c r="F43" s="255">
        <v>7.89</v>
      </c>
      <c r="G43" s="256">
        <v>0.1131370849898477</v>
      </c>
    </row>
    <row r="44" spans="1:7" x14ac:dyDescent="0.2">
      <c r="A44" s="245">
        <v>41</v>
      </c>
      <c r="B44" s="246">
        <v>7.71</v>
      </c>
      <c r="C44" s="246">
        <v>2</v>
      </c>
      <c r="D44" s="250">
        <v>7.08</v>
      </c>
      <c r="E44" s="251">
        <v>7.0710678118654502E-2</v>
      </c>
      <c r="F44" s="255">
        <v>7.7650000000000006</v>
      </c>
      <c r="G44" s="256">
        <v>9.1923881554251102E-2</v>
      </c>
    </row>
    <row r="45" spans="1:7" x14ac:dyDescent="0.2">
      <c r="A45" s="245">
        <v>42</v>
      </c>
      <c r="B45" s="246">
        <v>7.71</v>
      </c>
      <c r="C45" s="246">
        <v>1.98</v>
      </c>
      <c r="D45" s="250">
        <v>7.7549999999999999</v>
      </c>
      <c r="E45" s="251">
        <v>4.9497474683058526E-2</v>
      </c>
      <c r="F45" s="255">
        <v>8.0850000000000009</v>
      </c>
      <c r="G45" s="256">
        <v>2.1213203435595972E-2</v>
      </c>
    </row>
    <row r="46" spans="1:7" x14ac:dyDescent="0.2">
      <c r="A46" s="245">
        <v>43</v>
      </c>
      <c r="B46" s="246">
        <v>7.83</v>
      </c>
      <c r="C46" s="246">
        <v>1.99</v>
      </c>
      <c r="D46" s="250">
        <v>7.71</v>
      </c>
      <c r="E46" s="251">
        <v>0</v>
      </c>
      <c r="F46" s="255">
        <v>8.0350000000000001</v>
      </c>
      <c r="G46" s="256">
        <v>7.0710678118653244E-3</v>
      </c>
    </row>
    <row r="47" spans="1:7" x14ac:dyDescent="0.2">
      <c r="A47" s="245">
        <v>44</v>
      </c>
      <c r="B47" s="246">
        <v>7.67</v>
      </c>
      <c r="C47" s="246">
        <v>1.97</v>
      </c>
      <c r="D47" s="250">
        <v>7.79</v>
      </c>
      <c r="E47" s="251">
        <v>8.4852813742385153E-2</v>
      </c>
      <c r="F47" s="255">
        <v>8.01</v>
      </c>
      <c r="G47" s="256">
        <v>5.6568542494924483E-2</v>
      </c>
    </row>
    <row r="48" spans="1:7" x14ac:dyDescent="0.2">
      <c r="A48" s="245">
        <v>45</v>
      </c>
      <c r="B48" s="246">
        <v>7.52</v>
      </c>
      <c r="C48" s="246">
        <v>2.02</v>
      </c>
      <c r="D48" s="250">
        <v>7.7200000000000006</v>
      </c>
      <c r="E48" s="251">
        <v>1.4142135623731277E-2</v>
      </c>
      <c r="F48" s="255">
        <v>7.9450000000000003</v>
      </c>
      <c r="G48" s="256">
        <v>0.10606601717798175</v>
      </c>
    </row>
    <row r="49" spans="1:7" x14ac:dyDescent="0.2">
      <c r="A49" s="245">
        <v>46</v>
      </c>
      <c r="B49" s="246">
        <v>7.39</v>
      </c>
      <c r="C49" s="246">
        <v>2</v>
      </c>
      <c r="D49" s="250">
        <v>7.7200000000000006</v>
      </c>
      <c r="E49" s="251">
        <v>4.2426406871192576E-2</v>
      </c>
      <c r="F49" s="255">
        <v>7.9399999999999995</v>
      </c>
      <c r="G49" s="256">
        <v>0.141421356237309</v>
      </c>
    </row>
    <row r="50" spans="1:7" x14ac:dyDescent="0.2">
      <c r="A50" s="245">
        <v>47</v>
      </c>
      <c r="B50" s="246">
        <v>7.21</v>
      </c>
      <c r="C50" s="246">
        <v>2.0099999999999998</v>
      </c>
      <c r="D50" s="250">
        <v>7.79</v>
      </c>
      <c r="E50" s="251">
        <v>5.6568542494923851E-2</v>
      </c>
      <c r="F50" s="255">
        <v>8.09</v>
      </c>
      <c r="G50" s="256">
        <v>0.1131370849898477</v>
      </c>
    </row>
    <row r="51" spans="1:7" x14ac:dyDescent="0.2">
      <c r="A51" s="245">
        <v>48</v>
      </c>
      <c r="B51" s="246">
        <v>6.33</v>
      </c>
      <c r="C51" s="246">
        <v>1.99</v>
      </c>
      <c r="D51" s="250">
        <v>7.6549999999999994</v>
      </c>
      <c r="E51" s="251">
        <v>2.12132034355966E-2</v>
      </c>
      <c r="F51" s="255">
        <v>7.93</v>
      </c>
      <c r="G51" s="256">
        <v>0</v>
      </c>
    </row>
    <row r="52" spans="1:7" x14ac:dyDescent="0.2">
      <c r="A52" s="245">
        <v>49</v>
      </c>
      <c r="B52" s="246">
        <v>7.4</v>
      </c>
      <c r="C52" s="246">
        <v>1.99</v>
      </c>
      <c r="D52" s="250">
        <v>7.6099999999999994</v>
      </c>
      <c r="E52" s="251">
        <v>0.12727922061357899</v>
      </c>
      <c r="F52" s="255">
        <v>7.92</v>
      </c>
      <c r="G52" s="256">
        <v>0.15556349186104027</v>
      </c>
    </row>
    <row r="53" spans="1:7" x14ac:dyDescent="0.2">
      <c r="A53" s="245">
        <v>50</v>
      </c>
      <c r="B53" s="246">
        <v>7.43</v>
      </c>
      <c r="C53" s="246">
        <v>2</v>
      </c>
      <c r="D53" s="250">
        <v>7.63</v>
      </c>
      <c r="E53" s="251">
        <v>1.4142135623730649E-2</v>
      </c>
      <c r="F53" s="255">
        <v>7.9649999999999999</v>
      </c>
      <c r="G53" s="256">
        <v>9.1923881554250478E-2</v>
      </c>
    </row>
    <row r="54" spans="1:7" x14ac:dyDescent="0.2">
      <c r="A54" s="245">
        <v>52</v>
      </c>
      <c r="B54" s="246">
        <v>7.25</v>
      </c>
      <c r="C54" s="246">
        <v>2.02</v>
      </c>
      <c r="D54" s="250">
        <v>7.36</v>
      </c>
      <c r="E54" s="251">
        <v>0</v>
      </c>
      <c r="F54" s="255">
        <v>7.585</v>
      </c>
      <c r="G54" s="256">
        <v>9.1923881554251727E-2</v>
      </c>
    </row>
    <row r="55" spans="1:7" x14ac:dyDescent="0.2">
      <c r="A55" s="245">
        <v>53</v>
      </c>
      <c r="B55" s="246">
        <v>7.54</v>
      </c>
      <c r="C55" s="246">
        <v>2.02</v>
      </c>
      <c r="D55" s="250">
        <v>7.3049999999999997</v>
      </c>
      <c r="E55" s="251">
        <v>6.3639610306789177E-2</v>
      </c>
      <c r="F55" s="255">
        <v>7.7349999999999994</v>
      </c>
      <c r="G55" s="256">
        <v>3.5355339059327251E-2</v>
      </c>
    </row>
    <row r="56" spans="1:7" x14ac:dyDescent="0.2">
      <c r="A56" s="245">
        <v>54</v>
      </c>
      <c r="B56" s="246">
        <v>7.41</v>
      </c>
      <c r="C56" s="246">
        <v>2.0299999999999998</v>
      </c>
      <c r="D56" s="250">
        <v>7.33</v>
      </c>
      <c r="E56" s="251">
        <v>0.24041630560342606</v>
      </c>
      <c r="F56" s="255">
        <v>7.9</v>
      </c>
      <c r="G56" s="256">
        <v>4.2426406871192576E-2</v>
      </c>
    </row>
    <row r="57" spans="1:7" x14ac:dyDescent="0.2">
      <c r="A57" s="245">
        <v>55</v>
      </c>
      <c r="B57" s="246">
        <v>7.52</v>
      </c>
      <c r="C57" s="246">
        <v>2.0299999999999998</v>
      </c>
      <c r="D57" s="250">
        <v>7.5299999999999994</v>
      </c>
      <c r="E57" s="251">
        <v>4.2426406871192576E-2</v>
      </c>
      <c r="F57" s="255">
        <v>7.8949999999999996</v>
      </c>
      <c r="G57" s="256">
        <v>2.12132034355966E-2</v>
      </c>
    </row>
    <row r="58" spans="1:7" x14ac:dyDescent="0.2">
      <c r="A58" s="245">
        <v>56</v>
      </c>
      <c r="B58" s="246">
        <v>7.74</v>
      </c>
      <c r="C58" s="246">
        <v>1.99</v>
      </c>
      <c r="D58" s="250">
        <v>7.73</v>
      </c>
      <c r="E58" s="251">
        <v>4.2426406871192576E-2</v>
      </c>
      <c r="F58" s="255">
        <v>8.0399999999999991</v>
      </c>
      <c r="G58" s="256">
        <v>5.6568542494923851E-2</v>
      </c>
    </row>
    <row r="59" spans="1:7" x14ac:dyDescent="0.2">
      <c r="A59" s="245">
        <v>57</v>
      </c>
      <c r="B59" s="246">
        <v>7.89</v>
      </c>
      <c r="C59" s="246">
        <v>2.0099999999999998</v>
      </c>
      <c r="D59" s="250">
        <v>7.6449999999999996</v>
      </c>
      <c r="E59" s="251">
        <v>3.5355339059327251E-2</v>
      </c>
      <c r="F59" s="255">
        <v>7.86</v>
      </c>
      <c r="G59" s="256">
        <v>0.1838477631085022</v>
      </c>
    </row>
    <row r="60" spans="1:7" x14ac:dyDescent="0.2">
      <c r="A60" s="245">
        <v>58</v>
      </c>
      <c r="B60" s="246">
        <v>7.77</v>
      </c>
      <c r="C60" s="246">
        <v>2.0099999999999998</v>
      </c>
      <c r="D60" s="250">
        <v>7.6099999999999994</v>
      </c>
      <c r="E60" s="251">
        <v>7.0710678118655126E-2</v>
      </c>
      <c r="F60" s="255">
        <v>8.125</v>
      </c>
      <c r="G60" s="256">
        <v>7.0710678118665812E-3</v>
      </c>
    </row>
    <row r="61" spans="1:7" x14ac:dyDescent="0.2">
      <c r="A61" s="245">
        <v>59</v>
      </c>
      <c r="B61" s="246">
        <v>7.56</v>
      </c>
      <c r="C61" s="246">
        <v>2.02</v>
      </c>
      <c r="D61" s="250">
        <v>7.67</v>
      </c>
      <c r="E61" s="251">
        <v>1.4142135623730649E-2</v>
      </c>
      <c r="F61" s="255">
        <v>7.98</v>
      </c>
      <c r="G61" s="256">
        <v>4.2426406871192576E-2</v>
      </c>
    </row>
    <row r="62" spans="1:7" x14ac:dyDescent="0.2">
      <c r="A62" s="245">
        <v>60</v>
      </c>
      <c r="B62" s="246">
        <v>7.86</v>
      </c>
      <c r="C62" s="246">
        <v>2</v>
      </c>
      <c r="D62" s="250">
        <v>7.59</v>
      </c>
      <c r="E62" s="251">
        <v>4.2426406871193201E-2</v>
      </c>
      <c r="F62" s="255">
        <v>7.9849999999999994</v>
      </c>
      <c r="G62" s="256">
        <v>7.7781745930519827E-2</v>
      </c>
    </row>
    <row r="63" spans="1:7" x14ac:dyDescent="0.2">
      <c r="A63" s="245">
        <v>61</v>
      </c>
      <c r="B63" s="246">
        <v>7.69</v>
      </c>
      <c r="C63" s="246">
        <v>1.97</v>
      </c>
      <c r="D63" s="250">
        <v>7.6150000000000002</v>
      </c>
      <c r="E63" s="251">
        <v>9.1923881554251102E-2</v>
      </c>
      <c r="F63" s="255">
        <v>7.9850000000000003</v>
      </c>
      <c r="G63" s="256">
        <v>7.0710678118653244E-3</v>
      </c>
    </row>
    <row r="64" spans="1:7" ht="17" thickBot="1" x14ac:dyDescent="0.25">
      <c r="A64" s="247">
        <v>63</v>
      </c>
      <c r="B64" s="248">
        <v>7.69</v>
      </c>
      <c r="C64" s="248">
        <v>1.99</v>
      </c>
      <c r="D64" s="257">
        <v>7.6549999999999994</v>
      </c>
      <c r="E64" s="258">
        <v>3.5355339059327251E-2</v>
      </c>
      <c r="F64" s="257">
        <v>7.93</v>
      </c>
      <c r="G64" s="259">
        <v>0.12727922061357835</v>
      </c>
    </row>
    <row r="65" spans="1:1" x14ac:dyDescent="0.2">
      <c r="A65" s="249"/>
    </row>
  </sheetData>
  <mergeCells count="5">
    <mergeCell ref="A1:A2"/>
    <mergeCell ref="D1:E1"/>
    <mergeCell ref="F1:G1"/>
    <mergeCell ref="B1:B2"/>
    <mergeCell ref="C1: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Front Page</vt:lpstr>
      <vt:lpstr>1. Reference materials</vt:lpstr>
      <vt:lpstr>2. Geochemical Static Tests</vt:lpstr>
      <vt:lpstr>3. Particle Size Distribution</vt:lpstr>
      <vt:lpstr>4. Total S</vt:lpstr>
      <vt:lpstr>5. Bulk Mineralogy and Elements</vt:lpstr>
      <vt:lpstr>6. Humidity Cell Test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2020-04-13T09:54:47Z</dcterms:created>
  <dcterms:modified xsi:type="dcterms:W3CDTF">2020-11-19T13:01:51Z</dcterms:modified>
</cp:coreProperties>
</file>