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RRAJ002\Desktop\back-up 29.10.2019\new dskt 23.5.19\desktop 13.10.2018\Downloads\"/>
    </mc:Choice>
  </mc:AlternateContent>
  <xr:revisionPtr revIDLastSave="0" documentId="13_ncr:1_{A0C026A4-D569-4CC9-9330-11FF79FD16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ex" sheetId="12" r:id="rId1"/>
    <sheet name="1" sheetId="13" r:id="rId2"/>
    <sheet name="2" sheetId="7" r:id="rId3"/>
    <sheet name="3" sheetId="17" r:id="rId4"/>
    <sheet name="4" sheetId="14" r:id="rId5"/>
    <sheet name="5" sheetId="10" r:id="rId6"/>
    <sheet name="6" sheetId="11" r:id="rId7"/>
    <sheet name="7" sheetId="20" r:id="rId8"/>
    <sheet name="8" sheetId="15" r:id="rId9"/>
    <sheet name="9" sheetId="16" r:id="rId10"/>
    <sheet name="10" sheetId="18" r:id="rId11"/>
  </sheets>
  <definedNames>
    <definedName name="_Ref16442907" localSheetId="8">'8'!$Q$29</definedName>
    <definedName name="_Toc467078905" localSheetId="7">'7'!#REF!</definedName>
    <definedName name="OLE_LINK1" localSheetId="2">'2'!$B$52</definedName>
    <definedName name="solver_adj" localSheetId="10" hidden="1">'10'!$Z$7</definedName>
    <definedName name="solver_adj" localSheetId="2" hidden="1">'2'!$G$44</definedName>
    <definedName name="solver_adj" localSheetId="9" hidden="1">'9'!$O$8</definedName>
    <definedName name="solver_cvg" localSheetId="10" hidden="1">0.0001</definedName>
    <definedName name="solver_cvg" localSheetId="2" hidden="1">0.0001</definedName>
    <definedName name="solver_cvg" localSheetId="9" hidden="1">0.0001</definedName>
    <definedName name="solver_drv" localSheetId="10" hidden="1">1</definedName>
    <definedName name="solver_drv" localSheetId="2" hidden="1">1</definedName>
    <definedName name="solver_drv" localSheetId="9" hidden="1">1</definedName>
    <definedName name="solver_eng" localSheetId="10" hidden="1">1</definedName>
    <definedName name="solver_eng" localSheetId="2" hidden="1">1</definedName>
    <definedName name="solver_eng" localSheetId="9" hidden="1">1</definedName>
    <definedName name="solver_est" localSheetId="10" hidden="1">1</definedName>
    <definedName name="solver_est" localSheetId="2" hidden="1">1</definedName>
    <definedName name="solver_est" localSheetId="9" hidden="1">1</definedName>
    <definedName name="solver_itr" localSheetId="10" hidden="1">2147483647</definedName>
    <definedName name="solver_itr" localSheetId="2" hidden="1">2147483647</definedName>
    <definedName name="solver_itr" localSheetId="9" hidden="1">2147483647</definedName>
    <definedName name="solver_mip" localSheetId="10" hidden="1">2147483647</definedName>
    <definedName name="solver_mip" localSheetId="2" hidden="1">2147483647</definedName>
    <definedName name="solver_mip" localSheetId="9" hidden="1">2147483647</definedName>
    <definedName name="solver_mni" localSheetId="10" hidden="1">30</definedName>
    <definedName name="solver_mni" localSheetId="2" hidden="1">30</definedName>
    <definedName name="solver_mni" localSheetId="9" hidden="1">30</definedName>
    <definedName name="solver_mrt" localSheetId="10" hidden="1">0.075</definedName>
    <definedName name="solver_mrt" localSheetId="2" hidden="1">0.075</definedName>
    <definedName name="solver_mrt" localSheetId="9" hidden="1">0.075</definedName>
    <definedName name="solver_msl" localSheetId="10" hidden="1">2</definedName>
    <definedName name="solver_msl" localSheetId="2" hidden="1">2</definedName>
    <definedName name="solver_msl" localSheetId="9" hidden="1">2</definedName>
    <definedName name="solver_neg" localSheetId="10" hidden="1">1</definedName>
    <definedName name="solver_neg" localSheetId="2" hidden="1">2</definedName>
    <definedName name="solver_neg" localSheetId="9" hidden="1">1</definedName>
    <definedName name="solver_nod" localSheetId="10" hidden="1">2147483647</definedName>
    <definedName name="solver_nod" localSheetId="2" hidden="1">2147483647</definedName>
    <definedName name="solver_nod" localSheetId="9" hidden="1">2147483647</definedName>
    <definedName name="solver_num" localSheetId="10" hidden="1">0</definedName>
    <definedName name="solver_num" localSheetId="2" hidden="1">0</definedName>
    <definedName name="solver_num" localSheetId="9" hidden="1">0</definedName>
    <definedName name="solver_nwt" localSheetId="10" hidden="1">1</definedName>
    <definedName name="solver_nwt" localSheetId="2" hidden="1">1</definedName>
    <definedName name="solver_nwt" localSheetId="9" hidden="1">1</definedName>
    <definedName name="solver_opt" localSheetId="10" hidden="1">'10'!$AE$60</definedName>
    <definedName name="solver_opt" localSheetId="2" hidden="1">'2'!$E$44</definedName>
    <definedName name="solver_opt" localSheetId="9" hidden="1">'9'!$W$8</definedName>
    <definedName name="solver_pre" localSheetId="10" hidden="1">0.000001</definedName>
    <definedName name="solver_pre" localSheetId="2" hidden="1">0.000001</definedName>
    <definedName name="solver_pre" localSheetId="9" hidden="1">0.000001</definedName>
    <definedName name="solver_rbv" localSheetId="10" hidden="1">1</definedName>
    <definedName name="solver_rbv" localSheetId="2" hidden="1">1</definedName>
    <definedName name="solver_rbv" localSheetId="9" hidden="1">1</definedName>
    <definedName name="solver_rlx" localSheetId="10" hidden="1">2</definedName>
    <definedName name="solver_rlx" localSheetId="2" hidden="1">2</definedName>
    <definedName name="solver_rlx" localSheetId="9" hidden="1">2</definedName>
    <definedName name="solver_rsd" localSheetId="10" hidden="1">0</definedName>
    <definedName name="solver_rsd" localSheetId="2" hidden="1">0</definedName>
    <definedName name="solver_rsd" localSheetId="9" hidden="1">0</definedName>
    <definedName name="solver_scl" localSheetId="10" hidden="1">1</definedName>
    <definedName name="solver_scl" localSheetId="2" hidden="1">1</definedName>
    <definedName name="solver_scl" localSheetId="9" hidden="1">1</definedName>
    <definedName name="solver_sho" localSheetId="10" hidden="1">2</definedName>
    <definedName name="solver_sho" localSheetId="2" hidden="1">2</definedName>
    <definedName name="solver_sho" localSheetId="9" hidden="1">2</definedName>
    <definedName name="solver_ssz" localSheetId="10" hidden="1">100</definedName>
    <definedName name="solver_ssz" localSheetId="2" hidden="1">100</definedName>
    <definedName name="solver_ssz" localSheetId="9" hidden="1">100</definedName>
    <definedName name="solver_tim" localSheetId="10" hidden="1">2147483647</definedName>
    <definedName name="solver_tim" localSheetId="2" hidden="1">2147483647</definedName>
    <definedName name="solver_tim" localSheetId="9" hidden="1">2147483647</definedName>
    <definedName name="solver_tol" localSheetId="10" hidden="1">0.01</definedName>
    <definedName name="solver_tol" localSheetId="2" hidden="1">0.01</definedName>
    <definedName name="solver_tol" localSheetId="9" hidden="1">0.01</definedName>
    <definedName name="solver_typ" localSheetId="10" hidden="1">2</definedName>
    <definedName name="solver_typ" localSheetId="2" hidden="1">3</definedName>
    <definedName name="solver_typ" localSheetId="9" hidden="1">2</definedName>
    <definedName name="solver_val" localSheetId="10" hidden="1">0</definedName>
    <definedName name="solver_val" localSheetId="2" hidden="1">0.004</definedName>
    <definedName name="solver_val" localSheetId="9" hidden="1">0</definedName>
    <definedName name="solver_ver" localSheetId="10" hidden="1">3</definedName>
    <definedName name="solver_ver" localSheetId="2" hidden="1">3</definedName>
    <definedName name="solver_ver" localSheetId="9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1" i="14" l="1"/>
  <c r="AX52" i="17" l="1"/>
  <c r="AX53" i="17"/>
  <c r="AX54" i="17"/>
  <c r="AX55" i="17"/>
  <c r="AX56" i="17" s="1"/>
  <c r="AX57" i="17" s="1"/>
  <c r="AX58" i="17" s="1"/>
  <c r="AX59" i="17" s="1"/>
  <c r="AX60" i="17" s="1"/>
  <c r="AX61" i="17" s="1"/>
  <c r="G24" i="15" l="1"/>
  <c r="B22" i="15" l="1"/>
  <c r="C26" i="15"/>
  <c r="F96" i="18" l="1"/>
  <c r="F95" i="18"/>
  <c r="F94" i="18"/>
  <c r="E96" i="18"/>
  <c r="E95" i="18"/>
  <c r="E94" i="18"/>
  <c r="E93" i="18"/>
  <c r="E91" i="18"/>
  <c r="F90" i="18"/>
  <c r="F89" i="18"/>
  <c r="F88" i="18"/>
  <c r="E90" i="18"/>
  <c r="E89" i="18"/>
  <c r="E88" i="18"/>
  <c r="Z6" i="18"/>
  <c r="R6" i="18"/>
  <c r="J6" i="18"/>
  <c r="B6" i="18"/>
  <c r="H117" i="15" l="1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G119" i="15"/>
  <c r="F119" i="15"/>
  <c r="H83" i="15"/>
  <c r="H85" i="15" s="1"/>
  <c r="G86" i="15"/>
  <c r="G85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85" i="15"/>
  <c r="M5" i="15"/>
  <c r="N5" i="15"/>
  <c r="O30" i="15" l="1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30" i="15"/>
  <c r="F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C10" i="15" l="1"/>
  <c r="C11" i="15" s="1"/>
  <c r="C16" i="15" s="1"/>
  <c r="E16" i="15" s="1"/>
  <c r="E17" i="15" s="1"/>
  <c r="C5" i="15"/>
  <c r="C4" i="15"/>
  <c r="J60" i="15"/>
  <c r="G22" i="15"/>
  <c r="G5" i="15" s="1"/>
  <c r="D114" i="15"/>
  <c r="D80" i="15"/>
  <c r="C28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19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85" i="15"/>
  <c r="Q3" i="15"/>
  <c r="M4" i="15" s="1"/>
  <c r="N4" i="15" s="1"/>
  <c r="N10" i="15"/>
  <c r="N6" i="15"/>
  <c r="N3" i="15"/>
  <c r="M8" i="15"/>
  <c r="N8" i="15" s="1"/>
  <c r="Q4" i="15"/>
  <c r="E32" i="15"/>
  <c r="E31" i="15"/>
  <c r="E30" i="15"/>
  <c r="B31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B33" i="15"/>
  <c r="B37" i="15"/>
  <c r="B38" i="15"/>
  <c r="B42" i="15"/>
  <c r="B43" i="15"/>
  <c r="B47" i="15"/>
  <c r="B49" i="15"/>
  <c r="B53" i="15"/>
  <c r="B54" i="15"/>
  <c r="C25" i="15"/>
  <c r="B32" i="15" s="1"/>
  <c r="G21" i="15"/>
  <c r="B51" i="15" l="1"/>
  <c r="B46" i="15"/>
  <c r="B41" i="15"/>
  <c r="B35" i="15"/>
  <c r="B30" i="15"/>
  <c r="B55" i="15"/>
  <c r="B50" i="15"/>
  <c r="B45" i="15"/>
  <c r="B39" i="15"/>
  <c r="B34" i="15"/>
  <c r="N11" i="15"/>
  <c r="B52" i="15"/>
  <c r="B48" i="15"/>
  <c r="B44" i="15"/>
  <c r="B40" i="15"/>
  <c r="B36" i="15"/>
  <c r="M7" i="15"/>
  <c r="N7" i="15" s="1"/>
  <c r="O45" i="15" l="1"/>
  <c r="O54" i="15"/>
  <c r="O44" i="15"/>
  <c r="O42" i="15"/>
  <c r="O39" i="15"/>
  <c r="O32" i="15"/>
  <c r="O51" i="15"/>
  <c r="O35" i="15"/>
  <c r="O41" i="15"/>
  <c r="O50" i="15"/>
  <c r="O38" i="15"/>
  <c r="O48" i="15"/>
  <c r="O47" i="15"/>
  <c r="O31" i="15"/>
  <c r="O53" i="15"/>
  <c r="O37" i="15"/>
  <c r="O34" i="15"/>
  <c r="O40" i="15"/>
  <c r="O46" i="15"/>
  <c r="O43" i="15"/>
  <c r="H27" i="15"/>
  <c r="H30" i="15" s="1"/>
  <c r="O49" i="15"/>
  <c r="O33" i="15"/>
  <c r="O52" i="15"/>
  <c r="O36" i="15"/>
  <c r="O55" i="15"/>
  <c r="H143" i="15"/>
  <c r="H119" i="15"/>
  <c r="H104" i="15" l="1"/>
  <c r="H49" i="15"/>
  <c r="H135" i="15"/>
  <c r="H106" i="15"/>
  <c r="H107" i="15"/>
  <c r="H86" i="15"/>
  <c r="H87" i="15"/>
  <c r="H128" i="15"/>
  <c r="H53" i="15"/>
  <c r="H52" i="15"/>
  <c r="H31" i="15"/>
  <c r="G3" i="15" s="1"/>
  <c r="G4" i="15" s="1"/>
  <c r="H39" i="15"/>
  <c r="H35" i="15"/>
  <c r="H43" i="15"/>
  <c r="H50" i="15"/>
  <c r="H32" i="15"/>
  <c r="H37" i="15"/>
  <c r="H45" i="15"/>
  <c r="H38" i="15"/>
  <c r="H55" i="15"/>
  <c r="H54" i="15"/>
  <c r="H51" i="15"/>
  <c r="H34" i="15"/>
  <c r="H48" i="15"/>
  <c r="H44" i="15"/>
  <c r="H46" i="15"/>
  <c r="H47" i="15"/>
  <c r="H36" i="15"/>
  <c r="H33" i="15"/>
  <c r="H41" i="15"/>
  <c r="H40" i="15"/>
  <c r="H42" i="15"/>
  <c r="H103" i="15"/>
  <c r="H99" i="15"/>
  <c r="H105" i="15"/>
  <c r="H96" i="15"/>
  <c r="H102" i="15"/>
  <c r="H131" i="15"/>
  <c r="H137" i="15"/>
  <c r="H122" i="15"/>
  <c r="H125" i="15"/>
  <c r="H121" i="15"/>
  <c r="H109" i="15"/>
  <c r="H91" i="15"/>
  <c r="H89" i="15"/>
  <c r="H92" i="15"/>
  <c r="H98" i="15"/>
  <c r="H132" i="15"/>
  <c r="H123" i="15"/>
  <c r="H127" i="15"/>
  <c r="H140" i="15"/>
  <c r="H133" i="15"/>
  <c r="H130" i="15"/>
  <c r="H124" i="15"/>
  <c r="H101" i="15"/>
  <c r="H95" i="15"/>
  <c r="H108" i="15"/>
  <c r="H88" i="15"/>
  <c r="H90" i="15"/>
  <c r="G80" i="15" s="1"/>
  <c r="H129" i="15"/>
  <c r="H142" i="15"/>
  <c r="H120" i="15"/>
  <c r="H126" i="15"/>
  <c r="H93" i="15"/>
  <c r="H97" i="15"/>
  <c r="H100" i="15"/>
  <c r="H110" i="15"/>
  <c r="H94" i="15"/>
  <c r="H134" i="15"/>
  <c r="H139" i="15"/>
  <c r="H136" i="15"/>
  <c r="H141" i="15"/>
  <c r="H144" i="15"/>
  <c r="H138" i="15"/>
  <c r="I4" i="15" l="1"/>
  <c r="G114" i="15"/>
  <c r="G115" i="15" s="1"/>
  <c r="G81" i="15"/>
  <c r="O124" i="18" l="1"/>
  <c r="O125" i="18"/>
  <c r="O126" i="18"/>
  <c r="O123" i="18"/>
  <c r="O112" i="18"/>
  <c r="K117" i="18"/>
  <c r="O119" i="18" s="1"/>
  <c r="K111" i="18"/>
  <c r="O114" i="18" s="1"/>
  <c r="H115" i="18"/>
  <c r="H116" i="18"/>
  <c r="H117" i="18"/>
  <c r="H118" i="18"/>
  <c r="H119" i="18"/>
  <c r="G116" i="18"/>
  <c r="G117" i="18"/>
  <c r="G118" i="18"/>
  <c r="G119" i="18"/>
  <c r="G115" i="18"/>
  <c r="H109" i="18"/>
  <c r="H110" i="18"/>
  <c r="H111" i="18"/>
  <c r="H112" i="18"/>
  <c r="H113" i="18"/>
  <c r="G110" i="18"/>
  <c r="G111" i="18"/>
  <c r="G112" i="18"/>
  <c r="G113" i="18"/>
  <c r="G109" i="18"/>
  <c r="D115" i="18"/>
  <c r="D116" i="18"/>
  <c r="D117" i="18"/>
  <c r="D118" i="18"/>
  <c r="D119" i="18"/>
  <c r="C116" i="18"/>
  <c r="C117" i="18"/>
  <c r="C118" i="18"/>
  <c r="C119" i="18"/>
  <c r="C115" i="18"/>
  <c r="D109" i="18"/>
  <c r="D110" i="18"/>
  <c r="D111" i="18"/>
  <c r="D112" i="18"/>
  <c r="D113" i="18"/>
  <c r="C111" i="18"/>
  <c r="C112" i="18"/>
  <c r="C113" i="18"/>
  <c r="C110" i="18"/>
  <c r="C109" i="18"/>
  <c r="K103" i="18"/>
  <c r="K105" i="18" s="1"/>
  <c r="K98" i="18"/>
  <c r="K97" i="18"/>
  <c r="K99" i="18" s="1"/>
  <c r="K104" i="18"/>
  <c r="I104" i="18"/>
  <c r="G104" i="18"/>
  <c r="E104" i="18"/>
  <c r="I103" i="18"/>
  <c r="I105" i="18" s="1"/>
  <c r="G103" i="18"/>
  <c r="G105" i="18" s="1"/>
  <c r="E103" i="18"/>
  <c r="E105" i="18" s="1"/>
  <c r="I98" i="18"/>
  <c r="G98" i="18"/>
  <c r="E98" i="18"/>
  <c r="I97" i="18"/>
  <c r="I99" i="18" s="1"/>
  <c r="G97" i="18"/>
  <c r="G99" i="18" s="1"/>
  <c r="E97" i="18"/>
  <c r="E99" i="18" s="1"/>
  <c r="K92" i="18"/>
  <c r="I92" i="18"/>
  <c r="G92" i="18"/>
  <c r="E92" i="18"/>
  <c r="K91" i="18"/>
  <c r="K93" i="18" s="1"/>
  <c r="I91" i="18"/>
  <c r="I93" i="18" s="1"/>
  <c r="G91" i="18"/>
  <c r="G93" i="18" s="1"/>
  <c r="Z8" i="18"/>
  <c r="AB19" i="18" s="1"/>
  <c r="Z9" i="18"/>
  <c r="R9" i="18"/>
  <c r="R8" i="18"/>
  <c r="T12" i="18" s="1"/>
  <c r="R10" i="18" s="1"/>
  <c r="T58" i="18" l="1"/>
  <c r="T54" i="18"/>
  <c r="T46" i="18"/>
  <c r="T42" i="18"/>
  <c r="T34" i="18"/>
  <c r="T57" i="18"/>
  <c r="T49" i="18"/>
  <c r="T41" i="18"/>
  <c r="T37" i="18"/>
  <c r="T29" i="18"/>
  <c r="T25" i="18"/>
  <c r="T21" i="18"/>
  <c r="T17" i="18"/>
  <c r="T13" i="18"/>
  <c r="T56" i="18"/>
  <c r="T52" i="18"/>
  <c r="T48" i="18"/>
  <c r="T44" i="18"/>
  <c r="T40" i="18"/>
  <c r="T36" i="18"/>
  <c r="T32" i="18"/>
  <c r="T28" i="18"/>
  <c r="T24" i="18"/>
  <c r="T20" i="18"/>
  <c r="T16" i="18"/>
  <c r="O118" i="18"/>
  <c r="T50" i="18"/>
  <c r="T38" i="18"/>
  <c r="T30" i="18"/>
  <c r="T26" i="18"/>
  <c r="T22" i="18"/>
  <c r="T18" i="18"/>
  <c r="T14" i="18"/>
  <c r="T53" i="18"/>
  <c r="T45" i="18"/>
  <c r="T33" i="18"/>
  <c r="T59" i="18"/>
  <c r="T55" i="18"/>
  <c r="T51" i="18"/>
  <c r="T47" i="18"/>
  <c r="T43" i="18"/>
  <c r="T39" i="18"/>
  <c r="T35" i="18"/>
  <c r="T31" i="18"/>
  <c r="T27" i="18"/>
  <c r="T23" i="18"/>
  <c r="T19" i="18"/>
  <c r="T15" i="18"/>
  <c r="O121" i="18"/>
  <c r="O120" i="18"/>
  <c r="O115" i="18"/>
  <c r="O113" i="18"/>
  <c r="AB59" i="18"/>
  <c r="AB55" i="18"/>
  <c r="AB51" i="18"/>
  <c r="AB47" i="18"/>
  <c r="AB43" i="18"/>
  <c r="AB39" i="18"/>
  <c r="AB35" i="18"/>
  <c r="AB31" i="18"/>
  <c r="AB27" i="18"/>
  <c r="AB23" i="18"/>
  <c r="AB15" i="18"/>
  <c r="AB58" i="18"/>
  <c r="AB54" i="18"/>
  <c r="AB50" i="18"/>
  <c r="AB46" i="18"/>
  <c r="AB42" i="18"/>
  <c r="AB38" i="18"/>
  <c r="AB34" i="18"/>
  <c r="AB30" i="18"/>
  <c r="AB26" i="18"/>
  <c r="AB22" i="18"/>
  <c r="AB18" i="18"/>
  <c r="AB14" i="18"/>
  <c r="AB57" i="18"/>
  <c r="AB53" i="18"/>
  <c r="AB49" i="18"/>
  <c r="AB45" i="18"/>
  <c r="AB41" i="18"/>
  <c r="AB37" i="18"/>
  <c r="AB33" i="18"/>
  <c r="AB29" i="18"/>
  <c r="AB25" i="18"/>
  <c r="AB21" i="18"/>
  <c r="AB17" i="18"/>
  <c r="AB13" i="18"/>
  <c r="AB56" i="18"/>
  <c r="AB52" i="18"/>
  <c r="AB48" i="18"/>
  <c r="AB44" i="18"/>
  <c r="AB40" i="18"/>
  <c r="AB36" i="18"/>
  <c r="AB32" i="18"/>
  <c r="AB28" i="18"/>
  <c r="AB24" i="18"/>
  <c r="AB20" i="18"/>
  <c r="AB16" i="18"/>
  <c r="AB12" i="18"/>
  <c r="Z10" i="18" s="1"/>
  <c r="AC20" i="18" s="1"/>
  <c r="AD20" i="18" s="1"/>
  <c r="AE20" i="18" s="1"/>
  <c r="U14" i="18"/>
  <c r="V14" i="18" s="1"/>
  <c r="W14" i="18" s="1"/>
  <c r="U18" i="18"/>
  <c r="V18" i="18" s="1"/>
  <c r="W18" i="18" s="1"/>
  <c r="U22" i="18"/>
  <c r="V22" i="18" s="1"/>
  <c r="W22" i="18" s="1"/>
  <c r="U26" i="18"/>
  <c r="V26" i="18" s="1"/>
  <c r="W26" i="18" s="1"/>
  <c r="U30" i="18"/>
  <c r="V30" i="18" s="1"/>
  <c r="W30" i="18" s="1"/>
  <c r="U34" i="18"/>
  <c r="V34" i="18" s="1"/>
  <c r="W34" i="18" s="1"/>
  <c r="U38" i="18"/>
  <c r="V38" i="18" s="1"/>
  <c r="W38" i="18" s="1"/>
  <c r="U42" i="18"/>
  <c r="V42" i="18" s="1"/>
  <c r="W42" i="18" s="1"/>
  <c r="U46" i="18"/>
  <c r="V46" i="18" s="1"/>
  <c r="W46" i="18" s="1"/>
  <c r="U50" i="18"/>
  <c r="V50" i="18" s="1"/>
  <c r="W50" i="18" s="1"/>
  <c r="U54" i="18"/>
  <c r="V54" i="18" s="1"/>
  <c r="W54" i="18" s="1"/>
  <c r="U58" i="18"/>
  <c r="V58" i="18" s="1"/>
  <c r="W58" i="18" s="1"/>
  <c r="U20" i="18"/>
  <c r="V20" i="18" s="1"/>
  <c r="W20" i="18" s="1"/>
  <c r="U28" i="18"/>
  <c r="V28" i="18" s="1"/>
  <c r="W28" i="18" s="1"/>
  <c r="U36" i="18"/>
  <c r="V36" i="18" s="1"/>
  <c r="W36" i="18" s="1"/>
  <c r="U44" i="18"/>
  <c r="V44" i="18" s="1"/>
  <c r="W44" i="18" s="1"/>
  <c r="U52" i="18"/>
  <c r="V52" i="18" s="1"/>
  <c r="W52" i="18" s="1"/>
  <c r="U12" i="18"/>
  <c r="V12" i="18" s="1"/>
  <c r="W12" i="18" s="1"/>
  <c r="U17" i="18"/>
  <c r="V17" i="18" s="1"/>
  <c r="W17" i="18" s="1"/>
  <c r="U25" i="18"/>
  <c r="V25" i="18" s="1"/>
  <c r="W25" i="18" s="1"/>
  <c r="U33" i="18"/>
  <c r="V33" i="18" s="1"/>
  <c r="W33" i="18" s="1"/>
  <c r="U41" i="18"/>
  <c r="V41" i="18" s="1"/>
  <c r="W41" i="18" s="1"/>
  <c r="U49" i="18"/>
  <c r="V49" i="18" s="1"/>
  <c r="W49" i="18" s="1"/>
  <c r="U57" i="18"/>
  <c r="V57" i="18" s="1"/>
  <c r="W57" i="18" s="1"/>
  <c r="U15" i="18"/>
  <c r="V15" i="18" s="1"/>
  <c r="W15" i="18" s="1"/>
  <c r="U19" i="18"/>
  <c r="V19" i="18" s="1"/>
  <c r="W19" i="18" s="1"/>
  <c r="U23" i="18"/>
  <c r="V23" i="18" s="1"/>
  <c r="W23" i="18" s="1"/>
  <c r="U27" i="18"/>
  <c r="V27" i="18" s="1"/>
  <c r="W27" i="18" s="1"/>
  <c r="U31" i="18"/>
  <c r="V31" i="18" s="1"/>
  <c r="W31" i="18" s="1"/>
  <c r="U35" i="18"/>
  <c r="V35" i="18" s="1"/>
  <c r="W35" i="18" s="1"/>
  <c r="U39" i="18"/>
  <c r="V39" i="18" s="1"/>
  <c r="W39" i="18" s="1"/>
  <c r="U43" i="18"/>
  <c r="V43" i="18" s="1"/>
  <c r="W43" i="18" s="1"/>
  <c r="U47" i="18"/>
  <c r="V47" i="18" s="1"/>
  <c r="W47" i="18" s="1"/>
  <c r="U51" i="18"/>
  <c r="V51" i="18" s="1"/>
  <c r="W51" i="18" s="1"/>
  <c r="U55" i="18"/>
  <c r="V55" i="18" s="1"/>
  <c r="W55" i="18" s="1"/>
  <c r="U59" i="18"/>
  <c r="V59" i="18" s="1"/>
  <c r="W59" i="18" s="1"/>
  <c r="U16" i="18"/>
  <c r="V16" i="18" s="1"/>
  <c r="W16" i="18" s="1"/>
  <c r="U24" i="18"/>
  <c r="V24" i="18" s="1"/>
  <c r="W24" i="18" s="1"/>
  <c r="U32" i="18"/>
  <c r="V32" i="18" s="1"/>
  <c r="W32" i="18" s="1"/>
  <c r="U40" i="18"/>
  <c r="V40" i="18" s="1"/>
  <c r="W40" i="18" s="1"/>
  <c r="U48" i="18"/>
  <c r="V48" i="18" s="1"/>
  <c r="W48" i="18" s="1"/>
  <c r="U56" i="18"/>
  <c r="V56" i="18" s="1"/>
  <c r="W56" i="18" s="1"/>
  <c r="U13" i="18"/>
  <c r="V13" i="18" s="1"/>
  <c r="W13" i="18" s="1"/>
  <c r="U21" i="18"/>
  <c r="V21" i="18" s="1"/>
  <c r="W21" i="18" s="1"/>
  <c r="U29" i="18"/>
  <c r="V29" i="18" s="1"/>
  <c r="W29" i="18" s="1"/>
  <c r="U37" i="18"/>
  <c r="V37" i="18" s="1"/>
  <c r="W37" i="18" s="1"/>
  <c r="U45" i="18"/>
  <c r="V45" i="18" s="1"/>
  <c r="W45" i="18" s="1"/>
  <c r="U53" i="18"/>
  <c r="V53" i="18" s="1"/>
  <c r="W53" i="18" s="1"/>
  <c r="AC30" i="18" l="1"/>
  <c r="AD30" i="18" s="1"/>
  <c r="AE30" i="18" s="1"/>
  <c r="AC47" i="18"/>
  <c r="AD47" i="18" s="1"/>
  <c r="AE47" i="18" s="1"/>
  <c r="AC15" i="18"/>
  <c r="AD15" i="18" s="1"/>
  <c r="AE15" i="18" s="1"/>
  <c r="AC16" i="18"/>
  <c r="AD16" i="18" s="1"/>
  <c r="AE16" i="18" s="1"/>
  <c r="AC45" i="18"/>
  <c r="AD45" i="18" s="1"/>
  <c r="AE45" i="18" s="1"/>
  <c r="AC13" i="18"/>
  <c r="AD13" i="18" s="1"/>
  <c r="AE13" i="18" s="1"/>
  <c r="AC43" i="18"/>
  <c r="AD43" i="18" s="1"/>
  <c r="AE43" i="18" s="1"/>
  <c r="AC58" i="18"/>
  <c r="AD58" i="18" s="1"/>
  <c r="AE58" i="18" s="1"/>
  <c r="AC26" i="18"/>
  <c r="AD26" i="18" s="1"/>
  <c r="AE26" i="18" s="1"/>
  <c r="AC41" i="18"/>
  <c r="AD41" i="18" s="1"/>
  <c r="AE41" i="18" s="1"/>
  <c r="AC12" i="18"/>
  <c r="AD12" i="18" s="1"/>
  <c r="AE12" i="18" s="1"/>
  <c r="AC31" i="18"/>
  <c r="AD31" i="18" s="1"/>
  <c r="AE31" i="18" s="1"/>
  <c r="AC46" i="18"/>
  <c r="AD46" i="18" s="1"/>
  <c r="AE46" i="18" s="1"/>
  <c r="AC14" i="18"/>
  <c r="AD14" i="18" s="1"/>
  <c r="AE14" i="18" s="1"/>
  <c r="AC29" i="18"/>
  <c r="AD29" i="18" s="1"/>
  <c r="AE29" i="18" s="1"/>
  <c r="AC48" i="18"/>
  <c r="AD48" i="18" s="1"/>
  <c r="AE48" i="18" s="1"/>
  <c r="AC59" i="18"/>
  <c r="AD59" i="18" s="1"/>
  <c r="AE59" i="18" s="1"/>
  <c r="AC27" i="18"/>
  <c r="AD27" i="18" s="1"/>
  <c r="AE27" i="18" s="1"/>
  <c r="AC42" i="18"/>
  <c r="AD42" i="18" s="1"/>
  <c r="AE42" i="18" s="1"/>
  <c r="AC57" i="18"/>
  <c r="AD57" i="18" s="1"/>
  <c r="AE57" i="18" s="1"/>
  <c r="AC25" i="18"/>
  <c r="AD25" i="18" s="1"/>
  <c r="AE25" i="18" s="1"/>
  <c r="AC32" i="18"/>
  <c r="AD32" i="18" s="1"/>
  <c r="AE32" i="18" s="1"/>
  <c r="AC44" i="18"/>
  <c r="AD44" i="18" s="1"/>
  <c r="AE44" i="18" s="1"/>
  <c r="AC28" i="18"/>
  <c r="AD28" i="18" s="1"/>
  <c r="AE28" i="18" s="1"/>
  <c r="AC55" i="18"/>
  <c r="AD55" i="18" s="1"/>
  <c r="AE55" i="18" s="1"/>
  <c r="AC39" i="18"/>
  <c r="AD39" i="18" s="1"/>
  <c r="AE39" i="18" s="1"/>
  <c r="AC23" i="18"/>
  <c r="AD23" i="18" s="1"/>
  <c r="AE23" i="18" s="1"/>
  <c r="AC54" i="18"/>
  <c r="AD54" i="18" s="1"/>
  <c r="AE54" i="18" s="1"/>
  <c r="AC38" i="18"/>
  <c r="AD38" i="18" s="1"/>
  <c r="AE38" i="18" s="1"/>
  <c r="AC22" i="18"/>
  <c r="AD22" i="18" s="1"/>
  <c r="AE22" i="18" s="1"/>
  <c r="AC53" i="18"/>
  <c r="AD53" i="18" s="1"/>
  <c r="AE53" i="18" s="1"/>
  <c r="AC37" i="18"/>
  <c r="AD37" i="18" s="1"/>
  <c r="AE37" i="18" s="1"/>
  <c r="AC21" i="18"/>
  <c r="AD21" i="18" s="1"/>
  <c r="AE21" i="18" s="1"/>
  <c r="AC56" i="18"/>
  <c r="AD56" i="18" s="1"/>
  <c r="AE56" i="18" s="1"/>
  <c r="AC40" i="18"/>
  <c r="AD40" i="18" s="1"/>
  <c r="AE40" i="18" s="1"/>
  <c r="AC24" i="18"/>
  <c r="AD24" i="18" s="1"/>
  <c r="AE24" i="18" s="1"/>
  <c r="AC51" i="18"/>
  <c r="AD51" i="18" s="1"/>
  <c r="AE51" i="18" s="1"/>
  <c r="AC35" i="18"/>
  <c r="AD35" i="18" s="1"/>
  <c r="AE35" i="18" s="1"/>
  <c r="AC19" i="18"/>
  <c r="AD19" i="18" s="1"/>
  <c r="AE19" i="18" s="1"/>
  <c r="AC50" i="18"/>
  <c r="AD50" i="18" s="1"/>
  <c r="AE50" i="18" s="1"/>
  <c r="AC34" i="18"/>
  <c r="AD34" i="18" s="1"/>
  <c r="AE34" i="18" s="1"/>
  <c r="AC18" i="18"/>
  <c r="AD18" i="18" s="1"/>
  <c r="AE18" i="18" s="1"/>
  <c r="AC49" i="18"/>
  <c r="AD49" i="18" s="1"/>
  <c r="AE49" i="18" s="1"/>
  <c r="AC33" i="18"/>
  <c r="AD33" i="18" s="1"/>
  <c r="AE33" i="18" s="1"/>
  <c r="AC17" i="18"/>
  <c r="AD17" i="18" s="1"/>
  <c r="AE17" i="18" s="1"/>
  <c r="AC52" i="18"/>
  <c r="AD52" i="18" s="1"/>
  <c r="AE52" i="18" s="1"/>
  <c r="AC36" i="18"/>
  <c r="AD36" i="18" s="1"/>
  <c r="AE36" i="18" s="1"/>
  <c r="W60" i="18"/>
  <c r="AE60" i="18" l="1"/>
  <c r="AE9" i="18" s="1"/>
  <c r="L13" i="18" l="1"/>
  <c r="L14" i="18"/>
  <c r="L17" i="18"/>
  <c r="L18" i="18"/>
  <c r="L21" i="18"/>
  <c r="L22" i="18"/>
  <c r="L25" i="18"/>
  <c r="L26" i="18"/>
  <c r="L29" i="18"/>
  <c r="L30" i="18"/>
  <c r="L33" i="18"/>
  <c r="L34" i="18"/>
  <c r="L37" i="18"/>
  <c r="L38" i="18"/>
  <c r="L41" i="18"/>
  <c r="L42" i="18"/>
  <c r="J8" i="18"/>
  <c r="L15" i="18" s="1"/>
  <c r="J9" i="18"/>
  <c r="B9" i="18"/>
  <c r="O9" i="16"/>
  <c r="V37" i="16" s="1"/>
  <c r="W37" i="16" s="1"/>
  <c r="V36" i="16"/>
  <c r="W36" i="16" s="1"/>
  <c r="V39" i="16"/>
  <c r="W39" i="16" s="1"/>
  <c r="V12" i="16"/>
  <c r="W12" i="16" s="1"/>
  <c r="V15" i="16"/>
  <c r="W15" i="16" s="1"/>
  <c r="V16" i="16"/>
  <c r="W16" i="16" s="1"/>
  <c r="V18" i="16"/>
  <c r="W18" i="16" s="1"/>
  <c r="V19" i="16"/>
  <c r="W19" i="16" s="1"/>
  <c r="V20" i="16"/>
  <c r="W20" i="16" s="1"/>
  <c r="V22" i="16"/>
  <c r="W22" i="16" s="1"/>
  <c r="V23" i="16"/>
  <c r="W23" i="16" s="1"/>
  <c r="V24" i="16"/>
  <c r="W24" i="16" s="1"/>
  <c r="V26" i="16"/>
  <c r="W26" i="16" s="1"/>
  <c r="V27" i="16"/>
  <c r="W27" i="16" s="1"/>
  <c r="V28" i="16"/>
  <c r="W28" i="16" s="1"/>
  <c r="V30" i="16"/>
  <c r="W30" i="16" s="1"/>
  <c r="V31" i="16"/>
  <c r="W31" i="16" s="1"/>
  <c r="V32" i="16"/>
  <c r="W32" i="16" s="1"/>
  <c r="V34" i="16"/>
  <c r="W34" i="16" s="1"/>
  <c r="V35" i="16"/>
  <c r="W35" i="16" s="1"/>
  <c r="P36" i="16"/>
  <c r="Q36" i="16" s="1"/>
  <c r="P37" i="16"/>
  <c r="P38" i="16"/>
  <c r="P39" i="16"/>
  <c r="P40" i="16"/>
  <c r="Q40" i="16" s="1"/>
  <c r="P41" i="16"/>
  <c r="Q41" i="16" s="1"/>
  <c r="P42" i="16"/>
  <c r="Q42" i="16" s="1"/>
  <c r="P43" i="16"/>
  <c r="Q43" i="16" s="1"/>
  <c r="P44" i="16"/>
  <c r="Q44" i="16" s="1"/>
  <c r="P45" i="16"/>
  <c r="Q45" i="16" s="1"/>
  <c r="P46" i="16"/>
  <c r="Q46" i="16" s="1"/>
  <c r="P47" i="16"/>
  <c r="Q47" i="16" s="1"/>
  <c r="P48" i="16"/>
  <c r="Q48" i="16" s="1"/>
  <c r="P49" i="16"/>
  <c r="Q49" i="16" s="1"/>
  <c r="P50" i="16"/>
  <c r="Q50" i="16" s="1"/>
  <c r="P51" i="16"/>
  <c r="Q51" i="16" s="1"/>
  <c r="P52" i="16"/>
  <c r="Q52" i="16" s="1"/>
  <c r="P53" i="16"/>
  <c r="Q53" i="16" s="1"/>
  <c r="P54" i="16"/>
  <c r="Q54" i="16" s="1"/>
  <c r="P55" i="16"/>
  <c r="Q55" i="16" s="1"/>
  <c r="P56" i="16"/>
  <c r="Q56" i="16" s="1"/>
  <c r="P57" i="16"/>
  <c r="Q57" i="16" s="1"/>
  <c r="P58" i="16"/>
  <c r="Q58" i="16" s="1"/>
  <c r="P59" i="16"/>
  <c r="Q59" i="16" s="1"/>
  <c r="P60" i="16"/>
  <c r="Q60" i="16" s="1"/>
  <c r="P61" i="16"/>
  <c r="Q61" i="16" s="1"/>
  <c r="P62" i="16"/>
  <c r="Q62" i="16" s="1"/>
  <c r="P63" i="16"/>
  <c r="Q63" i="16" s="1"/>
  <c r="P64" i="16"/>
  <c r="Q64" i="16" s="1"/>
  <c r="P65" i="16"/>
  <c r="Q65" i="16" s="1"/>
  <c r="P66" i="16"/>
  <c r="Q66" i="16" s="1"/>
  <c r="P67" i="16"/>
  <c r="Q67" i="16" s="1"/>
  <c r="P68" i="16"/>
  <c r="Q68" i="16" s="1"/>
  <c r="P69" i="16"/>
  <c r="Q69" i="16" s="1"/>
  <c r="P70" i="16"/>
  <c r="Q70" i="16" s="1"/>
  <c r="P71" i="16"/>
  <c r="Q71" i="16" s="1"/>
  <c r="P72" i="16"/>
  <c r="Q72" i="16" s="1"/>
  <c r="P73" i="16"/>
  <c r="Q73" i="16" s="1"/>
  <c r="P74" i="16"/>
  <c r="Q74" i="16" s="1"/>
  <c r="P75" i="16"/>
  <c r="Q75" i="16" s="1"/>
  <c r="P76" i="16"/>
  <c r="Q76" i="16" s="1"/>
  <c r="P77" i="16"/>
  <c r="Q77" i="16" s="1"/>
  <c r="P78" i="16"/>
  <c r="Q78" i="16" s="1"/>
  <c r="P79" i="16"/>
  <c r="Q79" i="16" s="1"/>
  <c r="P80" i="16"/>
  <c r="Q80" i="16" s="1"/>
  <c r="P81" i="16"/>
  <c r="Q81" i="16" s="1"/>
  <c r="P82" i="16"/>
  <c r="Q82" i="16" s="1"/>
  <c r="P83" i="16"/>
  <c r="Q83" i="16" s="1"/>
  <c r="P84" i="16"/>
  <c r="Q84" i="16" s="1"/>
  <c r="Q37" i="16"/>
  <c r="Q38" i="16"/>
  <c r="Q39" i="16"/>
  <c r="P13" i="16"/>
  <c r="Q13" i="16" s="1"/>
  <c r="P14" i="16"/>
  <c r="Q14" i="16" s="1"/>
  <c r="P15" i="16"/>
  <c r="Q15" i="16" s="1"/>
  <c r="P16" i="16"/>
  <c r="Q16" i="16" s="1"/>
  <c r="P17" i="16"/>
  <c r="Q17" i="16" s="1"/>
  <c r="P18" i="16"/>
  <c r="Q18" i="16" s="1"/>
  <c r="P19" i="16"/>
  <c r="Q19" i="16" s="1"/>
  <c r="P20" i="16"/>
  <c r="Q20" i="16" s="1"/>
  <c r="P21" i="16"/>
  <c r="Q21" i="16" s="1"/>
  <c r="P22" i="16"/>
  <c r="Q22" i="16" s="1"/>
  <c r="P23" i="16"/>
  <c r="Q23" i="16" s="1"/>
  <c r="P24" i="16"/>
  <c r="Q24" i="16" s="1"/>
  <c r="P25" i="16"/>
  <c r="Q25" i="16" s="1"/>
  <c r="P26" i="16"/>
  <c r="Q26" i="16" s="1"/>
  <c r="P27" i="16"/>
  <c r="Q27" i="16" s="1"/>
  <c r="P28" i="16"/>
  <c r="Q28" i="16" s="1"/>
  <c r="P29" i="16"/>
  <c r="Q29" i="16" s="1"/>
  <c r="P30" i="16"/>
  <c r="Q30" i="16" s="1"/>
  <c r="P31" i="16"/>
  <c r="Q31" i="16" s="1"/>
  <c r="P32" i="16"/>
  <c r="Q32" i="16" s="1"/>
  <c r="P33" i="16"/>
  <c r="Q33" i="16" s="1"/>
  <c r="P34" i="16"/>
  <c r="Q34" i="16" s="1"/>
  <c r="P35" i="16"/>
  <c r="Q35" i="16" s="1"/>
  <c r="N9" i="16"/>
  <c r="P12" i="16"/>
  <c r="Q12" i="16" s="1"/>
  <c r="D12" i="16"/>
  <c r="N7" i="16"/>
  <c r="N6" i="16"/>
  <c r="N5" i="16"/>
  <c r="P8" i="16"/>
  <c r="O7" i="16"/>
  <c r="O6" i="16"/>
  <c r="O5" i="16"/>
  <c r="B9" i="16"/>
  <c r="C9" i="16"/>
  <c r="D8" i="16"/>
  <c r="J12" i="16"/>
  <c r="C6" i="16"/>
  <c r="C5" i="16"/>
  <c r="C7" i="16"/>
  <c r="B7" i="16"/>
  <c r="L40" i="18" l="1"/>
  <c r="L36" i="18"/>
  <c r="L32" i="18"/>
  <c r="L28" i="18"/>
  <c r="L24" i="18"/>
  <c r="L20" i="18"/>
  <c r="L16" i="18"/>
  <c r="L12" i="18"/>
  <c r="J10" i="18" s="1"/>
  <c r="M13" i="18" s="1"/>
  <c r="N13" i="18" s="1"/>
  <c r="O13" i="18" s="1"/>
  <c r="L39" i="18"/>
  <c r="L35" i="18"/>
  <c r="L31" i="18"/>
  <c r="L27" i="18"/>
  <c r="L23" i="18"/>
  <c r="L19" i="18"/>
  <c r="M28" i="18"/>
  <c r="N28" i="18" s="1"/>
  <c r="O28" i="18" s="1"/>
  <c r="M40" i="18"/>
  <c r="N40" i="18" s="1"/>
  <c r="O40" i="18" s="1"/>
  <c r="M24" i="18"/>
  <c r="N24" i="18" s="1"/>
  <c r="O24" i="18" s="1"/>
  <c r="M36" i="18"/>
  <c r="N36" i="18" s="1"/>
  <c r="O36" i="18" s="1"/>
  <c r="M20" i="18"/>
  <c r="N20" i="18" s="1"/>
  <c r="O20" i="18" s="1"/>
  <c r="M32" i="18"/>
  <c r="N32" i="18" s="1"/>
  <c r="O32" i="18" s="1"/>
  <c r="M16" i="18"/>
  <c r="N16" i="18" s="1"/>
  <c r="O16" i="18" s="1"/>
  <c r="M39" i="18"/>
  <c r="N39" i="18" s="1"/>
  <c r="O39" i="18" s="1"/>
  <c r="M35" i="18"/>
  <c r="N35" i="18" s="1"/>
  <c r="O35" i="18" s="1"/>
  <c r="M31" i="18"/>
  <c r="N31" i="18" s="1"/>
  <c r="O31" i="18" s="1"/>
  <c r="M27" i="18"/>
  <c r="N27" i="18" s="1"/>
  <c r="O27" i="18" s="1"/>
  <c r="M23" i="18"/>
  <c r="N23" i="18" s="1"/>
  <c r="O23" i="18" s="1"/>
  <c r="M19" i="18"/>
  <c r="N19" i="18" s="1"/>
  <c r="O19" i="18" s="1"/>
  <c r="M15" i="18"/>
  <c r="N15" i="18" s="1"/>
  <c r="O15" i="18" s="1"/>
  <c r="M42" i="18"/>
  <c r="N42" i="18" s="1"/>
  <c r="O42" i="18" s="1"/>
  <c r="M38" i="18"/>
  <c r="N38" i="18" s="1"/>
  <c r="O38" i="18" s="1"/>
  <c r="M34" i="18"/>
  <c r="N34" i="18" s="1"/>
  <c r="O34" i="18" s="1"/>
  <c r="M30" i="18"/>
  <c r="N30" i="18" s="1"/>
  <c r="O30" i="18" s="1"/>
  <c r="M26" i="18"/>
  <c r="N26" i="18" s="1"/>
  <c r="O26" i="18" s="1"/>
  <c r="M22" i="18"/>
  <c r="N22" i="18" s="1"/>
  <c r="O22" i="18" s="1"/>
  <c r="M18" i="18"/>
  <c r="N18" i="18" s="1"/>
  <c r="O18" i="18" s="1"/>
  <c r="M14" i="18"/>
  <c r="N14" i="18" s="1"/>
  <c r="O14" i="18" s="1"/>
  <c r="M12" i="18"/>
  <c r="N12" i="18" s="1"/>
  <c r="O12" i="18" s="1"/>
  <c r="M41" i="18"/>
  <c r="N41" i="18" s="1"/>
  <c r="O41" i="18" s="1"/>
  <c r="M37" i="18"/>
  <c r="N37" i="18" s="1"/>
  <c r="O37" i="18" s="1"/>
  <c r="M33" i="18"/>
  <c r="N33" i="18" s="1"/>
  <c r="O33" i="18" s="1"/>
  <c r="M29" i="18"/>
  <c r="N29" i="18" s="1"/>
  <c r="O29" i="18" s="1"/>
  <c r="M25" i="18"/>
  <c r="N25" i="18" s="1"/>
  <c r="O25" i="18" s="1"/>
  <c r="M21" i="18"/>
  <c r="N21" i="18" s="1"/>
  <c r="O21" i="18" s="1"/>
  <c r="M17" i="18"/>
  <c r="N17" i="18" s="1"/>
  <c r="O17" i="18" s="1"/>
  <c r="V14" i="16"/>
  <c r="W14" i="16" s="1"/>
  <c r="V38" i="16"/>
  <c r="W38" i="16" s="1"/>
  <c r="V33" i="16"/>
  <c r="W33" i="16" s="1"/>
  <c r="V29" i="16"/>
  <c r="W29" i="16" s="1"/>
  <c r="V25" i="16"/>
  <c r="W25" i="16" s="1"/>
  <c r="V21" i="16"/>
  <c r="W21" i="16" s="1"/>
  <c r="V17" i="16"/>
  <c r="W17" i="16" s="1"/>
  <c r="V13" i="16"/>
  <c r="W13" i="16" s="1"/>
  <c r="Q85" i="16"/>
  <c r="R7" i="16" s="1"/>
  <c r="D19" i="16"/>
  <c r="D13" i="16"/>
  <c r="O10" i="18" l="1"/>
  <c r="W8" i="16"/>
  <c r="W40" i="16"/>
  <c r="B8" i="18" l="1"/>
  <c r="D13" i="18" l="1"/>
  <c r="D17" i="18"/>
  <c r="D21" i="18"/>
  <c r="D25" i="18"/>
  <c r="D29" i="18"/>
  <c r="D33" i="18"/>
  <c r="D37" i="18"/>
  <c r="D41" i="18"/>
  <c r="D45" i="18"/>
  <c r="D49" i="18"/>
  <c r="D15" i="18"/>
  <c r="D27" i="18"/>
  <c r="D39" i="18"/>
  <c r="D51" i="18"/>
  <c r="D16" i="18"/>
  <c r="D24" i="18"/>
  <c r="D32" i="18"/>
  <c r="D44" i="18"/>
  <c r="D12" i="18"/>
  <c r="B10" i="18" s="1"/>
  <c r="D14" i="18"/>
  <c r="D18" i="18"/>
  <c r="D22" i="18"/>
  <c r="D26" i="18"/>
  <c r="D30" i="18"/>
  <c r="D34" i="18"/>
  <c r="D38" i="18"/>
  <c r="D42" i="18"/>
  <c r="D46" i="18"/>
  <c r="D50" i="18"/>
  <c r="D19" i="18"/>
  <c r="D23" i="18"/>
  <c r="D31" i="18"/>
  <c r="D35" i="18"/>
  <c r="D43" i="18"/>
  <c r="D47" i="18"/>
  <c r="D20" i="18"/>
  <c r="D28" i="18"/>
  <c r="D36" i="18"/>
  <c r="D40" i="18"/>
  <c r="D48" i="18"/>
  <c r="E13" i="18" l="1"/>
  <c r="F13" i="18" s="1"/>
  <c r="G13" i="18" s="1"/>
  <c r="E39" i="18"/>
  <c r="F39" i="18" s="1"/>
  <c r="G39" i="18" s="1"/>
  <c r="E40" i="18"/>
  <c r="F40" i="18" s="1"/>
  <c r="G40" i="18" s="1"/>
  <c r="E24" i="18"/>
  <c r="F24" i="18" s="1"/>
  <c r="G24" i="18" s="1"/>
  <c r="E31" i="18"/>
  <c r="F31" i="18" s="1"/>
  <c r="G31" i="18" s="1"/>
  <c r="E42" i="18"/>
  <c r="F42" i="18" s="1"/>
  <c r="G42" i="18" s="1"/>
  <c r="E26" i="18"/>
  <c r="F26" i="18" s="1"/>
  <c r="G26" i="18" s="1"/>
  <c r="E47" i="18"/>
  <c r="F47" i="18" s="1"/>
  <c r="G47" i="18" s="1"/>
  <c r="E49" i="18"/>
  <c r="F49" i="18" s="1"/>
  <c r="G49" i="18" s="1"/>
  <c r="E33" i="18"/>
  <c r="F33" i="18" s="1"/>
  <c r="G33" i="18" s="1"/>
  <c r="E17" i="18"/>
  <c r="F17" i="18" s="1"/>
  <c r="G17" i="18" s="1"/>
  <c r="E48" i="18"/>
  <c r="F48" i="18" s="1"/>
  <c r="G48" i="18" s="1"/>
  <c r="E32" i="18"/>
  <c r="F32" i="18" s="1"/>
  <c r="G32" i="18" s="1"/>
  <c r="E50" i="18"/>
  <c r="F50" i="18" s="1"/>
  <c r="G50" i="18" s="1"/>
  <c r="E27" i="18"/>
  <c r="F27" i="18" s="1"/>
  <c r="G27" i="18" s="1"/>
  <c r="E30" i="18"/>
  <c r="F30" i="18" s="1"/>
  <c r="G30" i="18" s="1"/>
  <c r="E21" i="18"/>
  <c r="F21" i="18" s="1"/>
  <c r="G21" i="18" s="1"/>
  <c r="E23" i="18"/>
  <c r="F23" i="18" s="1"/>
  <c r="G23" i="18" s="1"/>
  <c r="E36" i="18"/>
  <c r="F36" i="18" s="1"/>
  <c r="G36" i="18" s="1"/>
  <c r="E20" i="18"/>
  <c r="F20" i="18" s="1"/>
  <c r="G20" i="18" s="1"/>
  <c r="E19" i="18"/>
  <c r="F19" i="18" s="1"/>
  <c r="G19" i="18" s="1"/>
  <c r="E38" i="18"/>
  <c r="F38" i="18" s="1"/>
  <c r="G38" i="18" s="1"/>
  <c r="E22" i="18"/>
  <c r="F22" i="18" s="1"/>
  <c r="G22" i="18" s="1"/>
  <c r="E35" i="18"/>
  <c r="F35" i="18" s="1"/>
  <c r="G35" i="18" s="1"/>
  <c r="E45" i="18"/>
  <c r="F45" i="18" s="1"/>
  <c r="G45" i="18" s="1"/>
  <c r="E29" i="18"/>
  <c r="F29" i="18" s="1"/>
  <c r="G29" i="18" s="1"/>
  <c r="E12" i="18"/>
  <c r="F12" i="18" s="1"/>
  <c r="G12" i="18" s="1"/>
  <c r="E16" i="18"/>
  <c r="F16" i="18" s="1"/>
  <c r="G16" i="18" s="1"/>
  <c r="E34" i="18"/>
  <c r="F34" i="18" s="1"/>
  <c r="G34" i="18" s="1"/>
  <c r="E18" i="18"/>
  <c r="F18" i="18" s="1"/>
  <c r="G18" i="18" s="1"/>
  <c r="E41" i="18"/>
  <c r="F41" i="18" s="1"/>
  <c r="G41" i="18" s="1"/>
  <c r="E25" i="18"/>
  <c r="F25" i="18" s="1"/>
  <c r="G25" i="18" s="1"/>
  <c r="E51" i="18"/>
  <c r="F51" i="18" s="1"/>
  <c r="G51" i="18" s="1"/>
  <c r="E44" i="18"/>
  <c r="F44" i="18" s="1"/>
  <c r="G44" i="18" s="1"/>
  <c r="E28" i="18"/>
  <c r="F28" i="18" s="1"/>
  <c r="G28" i="18" s="1"/>
  <c r="E43" i="18"/>
  <c r="F43" i="18" s="1"/>
  <c r="G43" i="18" s="1"/>
  <c r="E46" i="18"/>
  <c r="F46" i="18" s="1"/>
  <c r="G46" i="18" s="1"/>
  <c r="E14" i="18"/>
  <c r="F14" i="18" s="1"/>
  <c r="G14" i="18" s="1"/>
  <c r="G52" i="18" s="1"/>
  <c r="G10" i="18" s="1"/>
  <c r="E15" i="18"/>
  <c r="F15" i="18" s="1"/>
  <c r="G15" i="18" s="1"/>
  <c r="E37" i="18"/>
  <c r="F37" i="18" s="1"/>
  <c r="G37" i="18" s="1"/>
  <c r="J14" i="16"/>
  <c r="K14" i="16" s="1"/>
  <c r="J13" i="16"/>
  <c r="K13" i="16" s="1"/>
  <c r="J20" i="16"/>
  <c r="K20" i="16" s="1"/>
  <c r="J29" i="16"/>
  <c r="K29" i="16" s="1"/>
  <c r="J28" i="16" l="1"/>
  <c r="K28" i="16" s="1"/>
  <c r="K12" i="16"/>
  <c r="J21" i="16"/>
  <c r="K21" i="16" s="1"/>
  <c r="J33" i="16"/>
  <c r="K33" i="16" s="1"/>
  <c r="J25" i="16"/>
  <c r="K25" i="16" s="1"/>
  <c r="J17" i="16"/>
  <c r="K17" i="16" s="1"/>
  <c r="J32" i="16"/>
  <c r="K32" i="16" s="1"/>
  <c r="J24" i="16"/>
  <c r="K24" i="16" s="1"/>
  <c r="J16" i="16"/>
  <c r="K16" i="16" s="1"/>
  <c r="J35" i="16"/>
  <c r="K35" i="16" s="1"/>
  <c r="J31" i="16"/>
  <c r="K31" i="16" s="1"/>
  <c r="J27" i="16"/>
  <c r="K27" i="16" s="1"/>
  <c r="J23" i="16"/>
  <c r="K23" i="16" s="1"/>
  <c r="J19" i="16"/>
  <c r="K19" i="16" s="1"/>
  <c r="J15" i="16"/>
  <c r="K15" i="16" s="1"/>
  <c r="J34" i="16"/>
  <c r="K34" i="16" s="1"/>
  <c r="J30" i="16"/>
  <c r="K30" i="16" s="1"/>
  <c r="J26" i="16"/>
  <c r="K26" i="16" s="1"/>
  <c r="J22" i="16"/>
  <c r="K22" i="16" s="1"/>
  <c r="J18" i="16"/>
  <c r="K18" i="16" s="1"/>
  <c r="B6" i="16"/>
  <c r="B5" i="16"/>
  <c r="K8" i="16" l="1"/>
  <c r="D14" i="16"/>
  <c r="E14" i="16" s="1"/>
  <c r="D33" i="16"/>
  <c r="E33" i="16" s="1"/>
  <c r="D29" i="16"/>
  <c r="E29" i="16" s="1"/>
  <c r="D25" i="16"/>
  <c r="E25" i="16" s="1"/>
  <c r="D21" i="16"/>
  <c r="E21" i="16" s="1"/>
  <c r="D17" i="16"/>
  <c r="E17" i="16" s="1"/>
  <c r="E13" i="16"/>
  <c r="D32" i="16"/>
  <c r="E32" i="16" s="1"/>
  <c r="D28" i="16"/>
  <c r="E28" i="16" s="1"/>
  <c r="D24" i="16"/>
  <c r="E24" i="16" s="1"/>
  <c r="D20" i="16"/>
  <c r="E20" i="16" s="1"/>
  <c r="D16" i="16"/>
  <c r="E16" i="16" s="1"/>
  <c r="D35" i="16"/>
  <c r="E35" i="16" s="1"/>
  <c r="D31" i="16"/>
  <c r="E31" i="16" s="1"/>
  <c r="D27" i="16"/>
  <c r="E27" i="16" s="1"/>
  <c r="D23" i="16"/>
  <c r="E23" i="16" s="1"/>
  <c r="E19" i="16"/>
  <c r="D15" i="16"/>
  <c r="E15" i="16" s="1"/>
  <c r="D34" i="16"/>
  <c r="E34" i="16" s="1"/>
  <c r="D30" i="16"/>
  <c r="E30" i="16" s="1"/>
  <c r="D26" i="16"/>
  <c r="E26" i="16" s="1"/>
  <c r="D22" i="16"/>
  <c r="E22" i="16" s="1"/>
  <c r="D18" i="16"/>
  <c r="E18" i="16" s="1"/>
  <c r="AX125" i="17"/>
  <c r="AX122" i="17"/>
  <c r="AX119" i="17"/>
  <c r="AX51" i="17"/>
  <c r="AX49" i="17"/>
  <c r="AX44" i="17"/>
  <c r="AX42" i="17"/>
  <c r="AX41" i="17"/>
  <c r="J27" i="17"/>
  <c r="I27" i="17"/>
  <c r="J25" i="17" s="1"/>
  <c r="N631" i="17"/>
  <c r="I914" i="17"/>
  <c r="J914" i="17" s="1"/>
  <c r="K914" i="17" s="1"/>
  <c r="O60" i="17"/>
  <c r="O58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57" i="17"/>
  <c r="J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57" i="17"/>
  <c r="I58" i="17"/>
  <c r="I59" i="17"/>
  <c r="I60" i="17"/>
  <c r="J60" i="17" s="1"/>
  <c r="I61" i="17"/>
  <c r="I62" i="17"/>
  <c r="I63" i="17"/>
  <c r="I64" i="17"/>
  <c r="J64" i="17" s="1"/>
  <c r="I65" i="17"/>
  <c r="I66" i="17"/>
  <c r="I67" i="17"/>
  <c r="I68" i="17"/>
  <c r="J68" i="17" s="1"/>
  <c r="I69" i="17"/>
  <c r="I70" i="17"/>
  <c r="I71" i="17"/>
  <c r="I72" i="17"/>
  <c r="J72" i="17" s="1"/>
  <c r="I73" i="17"/>
  <c r="I74" i="17"/>
  <c r="I75" i="17"/>
  <c r="I76" i="17"/>
  <c r="J76" i="17" s="1"/>
  <c r="I77" i="17"/>
  <c r="I78" i="17"/>
  <c r="I79" i="17"/>
  <c r="I80" i="17"/>
  <c r="J80" i="17" s="1"/>
  <c r="I81" i="17"/>
  <c r="I82" i="17"/>
  <c r="I83" i="17"/>
  <c r="I84" i="17"/>
  <c r="J84" i="17" s="1"/>
  <c r="I85" i="17"/>
  <c r="I86" i="17"/>
  <c r="I87" i="17"/>
  <c r="I88" i="17"/>
  <c r="J88" i="17" s="1"/>
  <c r="I89" i="17"/>
  <c r="I90" i="17"/>
  <c r="I91" i="17"/>
  <c r="I92" i="17"/>
  <c r="J92" i="17" s="1"/>
  <c r="I93" i="17"/>
  <c r="I94" i="17"/>
  <c r="I95" i="17"/>
  <c r="I96" i="17"/>
  <c r="J96" i="17" s="1"/>
  <c r="I97" i="17"/>
  <c r="I98" i="17"/>
  <c r="I99" i="17"/>
  <c r="I100" i="17"/>
  <c r="J100" i="17" s="1"/>
  <c r="I101" i="17"/>
  <c r="I102" i="17"/>
  <c r="I103" i="17"/>
  <c r="I104" i="17"/>
  <c r="J104" i="17" s="1"/>
  <c r="I105" i="17"/>
  <c r="I106" i="17"/>
  <c r="I107" i="17"/>
  <c r="I108" i="17"/>
  <c r="J108" i="17" s="1"/>
  <c r="I109" i="17"/>
  <c r="I110" i="17"/>
  <c r="I111" i="17"/>
  <c r="I112" i="17"/>
  <c r="J112" i="17" s="1"/>
  <c r="I113" i="17"/>
  <c r="I114" i="17"/>
  <c r="I115" i="17"/>
  <c r="I116" i="17"/>
  <c r="J116" i="17" s="1"/>
  <c r="I117" i="17"/>
  <c r="I118" i="17"/>
  <c r="I119" i="17"/>
  <c r="I120" i="17"/>
  <c r="J120" i="17" s="1"/>
  <c r="I121" i="17"/>
  <c r="I122" i="17"/>
  <c r="I123" i="17"/>
  <c r="I124" i="17"/>
  <c r="J124" i="17" s="1"/>
  <c r="I125" i="17"/>
  <c r="I126" i="17"/>
  <c r="I127" i="17"/>
  <c r="I128" i="17"/>
  <c r="J128" i="17" s="1"/>
  <c r="I129" i="17"/>
  <c r="I130" i="17"/>
  <c r="I131" i="17"/>
  <c r="I132" i="17"/>
  <c r="J132" i="17" s="1"/>
  <c r="I133" i="17"/>
  <c r="I134" i="17"/>
  <c r="I135" i="17"/>
  <c r="I136" i="17"/>
  <c r="J136" i="17" s="1"/>
  <c r="I137" i="17"/>
  <c r="I138" i="17"/>
  <c r="I139" i="17"/>
  <c r="I140" i="17"/>
  <c r="J140" i="17" s="1"/>
  <c r="I141" i="17"/>
  <c r="I142" i="17"/>
  <c r="I143" i="17"/>
  <c r="I144" i="17"/>
  <c r="J144" i="17" s="1"/>
  <c r="I145" i="17"/>
  <c r="I146" i="17"/>
  <c r="I147" i="17"/>
  <c r="I148" i="17"/>
  <c r="J148" i="17" s="1"/>
  <c r="I149" i="17"/>
  <c r="I150" i="17"/>
  <c r="I151" i="17"/>
  <c r="I152" i="17"/>
  <c r="J152" i="17" s="1"/>
  <c r="I153" i="17"/>
  <c r="I154" i="17"/>
  <c r="I155" i="17"/>
  <c r="I156" i="17"/>
  <c r="J156" i="17" s="1"/>
  <c r="I157" i="17"/>
  <c r="I158" i="17"/>
  <c r="I159" i="17"/>
  <c r="I160" i="17"/>
  <c r="J160" i="17" s="1"/>
  <c r="I161" i="17"/>
  <c r="I162" i="17"/>
  <c r="I163" i="17"/>
  <c r="I164" i="17"/>
  <c r="J164" i="17" s="1"/>
  <c r="I165" i="17"/>
  <c r="I166" i="17"/>
  <c r="I167" i="17"/>
  <c r="I168" i="17"/>
  <c r="J168" i="17" s="1"/>
  <c r="I169" i="17"/>
  <c r="I170" i="17"/>
  <c r="I171" i="17"/>
  <c r="I172" i="17"/>
  <c r="J172" i="17" s="1"/>
  <c r="I173" i="17"/>
  <c r="I174" i="17"/>
  <c r="I175" i="17"/>
  <c r="I176" i="17"/>
  <c r="J176" i="17" s="1"/>
  <c r="I177" i="17"/>
  <c r="I178" i="17"/>
  <c r="I179" i="17"/>
  <c r="I180" i="17"/>
  <c r="J180" i="17" s="1"/>
  <c r="I181" i="17"/>
  <c r="I182" i="17"/>
  <c r="I183" i="17"/>
  <c r="I184" i="17"/>
  <c r="J184" i="17" s="1"/>
  <c r="I185" i="17"/>
  <c r="I186" i="17"/>
  <c r="I187" i="17"/>
  <c r="I188" i="17"/>
  <c r="J188" i="17" s="1"/>
  <c r="I189" i="17"/>
  <c r="I190" i="17"/>
  <c r="I191" i="17"/>
  <c r="I192" i="17"/>
  <c r="J192" i="17" s="1"/>
  <c r="I193" i="17"/>
  <c r="I194" i="17"/>
  <c r="I195" i="17"/>
  <c r="I196" i="17"/>
  <c r="J196" i="17" s="1"/>
  <c r="I197" i="17"/>
  <c r="I198" i="17"/>
  <c r="I199" i="17"/>
  <c r="I200" i="17"/>
  <c r="J200" i="17" s="1"/>
  <c r="I201" i="17"/>
  <c r="I202" i="17"/>
  <c r="I203" i="17"/>
  <c r="I204" i="17"/>
  <c r="J204" i="17" s="1"/>
  <c r="I205" i="17"/>
  <c r="I206" i="17"/>
  <c r="I207" i="17"/>
  <c r="I208" i="17"/>
  <c r="J208" i="17" s="1"/>
  <c r="I209" i="17"/>
  <c r="I210" i="17"/>
  <c r="I211" i="17"/>
  <c r="I212" i="17"/>
  <c r="J212" i="17" s="1"/>
  <c r="I213" i="17"/>
  <c r="I214" i="17"/>
  <c r="I215" i="17"/>
  <c r="I216" i="17"/>
  <c r="J216" i="17" s="1"/>
  <c r="I217" i="17"/>
  <c r="I218" i="17"/>
  <c r="I219" i="17"/>
  <c r="I220" i="17"/>
  <c r="J220" i="17" s="1"/>
  <c r="I221" i="17"/>
  <c r="I222" i="17"/>
  <c r="I223" i="17"/>
  <c r="I224" i="17"/>
  <c r="J224" i="17" s="1"/>
  <c r="I225" i="17"/>
  <c r="I226" i="17"/>
  <c r="I227" i="17"/>
  <c r="I228" i="17"/>
  <c r="J228" i="17" s="1"/>
  <c r="I229" i="17"/>
  <c r="I230" i="17"/>
  <c r="I231" i="17"/>
  <c r="I232" i="17"/>
  <c r="J232" i="17" s="1"/>
  <c r="I233" i="17"/>
  <c r="I234" i="17"/>
  <c r="I235" i="17"/>
  <c r="I236" i="17"/>
  <c r="J236" i="17" s="1"/>
  <c r="I237" i="17"/>
  <c r="I238" i="17"/>
  <c r="I239" i="17"/>
  <c r="I240" i="17"/>
  <c r="J240" i="17" s="1"/>
  <c r="I241" i="17"/>
  <c r="I242" i="17"/>
  <c r="I243" i="17"/>
  <c r="I244" i="17"/>
  <c r="J244" i="17" s="1"/>
  <c r="I245" i="17"/>
  <c r="I246" i="17"/>
  <c r="I247" i="17"/>
  <c r="I248" i="17"/>
  <c r="J248" i="17" s="1"/>
  <c r="I249" i="17"/>
  <c r="I250" i="17"/>
  <c r="I251" i="17"/>
  <c r="I252" i="17"/>
  <c r="J252" i="17" s="1"/>
  <c r="I253" i="17"/>
  <c r="I254" i="17"/>
  <c r="I255" i="17"/>
  <c r="I256" i="17"/>
  <c r="J256" i="17" s="1"/>
  <c r="I257" i="17"/>
  <c r="I258" i="17"/>
  <c r="I259" i="17"/>
  <c r="I260" i="17"/>
  <c r="J260" i="17" s="1"/>
  <c r="I261" i="17"/>
  <c r="I262" i="17"/>
  <c r="I263" i="17"/>
  <c r="I264" i="17"/>
  <c r="J264" i="17" s="1"/>
  <c r="I265" i="17"/>
  <c r="J265" i="17" s="1"/>
  <c r="I266" i="17"/>
  <c r="I267" i="17"/>
  <c r="J267" i="17" s="1"/>
  <c r="I268" i="17"/>
  <c r="J268" i="17" s="1"/>
  <c r="I269" i="17"/>
  <c r="J269" i="17" s="1"/>
  <c r="I270" i="17"/>
  <c r="I271" i="17"/>
  <c r="I272" i="17"/>
  <c r="J272" i="17" s="1"/>
  <c r="I273" i="17"/>
  <c r="J273" i="17" s="1"/>
  <c r="I274" i="17"/>
  <c r="I275" i="17"/>
  <c r="I276" i="17"/>
  <c r="J276" i="17" s="1"/>
  <c r="I277" i="17"/>
  <c r="I278" i="17"/>
  <c r="I279" i="17"/>
  <c r="I280" i="17"/>
  <c r="J280" i="17" s="1"/>
  <c r="I281" i="17"/>
  <c r="J281" i="17" s="1"/>
  <c r="I282" i="17"/>
  <c r="I283" i="17"/>
  <c r="J283" i="17" s="1"/>
  <c r="I284" i="17"/>
  <c r="J284" i="17" s="1"/>
  <c r="I285" i="17"/>
  <c r="J285" i="17" s="1"/>
  <c r="I286" i="17"/>
  <c r="I287" i="17"/>
  <c r="I288" i="17"/>
  <c r="J288" i="17" s="1"/>
  <c r="I289" i="17"/>
  <c r="J289" i="17" s="1"/>
  <c r="I290" i="17"/>
  <c r="I291" i="17"/>
  <c r="I292" i="17"/>
  <c r="J292" i="17" s="1"/>
  <c r="I293" i="17"/>
  <c r="I294" i="17"/>
  <c r="I295" i="17"/>
  <c r="I296" i="17"/>
  <c r="J296" i="17" s="1"/>
  <c r="I297" i="17"/>
  <c r="J297" i="17" s="1"/>
  <c r="I298" i="17"/>
  <c r="I299" i="17"/>
  <c r="J299" i="17" s="1"/>
  <c r="I300" i="17"/>
  <c r="J300" i="17" s="1"/>
  <c r="I301" i="17"/>
  <c r="J301" i="17" s="1"/>
  <c r="I302" i="17"/>
  <c r="I303" i="17"/>
  <c r="I304" i="17"/>
  <c r="J304" i="17" s="1"/>
  <c r="I305" i="17"/>
  <c r="J305" i="17" s="1"/>
  <c r="I306" i="17"/>
  <c r="I307" i="17"/>
  <c r="I308" i="17"/>
  <c r="J308" i="17" s="1"/>
  <c r="I309" i="17"/>
  <c r="I310" i="17"/>
  <c r="I311" i="17"/>
  <c r="I312" i="17"/>
  <c r="J312" i="17" s="1"/>
  <c r="I313" i="17"/>
  <c r="J313" i="17" s="1"/>
  <c r="I314" i="17"/>
  <c r="I315" i="17"/>
  <c r="J315" i="17" s="1"/>
  <c r="I316" i="17"/>
  <c r="J316" i="17" s="1"/>
  <c r="I317" i="17"/>
  <c r="J317" i="17" s="1"/>
  <c r="I318" i="17"/>
  <c r="I319" i="17"/>
  <c r="I320" i="17"/>
  <c r="J320" i="17" s="1"/>
  <c r="I321" i="17"/>
  <c r="J321" i="17" s="1"/>
  <c r="I322" i="17"/>
  <c r="I323" i="17"/>
  <c r="I324" i="17"/>
  <c r="J324" i="17" s="1"/>
  <c r="I325" i="17"/>
  <c r="I326" i="17"/>
  <c r="I327" i="17"/>
  <c r="I328" i="17"/>
  <c r="J328" i="17" s="1"/>
  <c r="I329" i="17"/>
  <c r="J329" i="17" s="1"/>
  <c r="I330" i="17"/>
  <c r="I331" i="17"/>
  <c r="J331" i="17" s="1"/>
  <c r="I332" i="17"/>
  <c r="J332" i="17" s="1"/>
  <c r="I333" i="17"/>
  <c r="J333" i="17" s="1"/>
  <c r="I334" i="17"/>
  <c r="I335" i="17"/>
  <c r="I336" i="17"/>
  <c r="J336" i="17" s="1"/>
  <c r="I337" i="17"/>
  <c r="J337" i="17" s="1"/>
  <c r="I338" i="17"/>
  <c r="I339" i="17"/>
  <c r="I340" i="17"/>
  <c r="J340" i="17" s="1"/>
  <c r="I341" i="17"/>
  <c r="I342" i="17"/>
  <c r="I343" i="17"/>
  <c r="I344" i="17"/>
  <c r="J344" i="17" s="1"/>
  <c r="I345" i="17"/>
  <c r="J345" i="17" s="1"/>
  <c r="I346" i="17"/>
  <c r="I347" i="17"/>
  <c r="J347" i="17" s="1"/>
  <c r="I348" i="17"/>
  <c r="J348" i="17" s="1"/>
  <c r="I349" i="17"/>
  <c r="J349" i="17" s="1"/>
  <c r="I350" i="17"/>
  <c r="I351" i="17"/>
  <c r="I352" i="17"/>
  <c r="J352" i="17" s="1"/>
  <c r="I353" i="17"/>
  <c r="J353" i="17" s="1"/>
  <c r="I354" i="17"/>
  <c r="I355" i="17"/>
  <c r="I356" i="17"/>
  <c r="J356" i="17" s="1"/>
  <c r="I357" i="17"/>
  <c r="I358" i="17"/>
  <c r="I359" i="17"/>
  <c r="I360" i="17"/>
  <c r="J360" i="17" s="1"/>
  <c r="I361" i="17"/>
  <c r="J361" i="17" s="1"/>
  <c r="I362" i="17"/>
  <c r="I363" i="17"/>
  <c r="I364" i="17"/>
  <c r="J364" i="17" s="1"/>
  <c r="I365" i="17"/>
  <c r="J365" i="17" s="1"/>
  <c r="I366" i="17"/>
  <c r="I367" i="17"/>
  <c r="I368" i="17"/>
  <c r="J368" i="17" s="1"/>
  <c r="I369" i="17"/>
  <c r="J369" i="17" s="1"/>
  <c r="I370" i="17"/>
  <c r="I371" i="17"/>
  <c r="I372" i="17"/>
  <c r="I373" i="17"/>
  <c r="J373" i="17" s="1"/>
  <c r="I374" i="17"/>
  <c r="I375" i="17"/>
  <c r="J375" i="17" s="1"/>
  <c r="I376" i="17"/>
  <c r="I377" i="17"/>
  <c r="J377" i="17" s="1"/>
  <c r="I378" i="17"/>
  <c r="I379" i="17"/>
  <c r="I380" i="17"/>
  <c r="J380" i="17" s="1"/>
  <c r="I381" i="17"/>
  <c r="J381" i="17" s="1"/>
  <c r="I382" i="17"/>
  <c r="I383" i="17"/>
  <c r="I384" i="17"/>
  <c r="J384" i="17" s="1"/>
  <c r="I385" i="17"/>
  <c r="J385" i="17" s="1"/>
  <c r="I386" i="17"/>
  <c r="I387" i="17"/>
  <c r="I388" i="17"/>
  <c r="J388" i="17" s="1"/>
  <c r="I389" i="17"/>
  <c r="J389" i="17" s="1"/>
  <c r="I390" i="17"/>
  <c r="I391" i="17"/>
  <c r="I392" i="17"/>
  <c r="J392" i="17" s="1"/>
  <c r="I393" i="17"/>
  <c r="J393" i="17" s="1"/>
  <c r="I394" i="17"/>
  <c r="I395" i="17"/>
  <c r="I396" i="17"/>
  <c r="J396" i="17" s="1"/>
  <c r="I397" i="17"/>
  <c r="J397" i="17" s="1"/>
  <c r="I398" i="17"/>
  <c r="I399" i="17"/>
  <c r="I400" i="17"/>
  <c r="J400" i="17" s="1"/>
  <c r="I401" i="17"/>
  <c r="J401" i="17" s="1"/>
  <c r="I402" i="17"/>
  <c r="I403" i="17"/>
  <c r="I404" i="17"/>
  <c r="J404" i="17" s="1"/>
  <c r="I405" i="17"/>
  <c r="J405" i="17" s="1"/>
  <c r="I406" i="17"/>
  <c r="I407" i="17"/>
  <c r="I408" i="17"/>
  <c r="J408" i="17" s="1"/>
  <c r="I409" i="17"/>
  <c r="J409" i="17" s="1"/>
  <c r="I410" i="17"/>
  <c r="I411" i="17"/>
  <c r="I412" i="17"/>
  <c r="J412" i="17" s="1"/>
  <c r="I413" i="17"/>
  <c r="J413" i="17" s="1"/>
  <c r="I414" i="17"/>
  <c r="I415" i="17"/>
  <c r="I416" i="17"/>
  <c r="J416" i="17" s="1"/>
  <c r="I417" i="17"/>
  <c r="J417" i="17" s="1"/>
  <c r="I418" i="17"/>
  <c r="I419" i="17"/>
  <c r="I420" i="17"/>
  <c r="J420" i="17" s="1"/>
  <c r="I421" i="17"/>
  <c r="J421" i="17" s="1"/>
  <c r="I422" i="17"/>
  <c r="I423" i="17"/>
  <c r="I424" i="17"/>
  <c r="J424" i="17" s="1"/>
  <c r="I425" i="17"/>
  <c r="J425" i="17" s="1"/>
  <c r="I426" i="17"/>
  <c r="I427" i="17"/>
  <c r="I428" i="17"/>
  <c r="J428" i="17" s="1"/>
  <c r="I429" i="17"/>
  <c r="J429" i="17" s="1"/>
  <c r="I430" i="17"/>
  <c r="I431" i="17"/>
  <c r="I432" i="17"/>
  <c r="J432" i="17" s="1"/>
  <c r="I433" i="17"/>
  <c r="J433" i="17" s="1"/>
  <c r="I434" i="17"/>
  <c r="I435" i="17"/>
  <c r="I436" i="17"/>
  <c r="J436" i="17" s="1"/>
  <c r="I437" i="17"/>
  <c r="J437" i="17" s="1"/>
  <c r="I438" i="17"/>
  <c r="I439" i="17"/>
  <c r="I440" i="17"/>
  <c r="J440" i="17" s="1"/>
  <c r="I441" i="17"/>
  <c r="J441" i="17" s="1"/>
  <c r="I442" i="17"/>
  <c r="I443" i="17"/>
  <c r="I444" i="17"/>
  <c r="J444" i="17" s="1"/>
  <c r="I445" i="17"/>
  <c r="J445" i="17" s="1"/>
  <c r="I446" i="17"/>
  <c r="I447" i="17"/>
  <c r="I448" i="17"/>
  <c r="J448" i="17" s="1"/>
  <c r="I449" i="17"/>
  <c r="J449" i="17" s="1"/>
  <c r="I450" i="17"/>
  <c r="I451" i="17"/>
  <c r="I452" i="17"/>
  <c r="J452" i="17" s="1"/>
  <c r="I453" i="17"/>
  <c r="J453" i="17" s="1"/>
  <c r="I454" i="17"/>
  <c r="I455" i="17"/>
  <c r="I456" i="17"/>
  <c r="J456" i="17" s="1"/>
  <c r="I457" i="17"/>
  <c r="J457" i="17" s="1"/>
  <c r="I458" i="17"/>
  <c r="I459" i="17"/>
  <c r="I460" i="17"/>
  <c r="J460" i="17" s="1"/>
  <c r="I461" i="17"/>
  <c r="J461" i="17" s="1"/>
  <c r="I462" i="17"/>
  <c r="I463" i="17"/>
  <c r="I464" i="17"/>
  <c r="J464" i="17" s="1"/>
  <c r="I465" i="17"/>
  <c r="J465" i="17" s="1"/>
  <c r="I466" i="17"/>
  <c r="I467" i="17"/>
  <c r="I468" i="17"/>
  <c r="J468" i="17" s="1"/>
  <c r="I469" i="17"/>
  <c r="J469" i="17" s="1"/>
  <c r="I470" i="17"/>
  <c r="I471" i="17"/>
  <c r="I472" i="17"/>
  <c r="J472" i="17" s="1"/>
  <c r="I473" i="17"/>
  <c r="J473" i="17" s="1"/>
  <c r="I474" i="17"/>
  <c r="I475" i="17"/>
  <c r="I476" i="17"/>
  <c r="J476" i="17" s="1"/>
  <c r="I477" i="17"/>
  <c r="J477" i="17" s="1"/>
  <c r="I478" i="17"/>
  <c r="I479" i="17"/>
  <c r="I480" i="17"/>
  <c r="J480" i="17" s="1"/>
  <c r="I481" i="17"/>
  <c r="J481" i="17" s="1"/>
  <c r="I482" i="17"/>
  <c r="I483" i="17"/>
  <c r="I484" i="17"/>
  <c r="J484" i="17" s="1"/>
  <c r="I485" i="17"/>
  <c r="J485" i="17" s="1"/>
  <c r="I486" i="17"/>
  <c r="I487" i="17"/>
  <c r="I488" i="17"/>
  <c r="J488" i="17" s="1"/>
  <c r="I489" i="17"/>
  <c r="J489" i="17" s="1"/>
  <c r="I490" i="17"/>
  <c r="I491" i="17"/>
  <c r="J491" i="17" s="1"/>
  <c r="I492" i="17"/>
  <c r="I493" i="17"/>
  <c r="J493" i="17" s="1"/>
  <c r="I494" i="17"/>
  <c r="I495" i="17"/>
  <c r="J495" i="17" s="1"/>
  <c r="I496" i="17"/>
  <c r="J496" i="17" s="1"/>
  <c r="I497" i="17"/>
  <c r="J497" i="17" s="1"/>
  <c r="I498" i="17"/>
  <c r="I499" i="17"/>
  <c r="J499" i="17" s="1"/>
  <c r="I500" i="17"/>
  <c r="I501" i="17"/>
  <c r="J501" i="17" s="1"/>
  <c r="I502" i="17"/>
  <c r="I503" i="17"/>
  <c r="J503" i="17" s="1"/>
  <c r="I504" i="17"/>
  <c r="J504" i="17" s="1"/>
  <c r="I505" i="17"/>
  <c r="J505" i="17" s="1"/>
  <c r="I506" i="17"/>
  <c r="I507" i="17"/>
  <c r="J507" i="17" s="1"/>
  <c r="I508" i="17"/>
  <c r="I509" i="17"/>
  <c r="J509" i="17" s="1"/>
  <c r="I510" i="17"/>
  <c r="I511" i="17"/>
  <c r="J511" i="17" s="1"/>
  <c r="I512" i="17"/>
  <c r="J512" i="17" s="1"/>
  <c r="I513" i="17"/>
  <c r="J513" i="17" s="1"/>
  <c r="I514" i="17"/>
  <c r="I515" i="17"/>
  <c r="J515" i="17" s="1"/>
  <c r="I516" i="17"/>
  <c r="I517" i="17"/>
  <c r="J517" i="17" s="1"/>
  <c r="I518" i="17"/>
  <c r="I519" i="17"/>
  <c r="J519" i="17" s="1"/>
  <c r="I520" i="17"/>
  <c r="J520" i="17" s="1"/>
  <c r="I521" i="17"/>
  <c r="J521" i="17" s="1"/>
  <c r="I522" i="17"/>
  <c r="I523" i="17"/>
  <c r="J523" i="17" s="1"/>
  <c r="I524" i="17"/>
  <c r="I525" i="17"/>
  <c r="J525" i="17" s="1"/>
  <c r="I526" i="17"/>
  <c r="I527" i="17"/>
  <c r="J527" i="17" s="1"/>
  <c r="I528" i="17"/>
  <c r="J528" i="17" s="1"/>
  <c r="I529" i="17"/>
  <c r="J529" i="17" s="1"/>
  <c r="I530" i="17"/>
  <c r="I531" i="17"/>
  <c r="J531" i="17" s="1"/>
  <c r="I532" i="17"/>
  <c r="I533" i="17"/>
  <c r="J533" i="17" s="1"/>
  <c r="I534" i="17"/>
  <c r="I535" i="17"/>
  <c r="J535" i="17" s="1"/>
  <c r="I536" i="17"/>
  <c r="J536" i="17" s="1"/>
  <c r="I537" i="17"/>
  <c r="J537" i="17" s="1"/>
  <c r="I538" i="17"/>
  <c r="I539" i="17"/>
  <c r="J539" i="17" s="1"/>
  <c r="I540" i="17"/>
  <c r="I541" i="17"/>
  <c r="J541" i="17" s="1"/>
  <c r="I542" i="17"/>
  <c r="I543" i="17"/>
  <c r="J543" i="17" s="1"/>
  <c r="I544" i="17"/>
  <c r="J544" i="17" s="1"/>
  <c r="I545" i="17"/>
  <c r="J545" i="17" s="1"/>
  <c r="I546" i="17"/>
  <c r="I547" i="17"/>
  <c r="J547" i="17" s="1"/>
  <c r="I548" i="17"/>
  <c r="I549" i="17"/>
  <c r="J549" i="17" s="1"/>
  <c r="I550" i="17"/>
  <c r="I551" i="17"/>
  <c r="J551" i="17" s="1"/>
  <c r="I552" i="17"/>
  <c r="J552" i="17" s="1"/>
  <c r="I553" i="17"/>
  <c r="J553" i="17" s="1"/>
  <c r="I554" i="17"/>
  <c r="I555" i="17"/>
  <c r="J555" i="17" s="1"/>
  <c r="I556" i="17"/>
  <c r="I557" i="17"/>
  <c r="J557" i="17" s="1"/>
  <c r="I558" i="17"/>
  <c r="I559" i="17"/>
  <c r="J559" i="17" s="1"/>
  <c r="I560" i="17"/>
  <c r="J560" i="17" s="1"/>
  <c r="I561" i="17"/>
  <c r="J561" i="17" s="1"/>
  <c r="I562" i="17"/>
  <c r="I563" i="17"/>
  <c r="J563" i="17" s="1"/>
  <c r="I564" i="17"/>
  <c r="I565" i="17"/>
  <c r="J565" i="17" s="1"/>
  <c r="I566" i="17"/>
  <c r="I567" i="17"/>
  <c r="J567" i="17" s="1"/>
  <c r="I568" i="17"/>
  <c r="J568" i="17" s="1"/>
  <c r="I569" i="17"/>
  <c r="J569" i="17" s="1"/>
  <c r="I570" i="17"/>
  <c r="I571" i="17"/>
  <c r="J571" i="17" s="1"/>
  <c r="I572" i="17"/>
  <c r="I573" i="17"/>
  <c r="J573" i="17" s="1"/>
  <c r="I574" i="17"/>
  <c r="I575" i="17"/>
  <c r="J575" i="17" s="1"/>
  <c r="I576" i="17"/>
  <c r="J576" i="17" s="1"/>
  <c r="I577" i="17"/>
  <c r="J577" i="17" s="1"/>
  <c r="I578" i="17"/>
  <c r="I579" i="17"/>
  <c r="J579" i="17" s="1"/>
  <c r="I580" i="17"/>
  <c r="I581" i="17"/>
  <c r="J581" i="17" s="1"/>
  <c r="I582" i="17"/>
  <c r="I583" i="17"/>
  <c r="J583" i="17" s="1"/>
  <c r="I584" i="17"/>
  <c r="J584" i="17" s="1"/>
  <c r="I585" i="17"/>
  <c r="J585" i="17" s="1"/>
  <c r="I586" i="17"/>
  <c r="I587" i="17"/>
  <c r="J587" i="17" s="1"/>
  <c r="I588" i="17"/>
  <c r="I589" i="17"/>
  <c r="J589" i="17" s="1"/>
  <c r="I590" i="17"/>
  <c r="I591" i="17"/>
  <c r="J591" i="17" s="1"/>
  <c r="I592" i="17"/>
  <c r="J592" i="17" s="1"/>
  <c r="I593" i="17"/>
  <c r="J593" i="17" s="1"/>
  <c r="I594" i="17"/>
  <c r="I595" i="17"/>
  <c r="J595" i="17" s="1"/>
  <c r="I596" i="17"/>
  <c r="I597" i="17"/>
  <c r="J597" i="17" s="1"/>
  <c r="I598" i="17"/>
  <c r="I599" i="17"/>
  <c r="J599" i="17" s="1"/>
  <c r="I600" i="17"/>
  <c r="J600" i="17" s="1"/>
  <c r="I601" i="17"/>
  <c r="J601" i="17" s="1"/>
  <c r="I602" i="17"/>
  <c r="I603" i="17"/>
  <c r="J603" i="17" s="1"/>
  <c r="I604" i="17"/>
  <c r="I605" i="17"/>
  <c r="J605" i="17" s="1"/>
  <c r="I606" i="17"/>
  <c r="I607" i="17"/>
  <c r="J607" i="17" s="1"/>
  <c r="I608" i="17"/>
  <c r="J608" i="17" s="1"/>
  <c r="I609" i="17"/>
  <c r="J609" i="17" s="1"/>
  <c r="I610" i="17"/>
  <c r="I611" i="17"/>
  <c r="J611" i="17" s="1"/>
  <c r="I612" i="17"/>
  <c r="I613" i="17"/>
  <c r="J613" i="17" s="1"/>
  <c r="I614" i="17"/>
  <c r="I615" i="17"/>
  <c r="J615" i="17" s="1"/>
  <c r="I616" i="17"/>
  <c r="J616" i="17" s="1"/>
  <c r="I617" i="17"/>
  <c r="J617" i="17" s="1"/>
  <c r="I618" i="17"/>
  <c r="I619" i="17"/>
  <c r="J619" i="17" s="1"/>
  <c r="I620" i="17"/>
  <c r="I621" i="17"/>
  <c r="J621" i="17" s="1"/>
  <c r="I622" i="17"/>
  <c r="I623" i="17"/>
  <c r="J623" i="17" s="1"/>
  <c r="I624" i="17"/>
  <c r="J624" i="17" s="1"/>
  <c r="I625" i="17"/>
  <c r="J625" i="17" s="1"/>
  <c r="I626" i="17"/>
  <c r="I627" i="17"/>
  <c r="J627" i="17" s="1"/>
  <c r="I628" i="17"/>
  <c r="I629" i="17"/>
  <c r="J629" i="17" s="1"/>
  <c r="I630" i="17"/>
  <c r="I631" i="17"/>
  <c r="J631" i="17" s="1"/>
  <c r="I632" i="17"/>
  <c r="J632" i="17" s="1"/>
  <c r="I633" i="17"/>
  <c r="J633" i="17" s="1"/>
  <c r="I634" i="17"/>
  <c r="I635" i="17"/>
  <c r="J635" i="17" s="1"/>
  <c r="I636" i="17"/>
  <c r="I637" i="17"/>
  <c r="J637" i="17" s="1"/>
  <c r="I638" i="17"/>
  <c r="I639" i="17"/>
  <c r="J639" i="17" s="1"/>
  <c r="I640" i="17"/>
  <c r="J640" i="17" s="1"/>
  <c r="I641" i="17"/>
  <c r="J641" i="17" s="1"/>
  <c r="I642" i="17"/>
  <c r="I643" i="17"/>
  <c r="J643" i="17" s="1"/>
  <c r="I644" i="17"/>
  <c r="I645" i="17"/>
  <c r="J645" i="17" s="1"/>
  <c r="I646" i="17"/>
  <c r="I647" i="17"/>
  <c r="J647" i="17" s="1"/>
  <c r="I648" i="17"/>
  <c r="J648" i="17" s="1"/>
  <c r="I649" i="17"/>
  <c r="J649" i="17" s="1"/>
  <c r="I650" i="17"/>
  <c r="I651" i="17"/>
  <c r="J651" i="17" s="1"/>
  <c r="I652" i="17"/>
  <c r="I653" i="17"/>
  <c r="J653" i="17" s="1"/>
  <c r="I654" i="17"/>
  <c r="I655" i="17"/>
  <c r="J655" i="17" s="1"/>
  <c r="I656" i="17"/>
  <c r="J656" i="17" s="1"/>
  <c r="I657" i="17"/>
  <c r="J657" i="17" s="1"/>
  <c r="I658" i="17"/>
  <c r="I659" i="17"/>
  <c r="J659" i="17" s="1"/>
  <c r="I660" i="17"/>
  <c r="I661" i="17"/>
  <c r="J661" i="17" s="1"/>
  <c r="I662" i="17"/>
  <c r="I663" i="17"/>
  <c r="J663" i="17" s="1"/>
  <c r="I664" i="17"/>
  <c r="J664" i="17" s="1"/>
  <c r="I665" i="17"/>
  <c r="J665" i="17" s="1"/>
  <c r="I666" i="17"/>
  <c r="I667" i="17"/>
  <c r="J667" i="17" s="1"/>
  <c r="I668" i="17"/>
  <c r="I669" i="17"/>
  <c r="J669" i="17" s="1"/>
  <c r="I670" i="17"/>
  <c r="I671" i="17"/>
  <c r="J671" i="17" s="1"/>
  <c r="I672" i="17"/>
  <c r="J672" i="17" s="1"/>
  <c r="I673" i="17"/>
  <c r="J673" i="17" s="1"/>
  <c r="I674" i="17"/>
  <c r="I675" i="17"/>
  <c r="J675" i="17" s="1"/>
  <c r="I676" i="17"/>
  <c r="I677" i="17"/>
  <c r="J677" i="17" s="1"/>
  <c r="I678" i="17"/>
  <c r="I679" i="17"/>
  <c r="J679" i="17" s="1"/>
  <c r="I680" i="17"/>
  <c r="J680" i="17" s="1"/>
  <c r="I681" i="17"/>
  <c r="J681" i="17" s="1"/>
  <c r="I682" i="17"/>
  <c r="I683" i="17"/>
  <c r="J683" i="17" s="1"/>
  <c r="I684" i="17"/>
  <c r="I685" i="17"/>
  <c r="J685" i="17" s="1"/>
  <c r="I686" i="17"/>
  <c r="I687" i="17"/>
  <c r="J687" i="17" s="1"/>
  <c r="I688" i="17"/>
  <c r="J688" i="17" s="1"/>
  <c r="I689" i="17"/>
  <c r="J689" i="17" s="1"/>
  <c r="I690" i="17"/>
  <c r="I691" i="17"/>
  <c r="J691" i="17" s="1"/>
  <c r="I692" i="17"/>
  <c r="I693" i="17"/>
  <c r="J693" i="17" s="1"/>
  <c r="I694" i="17"/>
  <c r="I695" i="17"/>
  <c r="J695" i="17" s="1"/>
  <c r="I696" i="17"/>
  <c r="J696" i="17" s="1"/>
  <c r="I697" i="17"/>
  <c r="J697" i="17" s="1"/>
  <c r="I698" i="17"/>
  <c r="I699" i="17"/>
  <c r="J699" i="17" s="1"/>
  <c r="I700" i="17"/>
  <c r="I701" i="17"/>
  <c r="J701" i="17" s="1"/>
  <c r="I702" i="17"/>
  <c r="I703" i="17"/>
  <c r="J703" i="17" s="1"/>
  <c r="I704" i="17"/>
  <c r="J704" i="17" s="1"/>
  <c r="I705" i="17"/>
  <c r="J705" i="17" s="1"/>
  <c r="I706" i="17"/>
  <c r="I707" i="17"/>
  <c r="J707" i="17" s="1"/>
  <c r="I708" i="17"/>
  <c r="I709" i="17"/>
  <c r="J709" i="17" s="1"/>
  <c r="I710" i="17"/>
  <c r="I711" i="17"/>
  <c r="J711" i="17" s="1"/>
  <c r="I712" i="17"/>
  <c r="J712" i="17" s="1"/>
  <c r="I713" i="17"/>
  <c r="J713" i="17" s="1"/>
  <c r="I714" i="17"/>
  <c r="I715" i="17"/>
  <c r="J715" i="17" s="1"/>
  <c r="I716" i="17"/>
  <c r="I717" i="17"/>
  <c r="J717" i="17" s="1"/>
  <c r="I718" i="17"/>
  <c r="I719" i="17"/>
  <c r="J719" i="17" s="1"/>
  <c r="I720" i="17"/>
  <c r="J720" i="17" s="1"/>
  <c r="I721" i="17"/>
  <c r="J721" i="17" s="1"/>
  <c r="I722" i="17"/>
  <c r="I723" i="17"/>
  <c r="J723" i="17" s="1"/>
  <c r="I724" i="17"/>
  <c r="I725" i="17"/>
  <c r="J725" i="17" s="1"/>
  <c r="I726" i="17"/>
  <c r="I727" i="17"/>
  <c r="J727" i="17" s="1"/>
  <c r="I728" i="17"/>
  <c r="J728" i="17" s="1"/>
  <c r="I729" i="17"/>
  <c r="J729" i="17" s="1"/>
  <c r="I730" i="17"/>
  <c r="I731" i="17"/>
  <c r="J731" i="17" s="1"/>
  <c r="I732" i="17"/>
  <c r="I733" i="17"/>
  <c r="J733" i="17" s="1"/>
  <c r="I734" i="17"/>
  <c r="I735" i="17"/>
  <c r="J735" i="17" s="1"/>
  <c r="I736" i="17"/>
  <c r="J736" i="17" s="1"/>
  <c r="I737" i="17"/>
  <c r="J737" i="17" s="1"/>
  <c r="I738" i="17"/>
  <c r="I739" i="17"/>
  <c r="J739" i="17" s="1"/>
  <c r="I740" i="17"/>
  <c r="I741" i="17"/>
  <c r="J741" i="17" s="1"/>
  <c r="I742" i="17"/>
  <c r="I743" i="17"/>
  <c r="J743" i="17" s="1"/>
  <c r="I744" i="17"/>
  <c r="J744" i="17" s="1"/>
  <c r="I745" i="17"/>
  <c r="J745" i="17" s="1"/>
  <c r="I746" i="17"/>
  <c r="I747" i="17"/>
  <c r="J747" i="17" s="1"/>
  <c r="I748" i="17"/>
  <c r="I749" i="17"/>
  <c r="J749" i="17" s="1"/>
  <c r="I750" i="17"/>
  <c r="I751" i="17"/>
  <c r="J751" i="17" s="1"/>
  <c r="I752" i="17"/>
  <c r="J752" i="17" s="1"/>
  <c r="I753" i="17"/>
  <c r="J753" i="17" s="1"/>
  <c r="I754" i="17"/>
  <c r="I755" i="17"/>
  <c r="J755" i="17" s="1"/>
  <c r="I756" i="17"/>
  <c r="I757" i="17"/>
  <c r="J757" i="17" s="1"/>
  <c r="I758" i="17"/>
  <c r="I759" i="17"/>
  <c r="J759" i="17" s="1"/>
  <c r="I760" i="17"/>
  <c r="J760" i="17" s="1"/>
  <c r="I761" i="17"/>
  <c r="J761" i="17" s="1"/>
  <c r="I762" i="17"/>
  <c r="I763" i="17"/>
  <c r="J763" i="17" s="1"/>
  <c r="I764" i="17"/>
  <c r="I765" i="17"/>
  <c r="J765" i="17" s="1"/>
  <c r="I766" i="17"/>
  <c r="I767" i="17"/>
  <c r="J767" i="17" s="1"/>
  <c r="I768" i="17"/>
  <c r="J768" i="17" s="1"/>
  <c r="I769" i="17"/>
  <c r="J769" i="17" s="1"/>
  <c r="I770" i="17"/>
  <c r="I771" i="17"/>
  <c r="J771" i="17" s="1"/>
  <c r="I772" i="17"/>
  <c r="J772" i="17" s="1"/>
  <c r="I773" i="17"/>
  <c r="J773" i="17" s="1"/>
  <c r="I774" i="17"/>
  <c r="I775" i="17"/>
  <c r="I776" i="17"/>
  <c r="J776" i="17" s="1"/>
  <c r="I777" i="17"/>
  <c r="J777" i="17" s="1"/>
  <c r="I778" i="17"/>
  <c r="I779" i="17"/>
  <c r="J779" i="17" s="1"/>
  <c r="I780" i="17"/>
  <c r="J780" i="17" s="1"/>
  <c r="I781" i="17"/>
  <c r="I782" i="17"/>
  <c r="I783" i="17"/>
  <c r="I784" i="17"/>
  <c r="J784" i="17" s="1"/>
  <c r="I785" i="17"/>
  <c r="J785" i="17" s="1"/>
  <c r="I786" i="17"/>
  <c r="I787" i="17"/>
  <c r="J787" i="17" s="1"/>
  <c r="I788" i="17"/>
  <c r="J788" i="17" s="1"/>
  <c r="I789" i="17"/>
  <c r="J789" i="17" s="1"/>
  <c r="I790" i="17"/>
  <c r="I791" i="17"/>
  <c r="J791" i="17" s="1"/>
  <c r="I792" i="17"/>
  <c r="J792" i="17" s="1"/>
  <c r="I793" i="17"/>
  <c r="J793" i="17" s="1"/>
  <c r="I794" i="17"/>
  <c r="I795" i="17"/>
  <c r="J795" i="17" s="1"/>
  <c r="I796" i="17"/>
  <c r="I797" i="17"/>
  <c r="J797" i="17" s="1"/>
  <c r="I798" i="17"/>
  <c r="I799" i="17"/>
  <c r="J799" i="17" s="1"/>
  <c r="I800" i="17"/>
  <c r="J800" i="17" s="1"/>
  <c r="I801" i="17"/>
  <c r="J801" i="17" s="1"/>
  <c r="I802" i="17"/>
  <c r="I803" i="17"/>
  <c r="J803" i="17" s="1"/>
  <c r="I804" i="17"/>
  <c r="J804" i="17" s="1"/>
  <c r="I805" i="17"/>
  <c r="J805" i="17" s="1"/>
  <c r="I806" i="17"/>
  <c r="I807" i="17"/>
  <c r="I808" i="17"/>
  <c r="J808" i="17" s="1"/>
  <c r="I809" i="17"/>
  <c r="J809" i="17" s="1"/>
  <c r="I810" i="17"/>
  <c r="I811" i="17"/>
  <c r="J811" i="17" s="1"/>
  <c r="I812" i="17"/>
  <c r="J812" i="17" s="1"/>
  <c r="I813" i="17"/>
  <c r="J813" i="17" s="1"/>
  <c r="I814" i="17"/>
  <c r="I815" i="17"/>
  <c r="I816" i="17"/>
  <c r="J816" i="17" s="1"/>
  <c r="I817" i="17"/>
  <c r="I818" i="17"/>
  <c r="I819" i="17"/>
  <c r="J819" i="17" s="1"/>
  <c r="I820" i="17"/>
  <c r="J820" i="17" s="1"/>
  <c r="I821" i="17"/>
  <c r="I822" i="17"/>
  <c r="I823" i="17"/>
  <c r="I824" i="17"/>
  <c r="J824" i="17" s="1"/>
  <c r="I825" i="17"/>
  <c r="I826" i="17"/>
  <c r="I827" i="17"/>
  <c r="J827" i="17" s="1"/>
  <c r="I828" i="17"/>
  <c r="J828" i="17" s="1"/>
  <c r="I829" i="17"/>
  <c r="J829" i="17" s="1"/>
  <c r="I830" i="17"/>
  <c r="I831" i="17"/>
  <c r="J831" i="17" s="1"/>
  <c r="I832" i="17"/>
  <c r="J832" i="17" s="1"/>
  <c r="I833" i="17"/>
  <c r="J833" i="17" s="1"/>
  <c r="I834" i="17"/>
  <c r="I835" i="17"/>
  <c r="J835" i="17" s="1"/>
  <c r="I836" i="17"/>
  <c r="I837" i="17"/>
  <c r="J837" i="17" s="1"/>
  <c r="I838" i="17"/>
  <c r="I839" i="17"/>
  <c r="J839" i="17" s="1"/>
  <c r="I840" i="17"/>
  <c r="J840" i="17" s="1"/>
  <c r="I841" i="17"/>
  <c r="J841" i="17" s="1"/>
  <c r="I842" i="17"/>
  <c r="I843" i="17"/>
  <c r="I844" i="17"/>
  <c r="J844" i="17" s="1"/>
  <c r="I845" i="17"/>
  <c r="J845" i="17" s="1"/>
  <c r="I846" i="17"/>
  <c r="I847" i="17"/>
  <c r="J847" i="17" s="1"/>
  <c r="I848" i="17"/>
  <c r="J848" i="17" s="1"/>
  <c r="I849" i="17"/>
  <c r="J849" i="17" s="1"/>
  <c r="I850" i="17"/>
  <c r="I851" i="17"/>
  <c r="I852" i="17"/>
  <c r="J852" i="17" s="1"/>
  <c r="I853" i="17"/>
  <c r="J853" i="17" s="1"/>
  <c r="I854" i="17"/>
  <c r="I855" i="17"/>
  <c r="I856" i="17"/>
  <c r="J856" i="17" s="1"/>
  <c r="I857" i="17"/>
  <c r="J857" i="17" s="1"/>
  <c r="I858" i="17"/>
  <c r="I859" i="17"/>
  <c r="J859" i="17" s="1"/>
  <c r="I860" i="17"/>
  <c r="I861" i="17"/>
  <c r="J861" i="17" s="1"/>
  <c r="I862" i="17"/>
  <c r="I863" i="17"/>
  <c r="J863" i="17" s="1"/>
  <c r="I864" i="17"/>
  <c r="J864" i="17" s="1"/>
  <c r="I865" i="17"/>
  <c r="J865" i="17" s="1"/>
  <c r="I866" i="17"/>
  <c r="I867" i="17"/>
  <c r="I868" i="17"/>
  <c r="J868" i="17" s="1"/>
  <c r="I869" i="17"/>
  <c r="J869" i="17" s="1"/>
  <c r="I870" i="17"/>
  <c r="I871" i="17"/>
  <c r="I872" i="17"/>
  <c r="J872" i="17" s="1"/>
  <c r="I873" i="17"/>
  <c r="I874" i="17"/>
  <c r="I875" i="17"/>
  <c r="I876" i="17"/>
  <c r="J876" i="17" s="1"/>
  <c r="I877" i="17"/>
  <c r="J877" i="17" s="1"/>
  <c r="I878" i="17"/>
  <c r="I879" i="17"/>
  <c r="I880" i="17"/>
  <c r="J880" i="17" s="1"/>
  <c r="I881" i="17"/>
  <c r="I882" i="17"/>
  <c r="I883" i="17"/>
  <c r="I884" i="17"/>
  <c r="J884" i="17" s="1"/>
  <c r="I885" i="17"/>
  <c r="J885" i="17" s="1"/>
  <c r="I886" i="17"/>
  <c r="I887" i="17"/>
  <c r="I888" i="17"/>
  <c r="J888" i="17" s="1"/>
  <c r="I889" i="17"/>
  <c r="I890" i="17"/>
  <c r="I891" i="17"/>
  <c r="J891" i="17" s="1"/>
  <c r="I892" i="17"/>
  <c r="I893" i="17"/>
  <c r="J893" i="17" s="1"/>
  <c r="I894" i="17"/>
  <c r="I895" i="17"/>
  <c r="J895" i="17" s="1"/>
  <c r="I896" i="17"/>
  <c r="J896" i="17" s="1"/>
  <c r="I897" i="17"/>
  <c r="J897" i="17" s="1"/>
  <c r="I898" i="17"/>
  <c r="I899" i="17"/>
  <c r="I900" i="17"/>
  <c r="J900" i="17" s="1"/>
  <c r="I901" i="17"/>
  <c r="J901" i="17" s="1"/>
  <c r="I902" i="17"/>
  <c r="I903" i="17"/>
  <c r="I904" i="17"/>
  <c r="J904" i="17" s="1"/>
  <c r="I905" i="17"/>
  <c r="J905" i="17" s="1"/>
  <c r="I906" i="17"/>
  <c r="I907" i="17"/>
  <c r="I908" i="17"/>
  <c r="J908" i="17" s="1"/>
  <c r="I909" i="17"/>
  <c r="J909" i="17" s="1"/>
  <c r="I910" i="17"/>
  <c r="I911" i="17"/>
  <c r="I912" i="17"/>
  <c r="J912" i="17" s="1"/>
  <c r="I913" i="17"/>
  <c r="J913" i="17" s="1"/>
  <c r="I57" i="17"/>
  <c r="O57" i="17"/>
  <c r="K55" i="17"/>
  <c r="J55" i="17"/>
  <c r="J911" i="17"/>
  <c r="J910" i="17"/>
  <c r="J907" i="17"/>
  <c r="J906" i="17"/>
  <c r="J903" i="17"/>
  <c r="J902" i="17"/>
  <c r="J899" i="17"/>
  <c r="J898" i="17"/>
  <c r="J894" i="17"/>
  <c r="J892" i="17"/>
  <c r="J890" i="17"/>
  <c r="J889" i="17"/>
  <c r="J887" i="17"/>
  <c r="J886" i="17"/>
  <c r="J883" i="17"/>
  <c r="J882" i="17"/>
  <c r="J881" i="17"/>
  <c r="J879" i="17"/>
  <c r="J878" i="17"/>
  <c r="J875" i="17"/>
  <c r="J874" i="17"/>
  <c r="J873" i="17"/>
  <c r="J871" i="17"/>
  <c r="J870" i="17"/>
  <c r="J867" i="17"/>
  <c r="J866" i="17"/>
  <c r="J862" i="17"/>
  <c r="J860" i="17"/>
  <c r="J858" i="17"/>
  <c r="J855" i="17"/>
  <c r="J854" i="17"/>
  <c r="J851" i="17"/>
  <c r="J850" i="17"/>
  <c r="J846" i="17"/>
  <c r="J843" i="17"/>
  <c r="J842" i="17"/>
  <c r="J838" i="17"/>
  <c r="J836" i="17"/>
  <c r="J834" i="17"/>
  <c r="J830" i="17"/>
  <c r="J826" i="17"/>
  <c r="J825" i="17"/>
  <c r="J823" i="17"/>
  <c r="J822" i="17"/>
  <c r="J821" i="17"/>
  <c r="J818" i="17"/>
  <c r="J817" i="17"/>
  <c r="J815" i="17"/>
  <c r="J814" i="17"/>
  <c r="J810" i="17"/>
  <c r="J807" i="17"/>
  <c r="J806" i="17"/>
  <c r="J802" i="17"/>
  <c r="J798" i="17"/>
  <c r="J796" i="17"/>
  <c r="J794" i="17"/>
  <c r="J790" i="17"/>
  <c r="J786" i="17"/>
  <c r="J783" i="17"/>
  <c r="J782" i="17"/>
  <c r="J781" i="17"/>
  <c r="J778" i="17"/>
  <c r="J775" i="17"/>
  <c r="J774" i="17"/>
  <c r="J770" i="17"/>
  <c r="J766" i="17"/>
  <c r="J764" i="17"/>
  <c r="J762" i="17"/>
  <c r="J758" i="17"/>
  <c r="J756" i="17"/>
  <c r="J754" i="17"/>
  <c r="J750" i="17"/>
  <c r="J748" i="17"/>
  <c r="J746" i="17"/>
  <c r="J742" i="17"/>
  <c r="J740" i="17"/>
  <c r="J738" i="17"/>
  <c r="J734" i="17"/>
  <c r="J732" i="17"/>
  <c r="J730" i="17"/>
  <c r="J726" i="17"/>
  <c r="J724" i="17"/>
  <c r="J722" i="17"/>
  <c r="J718" i="17"/>
  <c r="J716" i="17"/>
  <c r="J714" i="17"/>
  <c r="J710" i="17"/>
  <c r="J708" i="17"/>
  <c r="J706" i="17"/>
  <c r="J702" i="17"/>
  <c r="J700" i="17"/>
  <c r="J698" i="17"/>
  <c r="J694" i="17"/>
  <c r="J692" i="17"/>
  <c r="J690" i="17"/>
  <c r="J686" i="17"/>
  <c r="J684" i="17"/>
  <c r="J682" i="17"/>
  <c r="J678" i="17"/>
  <c r="J676" i="17"/>
  <c r="J674" i="17"/>
  <c r="J670" i="17"/>
  <c r="J668" i="17"/>
  <c r="J666" i="17"/>
  <c r="J662" i="17"/>
  <c r="J660" i="17"/>
  <c r="J658" i="17"/>
  <c r="J654" i="17"/>
  <c r="J652" i="17"/>
  <c r="J650" i="17"/>
  <c r="J646" i="17"/>
  <c r="J644" i="17"/>
  <c r="J642" i="17"/>
  <c r="J638" i="17"/>
  <c r="J636" i="17"/>
  <c r="J634" i="17"/>
  <c r="J630" i="17"/>
  <c r="J628" i="17"/>
  <c r="J626" i="17"/>
  <c r="J622" i="17"/>
  <c r="J620" i="17"/>
  <c r="J618" i="17"/>
  <c r="J614" i="17"/>
  <c r="J612" i="17"/>
  <c r="J610" i="17"/>
  <c r="J606" i="17"/>
  <c r="J604" i="17"/>
  <c r="J602" i="17"/>
  <c r="J598" i="17"/>
  <c r="J596" i="17"/>
  <c r="J594" i="17"/>
  <c r="J590" i="17"/>
  <c r="J588" i="17"/>
  <c r="J586" i="17"/>
  <c r="J582" i="17"/>
  <c r="J580" i="17"/>
  <c r="J578" i="17"/>
  <c r="J574" i="17"/>
  <c r="J572" i="17"/>
  <c r="J570" i="17"/>
  <c r="J566" i="17"/>
  <c r="J564" i="17"/>
  <c r="J562" i="17"/>
  <c r="J558" i="17"/>
  <c r="J556" i="17"/>
  <c r="J554" i="17"/>
  <c r="J550" i="17"/>
  <c r="J548" i="17"/>
  <c r="J546" i="17"/>
  <c r="J542" i="17"/>
  <c r="J540" i="17"/>
  <c r="J538" i="17"/>
  <c r="J534" i="17"/>
  <c r="J532" i="17"/>
  <c r="J530" i="17"/>
  <c r="J526" i="17"/>
  <c r="J524" i="17"/>
  <c r="J522" i="17"/>
  <c r="J518" i="17"/>
  <c r="J516" i="17"/>
  <c r="J514" i="17"/>
  <c r="J510" i="17"/>
  <c r="J508" i="17"/>
  <c r="J506" i="17"/>
  <c r="J502" i="17"/>
  <c r="J500" i="17"/>
  <c r="J498" i="17"/>
  <c r="J494" i="17"/>
  <c r="J492" i="17"/>
  <c r="J490" i="17"/>
  <c r="J487" i="17"/>
  <c r="J486" i="17"/>
  <c r="J483" i="17"/>
  <c r="J482" i="17"/>
  <c r="J479" i="17"/>
  <c r="J478" i="17"/>
  <c r="J475" i="17"/>
  <c r="J474" i="17"/>
  <c r="J471" i="17"/>
  <c r="J470" i="17"/>
  <c r="J467" i="17"/>
  <c r="J466" i="17"/>
  <c r="J463" i="17"/>
  <c r="J462" i="17"/>
  <c r="J459" i="17"/>
  <c r="J458" i="17"/>
  <c r="J455" i="17"/>
  <c r="J454" i="17"/>
  <c r="J451" i="17"/>
  <c r="J450" i="17"/>
  <c r="J447" i="17"/>
  <c r="J446" i="17"/>
  <c r="J443" i="17"/>
  <c r="J442" i="17"/>
  <c r="J439" i="17"/>
  <c r="J438" i="17"/>
  <c r="J435" i="17"/>
  <c r="J434" i="17"/>
  <c r="J431" i="17"/>
  <c r="J430" i="17"/>
  <c r="J427" i="17"/>
  <c r="J426" i="17"/>
  <c r="J423" i="17"/>
  <c r="J422" i="17"/>
  <c r="J419" i="17"/>
  <c r="J418" i="17"/>
  <c r="J415" i="17"/>
  <c r="J414" i="17"/>
  <c r="J411" i="17"/>
  <c r="J410" i="17"/>
  <c r="J407" i="17"/>
  <c r="J406" i="17"/>
  <c r="J403" i="17"/>
  <c r="J402" i="17"/>
  <c r="J399" i="17"/>
  <c r="J398" i="17"/>
  <c r="J395" i="17"/>
  <c r="J394" i="17"/>
  <c r="J391" i="17"/>
  <c r="J390" i="17"/>
  <c r="J387" i="17"/>
  <c r="J386" i="17"/>
  <c r="J383" i="17"/>
  <c r="J382" i="17"/>
  <c r="J379" i="17"/>
  <c r="J378" i="17"/>
  <c r="J376" i="17"/>
  <c r="J374" i="17"/>
  <c r="J372" i="17"/>
  <c r="J371" i="17"/>
  <c r="J370" i="17"/>
  <c r="J367" i="17"/>
  <c r="J366" i="17"/>
  <c r="J363" i="17"/>
  <c r="J362" i="17"/>
  <c r="J359" i="17"/>
  <c r="J358" i="17"/>
  <c r="J357" i="17"/>
  <c r="J355" i="17"/>
  <c r="J354" i="17"/>
  <c r="J351" i="17"/>
  <c r="J350" i="17"/>
  <c r="J346" i="17"/>
  <c r="J343" i="17"/>
  <c r="J342" i="17"/>
  <c r="J341" i="17"/>
  <c r="J339" i="17"/>
  <c r="J338" i="17"/>
  <c r="J335" i="17"/>
  <c r="J334" i="17"/>
  <c r="J330" i="17"/>
  <c r="J327" i="17"/>
  <c r="J326" i="17"/>
  <c r="J325" i="17"/>
  <c r="J323" i="17"/>
  <c r="J322" i="17"/>
  <c r="J319" i="17"/>
  <c r="J318" i="17"/>
  <c r="J314" i="17"/>
  <c r="J311" i="17"/>
  <c r="J310" i="17"/>
  <c r="J309" i="17"/>
  <c r="J307" i="17"/>
  <c r="J306" i="17"/>
  <c r="J303" i="17"/>
  <c r="J302" i="17"/>
  <c r="J298" i="17"/>
  <c r="J295" i="17"/>
  <c r="J294" i="17"/>
  <c r="J293" i="17"/>
  <c r="J291" i="17"/>
  <c r="J290" i="17"/>
  <c r="J287" i="17"/>
  <c r="J286" i="17"/>
  <c r="J282" i="17"/>
  <c r="J279" i="17"/>
  <c r="J278" i="17"/>
  <c r="J277" i="17"/>
  <c r="J275" i="17"/>
  <c r="J274" i="17"/>
  <c r="J271" i="17"/>
  <c r="J270" i="17"/>
  <c r="J266" i="17"/>
  <c r="J263" i="17"/>
  <c r="J262" i="17"/>
  <c r="J261" i="17"/>
  <c r="J259" i="17"/>
  <c r="J258" i="17"/>
  <c r="J257" i="17"/>
  <c r="J255" i="17"/>
  <c r="J254" i="17"/>
  <c r="J253" i="17"/>
  <c r="J251" i="17"/>
  <c r="J250" i="17"/>
  <c r="J249" i="17"/>
  <c r="J247" i="17"/>
  <c r="J246" i="17"/>
  <c r="J245" i="17"/>
  <c r="J243" i="17"/>
  <c r="J242" i="17"/>
  <c r="J241" i="17"/>
  <c r="J239" i="17"/>
  <c r="J238" i="17"/>
  <c r="J237" i="17"/>
  <c r="J235" i="17"/>
  <c r="J234" i="17"/>
  <c r="J233" i="17"/>
  <c r="J231" i="17"/>
  <c r="J230" i="17"/>
  <c r="J229" i="17"/>
  <c r="J227" i="17"/>
  <c r="J226" i="17"/>
  <c r="J225" i="17"/>
  <c r="J223" i="17"/>
  <c r="J222" i="17"/>
  <c r="J221" i="17"/>
  <c r="J219" i="17"/>
  <c r="J218" i="17"/>
  <c r="J217" i="17"/>
  <c r="J215" i="17"/>
  <c r="J214" i="17"/>
  <c r="J213" i="17"/>
  <c r="J211" i="17"/>
  <c r="J210" i="17"/>
  <c r="J209" i="17"/>
  <c r="J207" i="17"/>
  <c r="J206" i="17"/>
  <c r="J205" i="17"/>
  <c r="J203" i="17"/>
  <c r="J202" i="17"/>
  <c r="J201" i="17"/>
  <c r="J199" i="17"/>
  <c r="J198" i="17"/>
  <c r="J197" i="17"/>
  <c r="J195" i="17"/>
  <c r="J194" i="17"/>
  <c r="J193" i="17"/>
  <c r="J191" i="17"/>
  <c r="J190" i="17"/>
  <c r="J189" i="17"/>
  <c r="J187" i="17"/>
  <c r="J186" i="17"/>
  <c r="J185" i="17"/>
  <c r="J183" i="17"/>
  <c r="J182" i="17"/>
  <c r="J181" i="17"/>
  <c r="J179" i="17"/>
  <c r="J178" i="17"/>
  <c r="J177" i="17"/>
  <c r="J175" i="17"/>
  <c r="J174" i="17"/>
  <c r="J173" i="17"/>
  <c r="J171" i="17"/>
  <c r="J170" i="17"/>
  <c r="J169" i="17"/>
  <c r="J167" i="17"/>
  <c r="J166" i="17"/>
  <c r="J165" i="17"/>
  <c r="J163" i="17"/>
  <c r="J162" i="17"/>
  <c r="J161" i="17"/>
  <c r="J159" i="17"/>
  <c r="J158" i="17"/>
  <c r="J157" i="17"/>
  <c r="J155" i="17"/>
  <c r="J154" i="17"/>
  <c r="J153" i="17"/>
  <c r="J151" i="17"/>
  <c r="J150" i="17"/>
  <c r="J149" i="17"/>
  <c r="J147" i="17"/>
  <c r="J146" i="17"/>
  <c r="J145" i="17"/>
  <c r="J143" i="17"/>
  <c r="J142" i="17"/>
  <c r="J141" i="17"/>
  <c r="J139" i="17"/>
  <c r="J138" i="17"/>
  <c r="J137" i="17"/>
  <c r="J135" i="17"/>
  <c r="J134" i="17"/>
  <c r="J133" i="17"/>
  <c r="J131" i="17"/>
  <c r="J130" i="17"/>
  <c r="J129" i="17"/>
  <c r="J127" i="17"/>
  <c r="J126" i="17"/>
  <c r="J125" i="17"/>
  <c r="J123" i="17"/>
  <c r="J122" i="17"/>
  <c r="J121" i="17"/>
  <c r="J119" i="17"/>
  <c r="J118" i="17"/>
  <c r="J117" i="17"/>
  <c r="J115" i="17"/>
  <c r="J114" i="17"/>
  <c r="J113" i="17"/>
  <c r="J111" i="17"/>
  <c r="J110" i="17"/>
  <c r="J109" i="17"/>
  <c r="J107" i="17"/>
  <c r="J106" i="17"/>
  <c r="J105" i="17"/>
  <c r="J103" i="17"/>
  <c r="J102" i="17"/>
  <c r="J101" i="17"/>
  <c r="J99" i="17"/>
  <c r="J98" i="17"/>
  <c r="J97" i="17"/>
  <c r="J95" i="17"/>
  <c r="J94" i="17"/>
  <c r="J93" i="17"/>
  <c r="J91" i="17"/>
  <c r="J90" i="17"/>
  <c r="J89" i="17"/>
  <c r="J87" i="17"/>
  <c r="J86" i="17"/>
  <c r="J85" i="17"/>
  <c r="J83" i="17"/>
  <c r="J82" i="17"/>
  <c r="J81" i="17"/>
  <c r="J79" i="17"/>
  <c r="J78" i="17"/>
  <c r="J77" i="17"/>
  <c r="J75" i="17"/>
  <c r="J74" i="17"/>
  <c r="J73" i="17"/>
  <c r="J71" i="17"/>
  <c r="J70" i="17"/>
  <c r="J69" i="17"/>
  <c r="J67" i="17"/>
  <c r="J66" i="17"/>
  <c r="J65" i="17"/>
  <c r="J63" i="17"/>
  <c r="J62" i="17"/>
  <c r="J61" i="17"/>
  <c r="J59" i="17"/>
  <c r="J58" i="17"/>
  <c r="E12" i="16" l="1"/>
  <c r="E36" i="16" s="1"/>
  <c r="F7" i="16" s="1"/>
  <c r="J24" i="17"/>
  <c r="J26" i="17"/>
  <c r="I29" i="17" s="1"/>
  <c r="I30" i="17" s="1"/>
  <c r="I31" i="17" s="1"/>
  <c r="X10" i="14" l="1"/>
  <c r="X9" i="14"/>
  <c r="X8" i="14"/>
  <c r="X7" i="14"/>
  <c r="X6" i="14"/>
  <c r="X5" i="14"/>
  <c r="X4" i="14"/>
  <c r="X3" i="14"/>
  <c r="T14" i="14"/>
  <c r="T13" i="14"/>
  <c r="T12" i="14"/>
  <c r="T11" i="14"/>
  <c r="T10" i="14"/>
  <c r="T9" i="14"/>
  <c r="T8" i="14"/>
  <c r="T7" i="14"/>
  <c r="T6" i="14"/>
  <c r="T5" i="14"/>
  <c r="T4" i="14"/>
  <c r="T3" i="14"/>
  <c r="W10" i="14"/>
  <c r="W9" i="14"/>
  <c r="W8" i="14"/>
  <c r="W7" i="14"/>
  <c r="W6" i="14"/>
  <c r="W5" i="14"/>
  <c r="W4" i="14"/>
  <c r="W3" i="14"/>
  <c r="S14" i="14"/>
  <c r="S13" i="14"/>
  <c r="S12" i="14"/>
  <c r="S11" i="14"/>
  <c r="S10" i="14"/>
  <c r="S9" i="14"/>
  <c r="S8" i="14"/>
  <c r="S7" i="14"/>
  <c r="S6" i="14"/>
  <c r="S5" i="14"/>
  <c r="S4" i="14"/>
  <c r="S3" i="14"/>
  <c r="D17" i="14"/>
  <c r="E17" i="14"/>
  <c r="F17" i="14"/>
  <c r="G17" i="14"/>
  <c r="C17" i="14"/>
  <c r="H14" i="14"/>
  <c r="H15" i="14"/>
  <c r="H16" i="14"/>
  <c r="H13" i="14"/>
  <c r="C12" i="14"/>
  <c r="U208" i="14" l="1"/>
  <c r="T190" i="14"/>
  <c r="T200" i="14" s="1"/>
  <c r="T210" i="14" s="1"/>
  <c r="T220" i="14" s="1"/>
  <c r="T230" i="14" s="1"/>
  <c r="T189" i="14"/>
  <c r="T199" i="14" s="1"/>
  <c r="T209" i="14" s="1"/>
  <c r="T219" i="14" s="1"/>
  <c r="T229" i="14" s="1"/>
  <c r="T188" i="14"/>
  <c r="T198" i="14" s="1"/>
  <c r="T208" i="14" s="1"/>
  <c r="T218" i="14" s="1"/>
  <c r="T228" i="14" s="1"/>
  <c r="T187" i="14"/>
  <c r="T197" i="14" s="1"/>
  <c r="T207" i="14" s="1"/>
  <c r="T217" i="14" s="1"/>
  <c r="T227" i="14" s="1"/>
  <c r="K183" i="14"/>
  <c r="K193" i="14" s="1"/>
  <c r="K203" i="14" s="1"/>
  <c r="K213" i="14" s="1"/>
  <c r="K223" i="14" s="1"/>
  <c r="K182" i="14"/>
  <c r="K192" i="14" s="1"/>
  <c r="K202" i="14" s="1"/>
  <c r="K212" i="14" s="1"/>
  <c r="K222" i="14" s="1"/>
  <c r="K181" i="14"/>
  <c r="K191" i="14" s="1"/>
  <c r="K201" i="14" s="1"/>
  <c r="K211" i="14" s="1"/>
  <c r="K221" i="14" s="1"/>
  <c r="K180" i="14"/>
  <c r="K190" i="14" s="1"/>
  <c r="K200" i="14" s="1"/>
  <c r="K210" i="14" s="1"/>
  <c r="K220" i="14" s="1"/>
  <c r="C265" i="14"/>
  <c r="L265" i="14" s="1"/>
  <c r="C266" i="14"/>
  <c r="L266" i="14" s="1"/>
  <c r="C267" i="14"/>
  <c r="L267" i="14" s="1"/>
  <c r="C268" i="14"/>
  <c r="L268" i="14" s="1"/>
  <c r="C264" i="14"/>
  <c r="L264" i="14" s="1"/>
  <c r="C254" i="14"/>
  <c r="L254" i="14" s="1"/>
  <c r="C255" i="14"/>
  <c r="L255" i="14" s="1"/>
  <c r="C256" i="14"/>
  <c r="L256" i="14" s="1"/>
  <c r="C257" i="14"/>
  <c r="L257" i="14" s="1"/>
  <c r="C253" i="14"/>
  <c r="L253" i="14" s="1"/>
  <c r="C243" i="14"/>
  <c r="L243" i="14" s="1"/>
  <c r="C244" i="14"/>
  <c r="L244" i="14" s="1"/>
  <c r="C245" i="14"/>
  <c r="L245" i="14" s="1"/>
  <c r="C246" i="14"/>
  <c r="U253" i="14" s="1"/>
  <c r="C242" i="14"/>
  <c r="L242" i="14" s="1"/>
  <c r="C232" i="14"/>
  <c r="L232" i="14" s="1"/>
  <c r="C233" i="14"/>
  <c r="L233" i="14" s="1"/>
  <c r="C234" i="14"/>
  <c r="L234" i="14" s="1"/>
  <c r="C235" i="14"/>
  <c r="L235" i="14" s="1"/>
  <c r="C231" i="14"/>
  <c r="L231" i="14" s="1"/>
  <c r="B181" i="14"/>
  <c r="B191" i="14" s="1"/>
  <c r="B201" i="14" s="1"/>
  <c r="B211" i="14" s="1"/>
  <c r="B221" i="14" s="1"/>
  <c r="B182" i="14"/>
  <c r="B192" i="14" s="1"/>
  <c r="B202" i="14" s="1"/>
  <c r="B212" i="14" s="1"/>
  <c r="B222" i="14" s="1"/>
  <c r="B183" i="14"/>
  <c r="B180" i="14"/>
  <c r="B190" i="14" s="1"/>
  <c r="B200" i="14" s="1"/>
  <c r="B210" i="14" s="1"/>
  <c r="B220" i="14" s="1"/>
  <c r="E20" i="14"/>
  <c r="E23" i="14" s="1"/>
  <c r="E22" i="14"/>
  <c r="G12" i="14"/>
  <c r="F12" i="14"/>
  <c r="E12" i="14"/>
  <c r="D12" i="14"/>
  <c r="G16" i="14"/>
  <c r="U230" i="14" s="1"/>
  <c r="F16" i="14"/>
  <c r="U220" i="14" s="1"/>
  <c r="E16" i="14"/>
  <c r="D16" i="14"/>
  <c r="U200" i="14" s="1"/>
  <c r="C16" i="14"/>
  <c r="U190" i="14" s="1"/>
  <c r="G15" i="14"/>
  <c r="C222" i="14" s="1"/>
  <c r="C294" i="14" s="1"/>
  <c r="F294" i="14" s="1"/>
  <c r="F15" i="14"/>
  <c r="C212" i="14" s="1"/>
  <c r="C290" i="14" s="1"/>
  <c r="F290" i="14" s="1"/>
  <c r="E15" i="14"/>
  <c r="U209" i="14" s="1"/>
  <c r="D15" i="14"/>
  <c r="U199" i="14" s="1"/>
  <c r="C15" i="14"/>
  <c r="C182" i="14" s="1"/>
  <c r="E14" i="14"/>
  <c r="G14" i="14"/>
  <c r="C221" i="14" s="1"/>
  <c r="F14" i="14"/>
  <c r="U218" i="14" s="1"/>
  <c r="D14" i="14"/>
  <c r="U198" i="14" s="1"/>
  <c r="C14" i="14"/>
  <c r="U188" i="14" s="1"/>
  <c r="G13" i="14"/>
  <c r="C220" i="14" s="1"/>
  <c r="L220" i="14" s="1"/>
  <c r="F13" i="14"/>
  <c r="E13" i="14"/>
  <c r="C200" i="14" s="1"/>
  <c r="L200" i="14" s="1"/>
  <c r="D13" i="14"/>
  <c r="U197" i="14" s="1"/>
  <c r="C13" i="14"/>
  <c r="U187" i="14" s="1"/>
  <c r="U271" i="14" l="1"/>
  <c r="U274" i="14"/>
  <c r="U272" i="14"/>
  <c r="U260" i="14"/>
  <c r="U261" i="14"/>
  <c r="C213" i="14"/>
  <c r="L213" i="14" s="1"/>
  <c r="U264" i="14"/>
  <c r="U273" i="14"/>
  <c r="U263" i="14"/>
  <c r="U228" i="14"/>
  <c r="U300" i="14" s="1"/>
  <c r="U262" i="14"/>
  <c r="U275" i="14"/>
  <c r="U286" i="14"/>
  <c r="U293" i="14"/>
  <c r="U240" i="14"/>
  <c r="C29" i="14"/>
  <c r="L29" i="14" s="1"/>
  <c r="U36" i="14" s="1"/>
  <c r="U44" i="14" s="1"/>
  <c r="V283" i="14" s="1"/>
  <c r="C181" i="14"/>
  <c r="C277" i="14" s="1"/>
  <c r="F277" i="14" s="1"/>
  <c r="U292" i="14"/>
  <c r="U207" i="14"/>
  <c r="U217" i="14"/>
  <c r="U295" i="14" s="1"/>
  <c r="U227" i="14"/>
  <c r="S228" i="14" s="1"/>
  <c r="X230" i="14" s="1"/>
  <c r="U238" i="14"/>
  <c r="U239" i="14"/>
  <c r="U252" i="14"/>
  <c r="F31" i="14"/>
  <c r="O31" i="14" s="1"/>
  <c r="C193" i="14"/>
  <c r="C283" i="14" s="1"/>
  <c r="F283" i="14" s="1"/>
  <c r="L222" i="14"/>
  <c r="L294" i="14" s="1"/>
  <c r="U284" i="14"/>
  <c r="U210" i="14"/>
  <c r="U242" i="14"/>
  <c r="U251" i="14"/>
  <c r="L246" i="14"/>
  <c r="J243" i="14" s="1"/>
  <c r="O242" i="14" s="1"/>
  <c r="C201" i="14"/>
  <c r="L201" i="14" s="1"/>
  <c r="L285" i="14" s="1"/>
  <c r="U189" i="14"/>
  <c r="S188" i="14" s="1"/>
  <c r="X190" i="14" s="1"/>
  <c r="U219" i="14"/>
  <c r="U229" i="14"/>
  <c r="U241" i="14"/>
  <c r="U249" i="14"/>
  <c r="U250" i="14"/>
  <c r="U288" i="14"/>
  <c r="U296" i="14"/>
  <c r="S198" i="14"/>
  <c r="X200" i="14" s="1"/>
  <c r="U283" i="14"/>
  <c r="U287" i="14"/>
  <c r="U290" i="14"/>
  <c r="U298" i="14"/>
  <c r="U302" i="14"/>
  <c r="U289" i="14"/>
  <c r="U301" i="14"/>
  <c r="L193" i="14"/>
  <c r="C211" i="14"/>
  <c r="G31" i="14"/>
  <c r="P31" i="14" s="1"/>
  <c r="U31" i="14"/>
  <c r="V31" i="14"/>
  <c r="T31" i="14"/>
  <c r="W31" i="14"/>
  <c r="C180" i="14"/>
  <c r="L180" i="14" s="1"/>
  <c r="L276" i="14" s="1"/>
  <c r="L221" i="14"/>
  <c r="C293" i="14"/>
  <c r="F293" i="14" s="1"/>
  <c r="J232" i="14"/>
  <c r="O231" i="14" s="1"/>
  <c r="J254" i="14"/>
  <c r="L284" i="14"/>
  <c r="C278" i="14"/>
  <c r="F278" i="14" s="1"/>
  <c r="L182" i="14"/>
  <c r="J265" i="14"/>
  <c r="O267" i="14" s="1"/>
  <c r="L291" i="14"/>
  <c r="L212" i="14"/>
  <c r="L292" i="14"/>
  <c r="D29" i="14"/>
  <c r="M29" i="14" s="1"/>
  <c r="C190" i="14"/>
  <c r="L190" i="14" s="1"/>
  <c r="L280" i="14" s="1"/>
  <c r="F29" i="14"/>
  <c r="O29" i="14" s="1"/>
  <c r="C210" i="14"/>
  <c r="L210" i="14" s="1"/>
  <c r="F30" i="14"/>
  <c r="O30" i="14" s="1"/>
  <c r="D31" i="14"/>
  <c r="M31" i="14" s="1"/>
  <c r="C192" i="14"/>
  <c r="L192" i="14" s="1"/>
  <c r="C32" i="14"/>
  <c r="L32" i="14" s="1"/>
  <c r="U39" i="14" s="1"/>
  <c r="U47" i="14" s="1"/>
  <c r="C183" i="14"/>
  <c r="L183" i="14" s="1"/>
  <c r="L279" i="14" s="1"/>
  <c r="G32" i="14"/>
  <c r="P32" i="14" s="1"/>
  <c r="C223" i="14"/>
  <c r="L223" i="14" s="1"/>
  <c r="C292" i="14"/>
  <c r="F292" i="14" s="1"/>
  <c r="C284" i="14"/>
  <c r="E30" i="14"/>
  <c r="N30" i="14" s="1"/>
  <c r="E32" i="14"/>
  <c r="N32" i="14" s="1"/>
  <c r="D30" i="14"/>
  <c r="M30" i="14" s="1"/>
  <c r="B193" i="14"/>
  <c r="B203" i="14" s="1"/>
  <c r="B213" i="14" s="1"/>
  <c r="B223" i="14" s="1"/>
  <c r="C191" i="14"/>
  <c r="L191" i="14" s="1"/>
  <c r="C203" i="14"/>
  <c r="L203" i="14" s="1"/>
  <c r="E31" i="14"/>
  <c r="N31" i="14" s="1"/>
  <c r="D32" i="14"/>
  <c r="M32" i="14" s="1"/>
  <c r="G30" i="14"/>
  <c r="P30" i="14" s="1"/>
  <c r="G29" i="14"/>
  <c r="P29" i="14" s="1"/>
  <c r="C202" i="14"/>
  <c r="L202" i="14" s="1"/>
  <c r="A243" i="14"/>
  <c r="A232" i="14"/>
  <c r="A254" i="14"/>
  <c r="O254" i="14" s="1"/>
  <c r="A265" i="14"/>
  <c r="C31" i="14"/>
  <c r="L31" i="14" s="1"/>
  <c r="U38" i="14" s="1"/>
  <c r="U46" i="14" s="1"/>
  <c r="F32" i="14"/>
  <c r="O32" i="14" s="1"/>
  <c r="C30" i="14"/>
  <c r="L30" i="14" s="1"/>
  <c r="U37" i="14" s="1"/>
  <c r="U45" i="14" s="1"/>
  <c r="E29" i="14"/>
  <c r="N29" i="14" s="1"/>
  <c r="E24" i="14"/>
  <c r="E25" i="14" s="1"/>
  <c r="W38" i="14" l="1"/>
  <c r="W46" i="14" s="1"/>
  <c r="W36" i="14"/>
  <c r="W44" i="14" s="1"/>
  <c r="U299" i="14"/>
  <c r="C285" i="14"/>
  <c r="F285" i="14" s="1"/>
  <c r="L181" i="14"/>
  <c r="S272" i="14"/>
  <c r="X274" i="14" s="1"/>
  <c r="C291" i="14"/>
  <c r="X197" i="14"/>
  <c r="S261" i="14"/>
  <c r="X262" i="14" s="1"/>
  <c r="W39" i="14"/>
  <c r="W47" i="14" s="1"/>
  <c r="X271" i="14"/>
  <c r="W37" i="14"/>
  <c r="S239" i="14"/>
  <c r="X242" i="14" s="1"/>
  <c r="U285" i="14"/>
  <c r="S283" i="14" s="1"/>
  <c r="V36" i="14"/>
  <c r="V44" i="14" s="1"/>
  <c r="F257" i="14"/>
  <c r="X264" i="14"/>
  <c r="X39" i="14"/>
  <c r="X47" i="14" s="1"/>
  <c r="Y37" i="14"/>
  <c r="Y45" i="14" s="1"/>
  <c r="X228" i="14"/>
  <c r="X263" i="14"/>
  <c r="X261" i="14"/>
  <c r="Y39" i="14"/>
  <c r="Y47" i="14" s="1"/>
  <c r="X275" i="14"/>
  <c r="X273" i="14"/>
  <c r="X260" i="14"/>
  <c r="V189" i="14"/>
  <c r="W189" i="14" s="1"/>
  <c r="T72" i="14"/>
  <c r="V39" i="14"/>
  <c r="V47" i="14" s="1"/>
  <c r="V37" i="14"/>
  <c r="V45" i="14" s="1"/>
  <c r="V38" i="14"/>
  <c r="V46" i="14" s="1"/>
  <c r="Y38" i="14"/>
  <c r="Y46" i="14" s="1"/>
  <c r="U60" i="14"/>
  <c r="U52" i="14"/>
  <c r="V187" i="14"/>
  <c r="W187" i="14" s="1"/>
  <c r="V238" i="14"/>
  <c r="W238" i="14" s="1"/>
  <c r="T70" i="14"/>
  <c r="U63" i="14"/>
  <c r="U55" i="14"/>
  <c r="V286" i="14"/>
  <c r="W286" i="14" s="1"/>
  <c r="V271" i="14"/>
  <c r="W271" i="14" s="1"/>
  <c r="T73" i="14"/>
  <c r="V190" i="14"/>
  <c r="W190" i="14" s="1"/>
  <c r="U61" i="14"/>
  <c r="T71" i="14"/>
  <c r="V188" i="14"/>
  <c r="W188" i="14" s="1"/>
  <c r="U53" i="14"/>
  <c r="V249" i="14"/>
  <c r="W249" i="14" s="1"/>
  <c r="V284" i="14"/>
  <c r="W284" i="14" s="1"/>
  <c r="U294" i="14"/>
  <c r="X238" i="14"/>
  <c r="V285" i="14"/>
  <c r="W285" i="14" s="1"/>
  <c r="U62" i="14"/>
  <c r="X188" i="14"/>
  <c r="X37" i="14"/>
  <c r="X45" i="14" s="1"/>
  <c r="O265" i="14"/>
  <c r="X189" i="14"/>
  <c r="U54" i="14"/>
  <c r="X38" i="14"/>
  <c r="X46" i="14" s="1"/>
  <c r="X227" i="14"/>
  <c r="X187" i="14"/>
  <c r="X191" i="14" s="1"/>
  <c r="X199" i="14"/>
  <c r="X198" i="14"/>
  <c r="U297" i="14"/>
  <c r="O256" i="14"/>
  <c r="S208" i="14"/>
  <c r="X207" i="14" s="1"/>
  <c r="X241" i="14"/>
  <c r="Y36" i="14"/>
  <c r="Y44" i="14" s="1"/>
  <c r="X36" i="14"/>
  <c r="X44" i="14" s="1"/>
  <c r="O266" i="14"/>
  <c r="O255" i="14"/>
  <c r="W45" i="14"/>
  <c r="V260" i="14"/>
  <c r="W260" i="14" s="1"/>
  <c r="S218" i="14"/>
  <c r="S250" i="14"/>
  <c r="X253" i="14" s="1"/>
  <c r="X229" i="14"/>
  <c r="X239" i="14"/>
  <c r="U291" i="14"/>
  <c r="W283" i="14"/>
  <c r="F233" i="14"/>
  <c r="O233" i="14"/>
  <c r="L287" i="14"/>
  <c r="L295" i="14"/>
  <c r="L293" i="14"/>
  <c r="O253" i="14"/>
  <c r="O257" i="14"/>
  <c r="L286" i="14"/>
  <c r="J221" i="14"/>
  <c r="O223" i="14" s="1"/>
  <c r="L290" i="14"/>
  <c r="O246" i="14"/>
  <c r="O245" i="14"/>
  <c r="O264" i="14"/>
  <c r="O243" i="14"/>
  <c r="O244" i="14"/>
  <c r="L282" i="14"/>
  <c r="O232" i="14"/>
  <c r="J181" i="14"/>
  <c r="O183" i="14" s="1"/>
  <c r="J191" i="14"/>
  <c r="O192" i="14" s="1"/>
  <c r="L278" i="14"/>
  <c r="J201" i="14"/>
  <c r="O202" i="14" s="1"/>
  <c r="O234" i="14"/>
  <c r="L283" i="14"/>
  <c r="P40" i="14"/>
  <c r="P39" i="14"/>
  <c r="P38" i="14"/>
  <c r="L40" i="14"/>
  <c r="K66" i="14" s="1"/>
  <c r="P37" i="14"/>
  <c r="N40" i="14"/>
  <c r="O39" i="14"/>
  <c r="L37" i="14"/>
  <c r="K63" i="14" s="1"/>
  <c r="N37" i="14"/>
  <c r="O40" i="14"/>
  <c r="M38" i="14"/>
  <c r="L38" i="14"/>
  <c r="K64" i="14" s="1"/>
  <c r="O37" i="14"/>
  <c r="M39" i="14"/>
  <c r="N38" i="14"/>
  <c r="O38" i="14"/>
  <c r="M40" i="14"/>
  <c r="L39" i="14"/>
  <c r="K65" i="14" s="1"/>
  <c r="N39" i="14"/>
  <c r="M37" i="14"/>
  <c r="O191" i="14"/>
  <c r="L281" i="14"/>
  <c r="C276" i="14"/>
  <c r="F276" i="14" s="1"/>
  <c r="F255" i="14"/>
  <c r="L288" i="14"/>
  <c r="O235" i="14"/>
  <c r="L277" i="14"/>
  <c r="C289" i="14"/>
  <c r="F289" i="14" s="1"/>
  <c r="L211" i="14"/>
  <c r="O268" i="14"/>
  <c r="F266" i="14"/>
  <c r="F267" i="14"/>
  <c r="F245" i="14"/>
  <c r="F246" i="14"/>
  <c r="C287" i="14"/>
  <c r="C295" i="14"/>
  <c r="F234" i="14"/>
  <c r="A221" i="14"/>
  <c r="F223" i="14" s="1"/>
  <c r="F253" i="14"/>
  <c r="F254" i="14"/>
  <c r="C286" i="14"/>
  <c r="F286" i="14" s="1"/>
  <c r="F256" i="14"/>
  <c r="F264" i="14"/>
  <c r="F242" i="14"/>
  <c r="C282" i="14"/>
  <c r="F282" i="14" s="1"/>
  <c r="A211" i="14"/>
  <c r="F210" i="14" s="1"/>
  <c r="C288" i="14"/>
  <c r="C280" i="14"/>
  <c r="F291" i="14"/>
  <c r="C37" i="14"/>
  <c r="A191" i="14"/>
  <c r="F193" i="14" s="1"/>
  <c r="C281" i="14"/>
  <c r="F284" i="14"/>
  <c r="F243" i="14"/>
  <c r="C279" i="14"/>
  <c r="A181" i="14"/>
  <c r="F232" i="14"/>
  <c r="F244" i="14"/>
  <c r="F235" i="14"/>
  <c r="F268" i="14"/>
  <c r="F265" i="14"/>
  <c r="A201" i="14"/>
  <c r="F231" i="14"/>
  <c r="D40" i="14"/>
  <c r="D39" i="14"/>
  <c r="D38" i="14"/>
  <c r="D37" i="14"/>
  <c r="C40" i="14"/>
  <c r="E40" i="14"/>
  <c r="E39" i="14"/>
  <c r="E38" i="14"/>
  <c r="E37" i="14"/>
  <c r="C39" i="14"/>
  <c r="F40" i="14"/>
  <c r="F39" i="14"/>
  <c r="F38" i="14"/>
  <c r="F37" i="14"/>
  <c r="C38" i="14"/>
  <c r="G40" i="14"/>
  <c r="G39" i="14"/>
  <c r="G38" i="14"/>
  <c r="G37" i="14"/>
  <c r="X251" i="14" l="1"/>
  <c r="X272" i="14"/>
  <c r="W191" i="14"/>
  <c r="X192" i="14" s="1"/>
  <c r="X193" i="14" s="1"/>
  <c r="X250" i="14"/>
  <c r="X240" i="14"/>
  <c r="U56" i="14"/>
  <c r="X231" i="14"/>
  <c r="O181" i="14"/>
  <c r="X243" i="14"/>
  <c r="X201" i="14"/>
  <c r="X252" i="14"/>
  <c r="U64" i="14"/>
  <c r="X265" i="14"/>
  <c r="X60" i="14"/>
  <c r="W70" i="14"/>
  <c r="V295" i="14"/>
  <c r="W295" i="14" s="1"/>
  <c r="V241" i="14"/>
  <c r="W241" i="14" s="1"/>
  <c r="V217" i="14"/>
  <c r="W217" i="14" s="1"/>
  <c r="X52" i="14"/>
  <c r="Y60" i="14"/>
  <c r="X70" i="14"/>
  <c r="V227" i="14"/>
  <c r="W227" i="14" s="1"/>
  <c r="V299" i="14"/>
  <c r="W299" i="14" s="1"/>
  <c r="Y52" i="14"/>
  <c r="V242" i="14"/>
  <c r="W242" i="14" s="1"/>
  <c r="V262" i="14"/>
  <c r="W262" i="14" s="1"/>
  <c r="W62" i="14"/>
  <c r="W54" i="14"/>
  <c r="V72" i="14"/>
  <c r="V293" i="14"/>
  <c r="W293" i="14" s="1"/>
  <c r="V209" i="14"/>
  <c r="W209" i="14" s="1"/>
  <c r="V300" i="14"/>
  <c r="W300" i="14" s="1"/>
  <c r="Y61" i="14"/>
  <c r="V228" i="14"/>
  <c r="W228" i="14" s="1"/>
  <c r="V253" i="14"/>
  <c r="W253" i="14" s="1"/>
  <c r="X71" i="14"/>
  <c r="Y53" i="14"/>
  <c r="X276" i="14"/>
  <c r="X61" i="14"/>
  <c r="X53" i="14"/>
  <c r="V218" i="14"/>
  <c r="W218" i="14" s="1"/>
  <c r="V252" i="14"/>
  <c r="W252" i="14" s="1"/>
  <c r="V296" i="14"/>
  <c r="W296" i="14" s="1"/>
  <c r="W71" i="14"/>
  <c r="V61" i="14"/>
  <c r="V250" i="14"/>
  <c r="W250" i="14" s="1"/>
  <c r="U71" i="14"/>
  <c r="V53" i="14"/>
  <c r="V288" i="14"/>
  <c r="W288" i="14" s="1"/>
  <c r="V198" i="14"/>
  <c r="W198" i="14" s="1"/>
  <c r="O182" i="14"/>
  <c r="W63" i="14"/>
  <c r="V294" i="14"/>
  <c r="W55" i="14"/>
  <c r="V73" i="14"/>
  <c r="V210" i="14"/>
  <c r="W210" i="14" s="1"/>
  <c r="V273" i="14"/>
  <c r="W273" i="14" s="1"/>
  <c r="Y62" i="14"/>
  <c r="X72" i="14"/>
  <c r="Y54" i="14"/>
  <c r="V229" i="14"/>
  <c r="W229" i="14" s="1"/>
  <c r="V301" i="14"/>
  <c r="W301" i="14" s="1"/>
  <c r="V264" i="14"/>
  <c r="W264" i="14" s="1"/>
  <c r="V274" i="14"/>
  <c r="W274" i="14" s="1"/>
  <c r="X63" i="14"/>
  <c r="X55" i="14"/>
  <c r="W73" i="14"/>
  <c r="V298" i="14"/>
  <c r="W298" i="14" s="1"/>
  <c r="V220" i="14"/>
  <c r="W220" i="14" s="1"/>
  <c r="V62" i="14"/>
  <c r="V199" i="14"/>
  <c r="W199" i="14" s="1"/>
  <c r="V54" i="14"/>
  <c r="U72" i="14"/>
  <c r="V261" i="14"/>
  <c r="W261" i="14" s="1"/>
  <c r="V289" i="14"/>
  <c r="W289" i="14" s="1"/>
  <c r="X220" i="14"/>
  <c r="X218" i="14"/>
  <c r="W61" i="14"/>
  <c r="V71" i="14"/>
  <c r="V208" i="14"/>
  <c r="W208" i="14" s="1"/>
  <c r="V251" i="14"/>
  <c r="W251" i="14" s="1"/>
  <c r="W53" i="14"/>
  <c r="V292" i="14"/>
  <c r="W292" i="14" s="1"/>
  <c r="Y63" i="14"/>
  <c r="X73" i="14"/>
  <c r="V302" i="14"/>
  <c r="W302" i="14" s="1"/>
  <c r="V230" i="14"/>
  <c r="W230" i="14" s="1"/>
  <c r="Y55" i="14"/>
  <c r="V275" i="14"/>
  <c r="W275" i="14" s="1"/>
  <c r="X217" i="14"/>
  <c r="X62" i="14"/>
  <c r="V297" i="14"/>
  <c r="W297" i="14" s="1"/>
  <c r="V263" i="14"/>
  <c r="W263" i="14" s="1"/>
  <c r="W72" i="14"/>
  <c r="X54" i="14"/>
  <c r="V219" i="14"/>
  <c r="W219" i="14" s="1"/>
  <c r="X219" i="14"/>
  <c r="X249" i="14"/>
  <c r="V63" i="14"/>
  <c r="V55" i="14"/>
  <c r="U73" i="14"/>
  <c r="V272" i="14"/>
  <c r="W272" i="14" s="1"/>
  <c r="V200" i="14"/>
  <c r="W200" i="14" s="1"/>
  <c r="V290" i="14"/>
  <c r="W290" i="14" s="1"/>
  <c r="W294" i="14"/>
  <c r="O180" i="14"/>
  <c r="W60" i="14"/>
  <c r="V207" i="14"/>
  <c r="W207" i="14" s="1"/>
  <c r="V70" i="14"/>
  <c r="W52" i="14"/>
  <c r="V240" i="14"/>
  <c r="W240" i="14" s="1"/>
  <c r="V291" i="14"/>
  <c r="W291" i="14" s="1"/>
  <c r="X209" i="14"/>
  <c r="X208" i="14"/>
  <c r="V60" i="14"/>
  <c r="U70" i="14"/>
  <c r="V52" i="14"/>
  <c r="V197" i="14"/>
  <c r="W197" i="14" s="1"/>
  <c r="V239" i="14"/>
  <c r="W239" i="14" s="1"/>
  <c r="V287" i="14"/>
  <c r="W287" i="14" s="1"/>
  <c r="X210" i="14"/>
  <c r="M193" i="14"/>
  <c r="N193" i="14" s="1"/>
  <c r="M56" i="14"/>
  <c r="M283" i="14"/>
  <c r="N283" i="14" s="1"/>
  <c r="M48" i="14"/>
  <c r="L66" i="14"/>
  <c r="M265" i="14"/>
  <c r="N265" i="14" s="1"/>
  <c r="M288" i="14"/>
  <c r="N288" i="14" s="1"/>
  <c r="M234" i="14"/>
  <c r="N234" i="14" s="1"/>
  <c r="O53" i="14"/>
  <c r="M210" i="14"/>
  <c r="N210" i="14" s="1"/>
  <c r="O45" i="14"/>
  <c r="N63" i="14"/>
  <c r="M284" i="14"/>
  <c r="N284" i="14" s="1"/>
  <c r="N53" i="14"/>
  <c r="M63" i="14"/>
  <c r="M233" i="14"/>
  <c r="N233" i="14" s="1"/>
  <c r="N45" i="14"/>
  <c r="M200" i="14"/>
  <c r="N200" i="14" s="1"/>
  <c r="M292" i="14"/>
  <c r="N292" i="14" s="1"/>
  <c r="P53" i="14"/>
  <c r="M220" i="14"/>
  <c r="N220" i="14" s="1"/>
  <c r="P45" i="14"/>
  <c r="M235" i="14"/>
  <c r="N235" i="14" s="1"/>
  <c r="O63" i="14"/>
  <c r="O66" i="14"/>
  <c r="P56" i="14"/>
  <c r="M295" i="14"/>
  <c r="N295" i="14" s="1"/>
  <c r="M223" i="14"/>
  <c r="N223" i="14" s="1"/>
  <c r="P48" i="14"/>
  <c r="M268" i="14"/>
  <c r="N268" i="14" s="1"/>
  <c r="F236" i="14"/>
  <c r="F269" i="14"/>
  <c r="J211" i="14"/>
  <c r="O211" i="14" s="1"/>
  <c r="L289" i="14"/>
  <c r="J276" i="14" s="1"/>
  <c r="M202" i="14"/>
  <c r="N202" i="14" s="1"/>
  <c r="N47" i="14"/>
  <c r="M286" i="14"/>
  <c r="N286" i="14" s="1"/>
  <c r="M255" i="14"/>
  <c r="N255" i="14" s="1"/>
  <c r="M65" i="14"/>
  <c r="N55" i="14"/>
  <c r="N54" i="14"/>
  <c r="M64" i="14"/>
  <c r="M285" i="14"/>
  <c r="N285" i="14" s="1"/>
  <c r="M201" i="14"/>
  <c r="N201" i="14" s="1"/>
  <c r="N46" i="14"/>
  <c r="M244" i="14"/>
  <c r="N244" i="14" s="1"/>
  <c r="M191" i="14"/>
  <c r="N191" i="14" s="1"/>
  <c r="M281" i="14"/>
  <c r="N281" i="14" s="1"/>
  <c r="M54" i="14"/>
  <c r="M243" i="14"/>
  <c r="N243" i="14" s="1"/>
  <c r="L64" i="14"/>
  <c r="M46" i="14"/>
  <c r="M212" i="14"/>
  <c r="N212" i="14" s="1"/>
  <c r="N65" i="14"/>
  <c r="O55" i="14"/>
  <c r="O47" i="14"/>
  <c r="M290" i="14"/>
  <c r="N290" i="14" s="1"/>
  <c r="M256" i="14"/>
  <c r="N256" i="14" s="1"/>
  <c r="O64" i="14"/>
  <c r="P46" i="14"/>
  <c r="M293" i="14"/>
  <c r="N293" i="14" s="1"/>
  <c r="M221" i="14"/>
  <c r="N221" i="14" s="1"/>
  <c r="P54" i="14"/>
  <c r="M246" i="14"/>
  <c r="N246" i="14" s="1"/>
  <c r="O193" i="14"/>
  <c r="O236" i="14"/>
  <c r="O247" i="14"/>
  <c r="L55" i="14"/>
  <c r="M253" i="14"/>
  <c r="N253" i="14" s="1"/>
  <c r="M182" i="14"/>
  <c r="N182" i="14" s="1"/>
  <c r="L47" i="14"/>
  <c r="M278" i="14"/>
  <c r="N278" i="14" s="1"/>
  <c r="M282" i="14"/>
  <c r="N282" i="14" s="1"/>
  <c r="M192" i="14"/>
  <c r="N192" i="14" s="1"/>
  <c r="M55" i="14"/>
  <c r="M254" i="14"/>
  <c r="N254" i="14" s="1"/>
  <c r="L65" i="14"/>
  <c r="M47" i="14"/>
  <c r="O56" i="14"/>
  <c r="M291" i="14"/>
  <c r="N291" i="14" s="1"/>
  <c r="M213" i="14"/>
  <c r="N213" i="14" s="1"/>
  <c r="O48" i="14"/>
  <c r="N66" i="14"/>
  <c r="M267" i="14"/>
  <c r="N267" i="14" s="1"/>
  <c r="N56" i="14"/>
  <c r="N48" i="14"/>
  <c r="M287" i="14"/>
  <c r="N287" i="14" s="1"/>
  <c r="M203" i="14"/>
  <c r="N203" i="14" s="1"/>
  <c r="M66" i="14"/>
  <c r="M266" i="14"/>
  <c r="N266" i="14" s="1"/>
  <c r="M222" i="14"/>
  <c r="N222" i="14" s="1"/>
  <c r="P55" i="14"/>
  <c r="O65" i="14"/>
  <c r="M294" i="14"/>
  <c r="N294" i="14" s="1"/>
  <c r="P47" i="14"/>
  <c r="M257" i="14"/>
  <c r="N257" i="14" s="1"/>
  <c r="O269" i="14"/>
  <c r="O222" i="14"/>
  <c r="O220" i="14"/>
  <c r="O258" i="14"/>
  <c r="M280" i="14"/>
  <c r="N280" i="14" s="1"/>
  <c r="M190" i="14"/>
  <c r="N190" i="14" s="1"/>
  <c r="M53" i="14"/>
  <c r="M45" i="14"/>
  <c r="M232" i="14"/>
  <c r="N232" i="14" s="1"/>
  <c r="L63" i="14"/>
  <c r="M211" i="14"/>
  <c r="N211" i="14" s="1"/>
  <c r="O54" i="14"/>
  <c r="M289" i="14"/>
  <c r="O46" i="14"/>
  <c r="M245" i="14"/>
  <c r="N245" i="14" s="1"/>
  <c r="N64" i="14"/>
  <c r="M242" i="14"/>
  <c r="N242" i="14" s="1"/>
  <c r="L54" i="14"/>
  <c r="M181" i="14"/>
  <c r="N181" i="14" s="1"/>
  <c r="L46" i="14"/>
  <c r="M277" i="14"/>
  <c r="N277" i="14" s="1"/>
  <c r="M276" i="14"/>
  <c r="N276" i="14" s="1"/>
  <c r="M180" i="14"/>
  <c r="N180" i="14" s="1"/>
  <c r="L45" i="14"/>
  <c r="L53" i="14"/>
  <c r="M231" i="14"/>
  <c r="N231" i="14" s="1"/>
  <c r="L56" i="14"/>
  <c r="M279" i="14"/>
  <c r="N279" i="14" s="1"/>
  <c r="M264" i="14"/>
  <c r="N264" i="14" s="1"/>
  <c r="M183" i="14"/>
  <c r="N183" i="14" s="1"/>
  <c r="L48" i="14"/>
  <c r="O201" i="14"/>
  <c r="O200" i="14"/>
  <c r="O190" i="14"/>
  <c r="O194" i="14" s="1"/>
  <c r="O221" i="14"/>
  <c r="O203" i="14"/>
  <c r="G46" i="14"/>
  <c r="G54" i="14"/>
  <c r="D246" i="14"/>
  <c r="E246" i="14" s="1"/>
  <c r="D221" i="14"/>
  <c r="F64" i="14"/>
  <c r="D210" i="14"/>
  <c r="D234" i="14"/>
  <c r="E234" i="14" s="1"/>
  <c r="F53" i="14"/>
  <c r="E63" i="14"/>
  <c r="C47" i="14"/>
  <c r="D182" i="14"/>
  <c r="D253" i="14"/>
  <c r="E253" i="14" s="1"/>
  <c r="B65" i="14"/>
  <c r="C55" i="14"/>
  <c r="E48" i="14"/>
  <c r="D266" i="14"/>
  <c r="E266" i="14" s="1"/>
  <c r="E56" i="14"/>
  <c r="D203" i="14"/>
  <c r="D66" i="14"/>
  <c r="D47" i="14"/>
  <c r="D254" i="14"/>
  <c r="E254" i="14" s="1"/>
  <c r="D192" i="14"/>
  <c r="D55" i="14"/>
  <c r="C65" i="14"/>
  <c r="F180" i="14"/>
  <c r="F181" i="14"/>
  <c r="F182" i="14"/>
  <c r="D231" i="14"/>
  <c r="E231" i="14" s="1"/>
  <c r="D180" i="14"/>
  <c r="B63" i="14"/>
  <c r="C53" i="14"/>
  <c r="F280" i="14"/>
  <c r="F287" i="14"/>
  <c r="G47" i="14"/>
  <c r="G55" i="14"/>
  <c r="D222" i="14"/>
  <c r="F65" i="14"/>
  <c r="D257" i="14"/>
  <c r="E257" i="14" s="1"/>
  <c r="F46" i="14"/>
  <c r="D245" i="14"/>
  <c r="E245" i="14" s="1"/>
  <c r="D211" i="14"/>
  <c r="F54" i="14"/>
  <c r="E64" i="14"/>
  <c r="E45" i="14"/>
  <c r="D233" i="14"/>
  <c r="E233" i="14" s="1"/>
  <c r="D200" i="14"/>
  <c r="D63" i="14"/>
  <c r="E53" i="14"/>
  <c r="C48" i="14"/>
  <c r="D264" i="14"/>
  <c r="E264" i="14" s="1"/>
  <c r="D183" i="14"/>
  <c r="C56" i="14"/>
  <c r="B66" i="14"/>
  <c r="D48" i="14"/>
  <c r="D265" i="14"/>
  <c r="E265" i="14" s="1"/>
  <c r="D56" i="14"/>
  <c r="D193" i="14"/>
  <c r="C66" i="14"/>
  <c r="F201" i="14"/>
  <c r="F200" i="14"/>
  <c r="F183" i="14"/>
  <c r="F192" i="14"/>
  <c r="C45" i="14"/>
  <c r="G48" i="14"/>
  <c r="G56" i="14"/>
  <c r="D223" i="14"/>
  <c r="D268" i="14"/>
  <c r="E268" i="14" s="1"/>
  <c r="F66" i="14"/>
  <c r="F47" i="14"/>
  <c r="D256" i="14"/>
  <c r="E256" i="14" s="1"/>
  <c r="D212" i="14"/>
  <c r="F55" i="14"/>
  <c r="E65" i="14"/>
  <c r="E46" i="14"/>
  <c r="D201" i="14"/>
  <c r="D244" i="14"/>
  <c r="E244" i="14" s="1"/>
  <c r="E54" i="14"/>
  <c r="D64" i="14"/>
  <c r="D45" i="14"/>
  <c r="D53" i="14"/>
  <c r="D190" i="14"/>
  <c r="D232" i="14"/>
  <c r="E232" i="14" s="1"/>
  <c r="C63" i="14"/>
  <c r="F279" i="14"/>
  <c r="A276" i="14"/>
  <c r="F281" i="14"/>
  <c r="F288" i="14"/>
  <c r="F258" i="14"/>
  <c r="F295" i="14"/>
  <c r="G45" i="14"/>
  <c r="G53" i="14"/>
  <c r="D235" i="14"/>
  <c r="E235" i="14" s="1"/>
  <c r="D220" i="14"/>
  <c r="F63" i="14"/>
  <c r="C46" i="14"/>
  <c r="D242" i="14"/>
  <c r="E242" i="14" s="1"/>
  <c r="D181" i="14"/>
  <c r="C54" i="14"/>
  <c r="B64" i="14"/>
  <c r="F48" i="14"/>
  <c r="D267" i="14"/>
  <c r="E267" i="14" s="1"/>
  <c r="F56" i="14"/>
  <c r="D213" i="14"/>
  <c r="E66" i="14"/>
  <c r="E47" i="14"/>
  <c r="E55" i="14"/>
  <c r="D202" i="14"/>
  <c r="D65" i="14"/>
  <c r="D255" i="14"/>
  <c r="E255" i="14" s="1"/>
  <c r="D46" i="14"/>
  <c r="D191" i="14"/>
  <c r="D54" i="14"/>
  <c r="D243" i="14"/>
  <c r="E243" i="14" s="1"/>
  <c r="C64" i="14"/>
  <c r="F191" i="14"/>
  <c r="F190" i="14"/>
  <c r="F212" i="14"/>
  <c r="F211" i="14"/>
  <c r="F213" i="14"/>
  <c r="F247" i="14"/>
  <c r="F202" i="14"/>
  <c r="F222" i="14"/>
  <c r="F220" i="14"/>
  <c r="F221" i="14"/>
  <c r="F203" i="14"/>
  <c r="F45" i="14"/>
  <c r="N184" i="14" l="1"/>
  <c r="X254" i="14"/>
  <c r="X297" i="14"/>
  <c r="X294" i="14"/>
  <c r="O283" i="14"/>
  <c r="O278" i="14"/>
  <c r="O277" i="14"/>
  <c r="O288" i="14"/>
  <c r="O282" i="14"/>
  <c r="O287" i="14"/>
  <c r="O184" i="14"/>
  <c r="M57" i="14"/>
  <c r="Z61" i="14"/>
  <c r="W265" i="14"/>
  <c r="X266" i="14" s="1"/>
  <c r="X267" i="14" s="1"/>
  <c r="N224" i="14"/>
  <c r="C49" i="14"/>
  <c r="W64" i="14"/>
  <c r="Y56" i="14"/>
  <c r="Z63" i="14"/>
  <c r="W303" i="14"/>
  <c r="Z62" i="14"/>
  <c r="W276" i="14"/>
  <c r="X277" i="14" s="1"/>
  <c r="X278" i="14" s="1"/>
  <c r="F224" i="14"/>
  <c r="H54" i="14"/>
  <c r="G49" i="14"/>
  <c r="N269" i="14"/>
  <c r="O270" i="14" s="1"/>
  <c r="O271" i="14" s="1"/>
  <c r="N236" i="14"/>
  <c r="O237" i="14" s="1"/>
  <c r="O238" i="14" s="1"/>
  <c r="M49" i="14"/>
  <c r="O281" i="14"/>
  <c r="W201" i="14"/>
  <c r="X202" i="14" s="1"/>
  <c r="X203" i="14" s="1"/>
  <c r="W211" i="14"/>
  <c r="Z55" i="14"/>
  <c r="Z53" i="14"/>
  <c r="O286" i="14"/>
  <c r="X300" i="14"/>
  <c r="X286" i="14"/>
  <c r="X292" i="14"/>
  <c r="X284" i="14"/>
  <c r="X288" i="14"/>
  <c r="X302" i="14"/>
  <c r="X301" i="14"/>
  <c r="X289" i="14"/>
  <c r="X295" i="14"/>
  <c r="X290" i="14"/>
  <c r="X285" i="14"/>
  <c r="X298" i="14"/>
  <c r="X293" i="14"/>
  <c r="X283" i="14"/>
  <c r="X296" i="14"/>
  <c r="X299" i="14"/>
  <c r="X287" i="14"/>
  <c r="W56" i="14"/>
  <c r="X291" i="14"/>
  <c r="X221" i="14"/>
  <c r="W254" i="14"/>
  <c r="X56" i="14"/>
  <c r="Z52" i="14"/>
  <c r="V56" i="14"/>
  <c r="X211" i="14"/>
  <c r="Z54" i="14"/>
  <c r="Y64" i="14"/>
  <c r="Q46" i="14"/>
  <c r="N194" i="14"/>
  <c r="O195" i="14" s="1"/>
  <c r="O196" i="14" s="1"/>
  <c r="P49" i="14"/>
  <c r="N204" i="14"/>
  <c r="N214" i="14"/>
  <c r="W243" i="14"/>
  <c r="X244" i="14" s="1"/>
  <c r="X245" i="14" s="1"/>
  <c r="V64" i="14"/>
  <c r="Z60" i="14"/>
  <c r="W231" i="14"/>
  <c r="X232" i="14" s="1"/>
  <c r="X233" i="14" s="1"/>
  <c r="W221" i="14"/>
  <c r="X64" i="14"/>
  <c r="O224" i="14"/>
  <c r="H45" i="14"/>
  <c r="H47" i="14"/>
  <c r="Q45" i="14"/>
  <c r="L49" i="14"/>
  <c r="N247" i="14"/>
  <c r="O248" i="14" s="1"/>
  <c r="O249" i="14" s="1"/>
  <c r="O290" i="14"/>
  <c r="Q55" i="14"/>
  <c r="P57" i="14"/>
  <c r="Q47" i="14"/>
  <c r="O213" i="14"/>
  <c r="O212" i="14"/>
  <c r="O210" i="14"/>
  <c r="O49" i="14"/>
  <c r="F214" i="14"/>
  <c r="H46" i="14"/>
  <c r="E49" i="14"/>
  <c r="H48" i="14"/>
  <c r="E269" i="14"/>
  <c r="F270" i="14" s="1"/>
  <c r="F271" i="14" s="1"/>
  <c r="O294" i="14"/>
  <c r="O279" i="14"/>
  <c r="O280" i="14"/>
  <c r="O292" i="14"/>
  <c r="O291" i="14"/>
  <c r="O285" i="14"/>
  <c r="O284" i="14"/>
  <c r="O276" i="14"/>
  <c r="O295" i="14"/>
  <c r="Q56" i="14"/>
  <c r="N57" i="14"/>
  <c r="F184" i="14"/>
  <c r="O204" i="14"/>
  <c r="Q48" i="14"/>
  <c r="Q53" i="14"/>
  <c r="L57" i="14"/>
  <c r="Q54" i="14"/>
  <c r="N258" i="14"/>
  <c r="O259" i="14" s="1"/>
  <c r="O260" i="14" s="1"/>
  <c r="O289" i="14"/>
  <c r="N289" i="14"/>
  <c r="N296" i="14" s="1"/>
  <c r="O293" i="14"/>
  <c r="N49" i="14"/>
  <c r="O57" i="14"/>
  <c r="D295" i="14"/>
  <c r="E295" i="14" s="1"/>
  <c r="E223" i="14"/>
  <c r="D284" i="14"/>
  <c r="E284" i="14" s="1"/>
  <c r="E200" i="14"/>
  <c r="D276" i="14"/>
  <c r="E276" i="14" s="1"/>
  <c r="E180" i="14"/>
  <c r="H56" i="14"/>
  <c r="D277" i="14"/>
  <c r="E277" i="14" s="1"/>
  <c r="E181" i="14"/>
  <c r="D292" i="14"/>
  <c r="E292" i="14" s="1"/>
  <c r="E220" i="14"/>
  <c r="D280" i="14"/>
  <c r="E280" i="14" s="1"/>
  <c r="E190" i="14"/>
  <c r="E193" i="14"/>
  <c r="D283" i="14"/>
  <c r="E283" i="14" s="1"/>
  <c r="D289" i="14"/>
  <c r="E289" i="14" s="1"/>
  <c r="E211" i="14"/>
  <c r="E236" i="14"/>
  <c r="F237" i="14" s="1"/>
  <c r="F238" i="14" s="1"/>
  <c r="E258" i="14"/>
  <c r="F259" i="14" s="1"/>
  <c r="F260" i="14" s="1"/>
  <c r="F57" i="14"/>
  <c r="D293" i="14"/>
  <c r="E293" i="14" s="1"/>
  <c r="E221" i="14"/>
  <c r="F194" i="14"/>
  <c r="E247" i="14"/>
  <c r="F248" i="14" s="1"/>
  <c r="F249" i="14" s="1"/>
  <c r="F296" i="14"/>
  <c r="D57" i="14"/>
  <c r="H55" i="14"/>
  <c r="F204" i="14"/>
  <c r="E57" i="14"/>
  <c r="E222" i="14"/>
  <c r="D294" i="14"/>
  <c r="E294" i="14" s="1"/>
  <c r="C57" i="14"/>
  <c r="H53" i="14"/>
  <c r="D278" i="14"/>
  <c r="E278" i="14" s="1"/>
  <c r="E182" i="14"/>
  <c r="D281" i="14"/>
  <c r="E281" i="14" s="1"/>
  <c r="E191" i="14"/>
  <c r="D286" i="14"/>
  <c r="E286" i="14" s="1"/>
  <c r="E202" i="14"/>
  <c r="D291" i="14"/>
  <c r="E291" i="14" s="1"/>
  <c r="E213" i="14"/>
  <c r="G57" i="14"/>
  <c r="D49" i="14"/>
  <c r="D285" i="14"/>
  <c r="E285" i="14" s="1"/>
  <c r="E201" i="14"/>
  <c r="D290" i="14"/>
  <c r="E290" i="14" s="1"/>
  <c r="E212" i="14"/>
  <c r="D279" i="14"/>
  <c r="E279" i="14" s="1"/>
  <c r="E183" i="14"/>
  <c r="D282" i="14"/>
  <c r="E282" i="14" s="1"/>
  <c r="E192" i="14"/>
  <c r="D287" i="14"/>
  <c r="E287" i="14" s="1"/>
  <c r="E203" i="14"/>
  <c r="D288" i="14"/>
  <c r="E288" i="14" s="1"/>
  <c r="E210" i="14"/>
  <c r="F49" i="14"/>
  <c r="O185" i="14" l="1"/>
  <c r="O186" i="14" s="1"/>
  <c r="X222" i="14"/>
  <c r="X223" i="14" s="1"/>
  <c r="Q57" i="14"/>
  <c r="X255" i="14"/>
  <c r="X256" i="14" s="1"/>
  <c r="O225" i="14"/>
  <c r="O226" i="14" s="1"/>
  <c r="Z64" i="14"/>
  <c r="O205" i="14"/>
  <c r="O206" i="14" s="1"/>
  <c r="H49" i="14"/>
  <c r="Z56" i="14"/>
  <c r="X303" i="14"/>
  <c r="X304" i="14" s="1"/>
  <c r="X305" i="14" s="1"/>
  <c r="X212" i="14"/>
  <c r="X213" i="14" s="1"/>
  <c r="O214" i="14"/>
  <c r="O215" i="14" s="1"/>
  <c r="O216" i="14" s="1"/>
  <c r="E214" i="14"/>
  <c r="F215" i="14" s="1"/>
  <c r="F216" i="14" s="1"/>
  <c r="E224" i="14"/>
  <c r="F225" i="14" s="1"/>
  <c r="F226" i="14" s="1"/>
  <c r="O296" i="14"/>
  <c r="O297" i="14" s="1"/>
  <c r="O298" i="14" s="1"/>
  <c r="Q49" i="14"/>
  <c r="E184" i="14"/>
  <c r="F185" i="14" s="1"/>
  <c r="F186" i="14" s="1"/>
  <c r="E194" i="14"/>
  <c r="F195" i="14" s="1"/>
  <c r="F196" i="14" s="1"/>
  <c r="H57" i="14"/>
  <c r="E296" i="14"/>
  <c r="F297" i="14" s="1"/>
  <c r="F298" i="14" s="1"/>
  <c r="E204" i="14"/>
  <c r="F205" i="14" s="1"/>
  <c r="F206" i="14" s="1"/>
  <c r="E41" i="7" l="1"/>
  <c r="F41" i="7"/>
  <c r="E63" i="7"/>
  <c r="D107" i="13"/>
  <c r="D106" i="13"/>
  <c r="D104" i="13"/>
  <c r="D101" i="13"/>
  <c r="D108" i="13" s="1"/>
  <c r="D99" i="13"/>
  <c r="D95" i="13"/>
  <c r="D94" i="13"/>
  <c r="B41" i="7" l="1"/>
  <c r="B15" i="7"/>
  <c r="B14" i="7"/>
  <c r="B7" i="7"/>
  <c r="B5" i="7"/>
  <c r="B4" i="7"/>
  <c r="V61" i="13" l="1"/>
  <c r="V70" i="13" s="1"/>
  <c r="V71" i="13" s="1"/>
  <c r="V72" i="13" s="1"/>
  <c r="Z77" i="13"/>
  <c r="X77" i="13"/>
  <c r="V77" i="13"/>
  <c r="T77" i="13"/>
  <c r="R77" i="13"/>
  <c r="P77" i="13"/>
  <c r="M77" i="13"/>
  <c r="K77" i="13"/>
  <c r="I77" i="13"/>
  <c r="G77" i="13"/>
  <c r="E77" i="13"/>
  <c r="C77" i="13"/>
  <c r="Z75" i="13"/>
  <c r="Z84" i="13" s="1"/>
  <c r="Z85" i="13" s="1"/>
  <c r="Z86" i="13" s="1"/>
  <c r="X75" i="13"/>
  <c r="V75" i="13"/>
  <c r="V84" i="13" s="1"/>
  <c r="V85" i="13" s="1"/>
  <c r="V86" i="13" s="1"/>
  <c r="T75" i="13"/>
  <c r="T84" i="13" s="1"/>
  <c r="T85" i="13" s="1"/>
  <c r="T86" i="13" s="1"/>
  <c r="R75" i="13"/>
  <c r="R84" i="13" s="1"/>
  <c r="R85" i="13" s="1"/>
  <c r="R86" i="13" s="1"/>
  <c r="P75" i="13"/>
  <c r="P84" i="13" s="1"/>
  <c r="P85" i="13" s="1"/>
  <c r="P86" i="13" s="1"/>
  <c r="M75" i="13"/>
  <c r="M84" i="13" s="1"/>
  <c r="M85" i="13" s="1"/>
  <c r="M86" i="13" s="1"/>
  <c r="K75" i="13"/>
  <c r="K84" i="13" s="1"/>
  <c r="K85" i="13" s="1"/>
  <c r="K86" i="13" s="1"/>
  <c r="I75" i="13"/>
  <c r="I84" i="13" s="1"/>
  <c r="I85" i="13" s="1"/>
  <c r="I86" i="13" s="1"/>
  <c r="G75" i="13"/>
  <c r="E75" i="13"/>
  <c r="E84" i="13" s="1"/>
  <c r="E85" i="13" s="1"/>
  <c r="E86" i="13" s="1"/>
  <c r="C75" i="13"/>
  <c r="C76" i="13" s="1"/>
  <c r="Z63" i="13"/>
  <c r="X63" i="13"/>
  <c r="V63" i="13"/>
  <c r="T63" i="13"/>
  <c r="R63" i="13"/>
  <c r="P63" i="13"/>
  <c r="M63" i="13"/>
  <c r="K63" i="13"/>
  <c r="I63" i="13"/>
  <c r="G63" i="13"/>
  <c r="E63" i="13"/>
  <c r="C63" i="13"/>
  <c r="Z61" i="13"/>
  <c r="X61" i="13"/>
  <c r="X62" i="13" s="1"/>
  <c r="T61" i="13"/>
  <c r="T62" i="13" s="1"/>
  <c r="R61" i="13"/>
  <c r="R70" i="13" s="1"/>
  <c r="R71" i="13" s="1"/>
  <c r="R72" i="13" s="1"/>
  <c r="P61" i="13"/>
  <c r="P70" i="13" s="1"/>
  <c r="P71" i="13" s="1"/>
  <c r="P72" i="13" s="1"/>
  <c r="M61" i="13"/>
  <c r="M70" i="13" s="1"/>
  <c r="M71" i="13" s="1"/>
  <c r="M72" i="13" s="1"/>
  <c r="K61" i="13"/>
  <c r="K70" i="13" s="1"/>
  <c r="K71" i="13" s="1"/>
  <c r="K72" i="13" s="1"/>
  <c r="I61" i="13"/>
  <c r="I70" i="13" s="1"/>
  <c r="I71" i="13" s="1"/>
  <c r="I72" i="13" s="1"/>
  <c r="G61" i="13"/>
  <c r="G70" i="13" s="1"/>
  <c r="G71" i="13" s="1"/>
  <c r="G72" i="13" s="1"/>
  <c r="E61" i="13"/>
  <c r="E70" i="13" s="1"/>
  <c r="E71" i="13" s="1"/>
  <c r="E72" i="13" s="1"/>
  <c r="C61" i="13"/>
  <c r="C70" i="13" s="1"/>
  <c r="C71" i="13" s="1"/>
  <c r="C72" i="13" s="1"/>
  <c r="Z49" i="13"/>
  <c r="X49" i="13"/>
  <c r="V49" i="13"/>
  <c r="T49" i="13"/>
  <c r="R49" i="13"/>
  <c r="P49" i="13"/>
  <c r="M49" i="13"/>
  <c r="K49" i="13"/>
  <c r="I49" i="13"/>
  <c r="G49" i="13"/>
  <c r="E49" i="13"/>
  <c r="C49" i="13"/>
  <c r="G48" i="13"/>
  <c r="Z47" i="13"/>
  <c r="Z56" i="13" s="1"/>
  <c r="Z57" i="13" s="1"/>
  <c r="Z58" i="13" s="1"/>
  <c r="X47" i="13"/>
  <c r="X56" i="13" s="1"/>
  <c r="X57" i="13" s="1"/>
  <c r="X58" i="13" s="1"/>
  <c r="V47" i="13"/>
  <c r="V56" i="13" s="1"/>
  <c r="V57" i="13" s="1"/>
  <c r="V58" i="13" s="1"/>
  <c r="T47" i="13"/>
  <c r="T56" i="13" s="1"/>
  <c r="T57" i="13" s="1"/>
  <c r="T58" i="13" s="1"/>
  <c r="R47" i="13"/>
  <c r="R56" i="13" s="1"/>
  <c r="R57" i="13" s="1"/>
  <c r="R58" i="13" s="1"/>
  <c r="P47" i="13"/>
  <c r="P56" i="13" s="1"/>
  <c r="P57" i="13" s="1"/>
  <c r="P58" i="13" s="1"/>
  <c r="M47" i="13"/>
  <c r="M56" i="13" s="1"/>
  <c r="M57" i="13" s="1"/>
  <c r="M58" i="13" s="1"/>
  <c r="K47" i="13"/>
  <c r="K48" i="13" s="1"/>
  <c r="K51" i="13" s="1"/>
  <c r="I47" i="13"/>
  <c r="I56" i="13" s="1"/>
  <c r="I57" i="13" s="1"/>
  <c r="I58" i="13" s="1"/>
  <c r="G47" i="13"/>
  <c r="G56" i="13" s="1"/>
  <c r="G57" i="13" s="1"/>
  <c r="G58" i="13" s="1"/>
  <c r="E47" i="13"/>
  <c r="E56" i="13" s="1"/>
  <c r="E57" i="13" s="1"/>
  <c r="E58" i="13" s="1"/>
  <c r="C47" i="13"/>
  <c r="C56" i="13" s="1"/>
  <c r="C57" i="13" s="1"/>
  <c r="C58" i="13" s="1"/>
  <c r="Z33" i="13"/>
  <c r="X33" i="13"/>
  <c r="V33" i="13"/>
  <c r="T33" i="13"/>
  <c r="R33" i="13"/>
  <c r="P33" i="13"/>
  <c r="M33" i="13"/>
  <c r="K33" i="13"/>
  <c r="I33" i="13"/>
  <c r="G33" i="13"/>
  <c r="E33" i="13"/>
  <c r="C33" i="13"/>
  <c r="Z31" i="13"/>
  <c r="Z40" i="13" s="1"/>
  <c r="Z41" i="13" s="1"/>
  <c r="Z42" i="13" s="1"/>
  <c r="X31" i="13"/>
  <c r="V31" i="13"/>
  <c r="V40" i="13" s="1"/>
  <c r="V41" i="13" s="1"/>
  <c r="V42" i="13" s="1"/>
  <c r="T31" i="13"/>
  <c r="T40" i="13" s="1"/>
  <c r="T41" i="13" s="1"/>
  <c r="T42" i="13" s="1"/>
  <c r="R31" i="13"/>
  <c r="R40" i="13" s="1"/>
  <c r="R41" i="13" s="1"/>
  <c r="R42" i="13" s="1"/>
  <c r="P31" i="13"/>
  <c r="P40" i="13" s="1"/>
  <c r="P41" i="13" s="1"/>
  <c r="P42" i="13" s="1"/>
  <c r="M31" i="13"/>
  <c r="K31" i="13"/>
  <c r="K40" i="13" s="1"/>
  <c r="K41" i="13" s="1"/>
  <c r="K42" i="13" s="1"/>
  <c r="I31" i="13"/>
  <c r="I40" i="13" s="1"/>
  <c r="I41" i="13" s="1"/>
  <c r="I42" i="13" s="1"/>
  <c r="G31" i="13"/>
  <c r="E31" i="13"/>
  <c r="E40" i="13" s="1"/>
  <c r="E41" i="13" s="1"/>
  <c r="E42" i="13" s="1"/>
  <c r="C31" i="13"/>
  <c r="C40" i="13" s="1"/>
  <c r="C41" i="13" s="1"/>
  <c r="C42" i="13" s="1"/>
  <c r="Z19" i="13"/>
  <c r="X19" i="13"/>
  <c r="V19" i="13"/>
  <c r="T19" i="13"/>
  <c r="R19" i="13"/>
  <c r="P19" i="13"/>
  <c r="M19" i="13"/>
  <c r="K19" i="13"/>
  <c r="I19" i="13"/>
  <c r="G19" i="13"/>
  <c r="E19" i="13"/>
  <c r="C19" i="13"/>
  <c r="E18" i="13"/>
  <c r="Z17" i="13"/>
  <c r="X17" i="13"/>
  <c r="X26" i="13" s="1"/>
  <c r="X27" i="13" s="1"/>
  <c r="X28" i="13" s="1"/>
  <c r="V17" i="13"/>
  <c r="V26" i="13" s="1"/>
  <c r="V27" i="13" s="1"/>
  <c r="V28" i="13" s="1"/>
  <c r="T17" i="13"/>
  <c r="R17" i="13"/>
  <c r="P17" i="13"/>
  <c r="P26" i="13" s="1"/>
  <c r="P27" i="13" s="1"/>
  <c r="P28" i="13" s="1"/>
  <c r="M17" i="13"/>
  <c r="M26" i="13" s="1"/>
  <c r="M27" i="13" s="1"/>
  <c r="M28" i="13" s="1"/>
  <c r="K17" i="13"/>
  <c r="I17" i="13"/>
  <c r="G17" i="13"/>
  <c r="G18" i="13" s="1"/>
  <c r="G23" i="13" s="1"/>
  <c r="E17" i="13"/>
  <c r="E26" i="13" s="1"/>
  <c r="E27" i="13" s="1"/>
  <c r="E28" i="13" s="1"/>
  <c r="C17" i="13"/>
  <c r="Z5" i="13"/>
  <c r="X5" i="13"/>
  <c r="V5" i="13"/>
  <c r="T5" i="13"/>
  <c r="R5" i="13"/>
  <c r="P5" i="13"/>
  <c r="M5" i="13"/>
  <c r="K5" i="13"/>
  <c r="I5" i="13"/>
  <c r="G5" i="13"/>
  <c r="E5" i="13"/>
  <c r="C5" i="13"/>
  <c r="Z3" i="13"/>
  <c r="Z12" i="13" s="1"/>
  <c r="Z13" i="13" s="1"/>
  <c r="Z14" i="13" s="1"/>
  <c r="X3" i="13"/>
  <c r="X4" i="13" s="1"/>
  <c r="V3" i="13"/>
  <c r="V4" i="13" s="1"/>
  <c r="T3" i="13"/>
  <c r="T12" i="13" s="1"/>
  <c r="T13" i="13" s="1"/>
  <c r="T14" i="13" s="1"/>
  <c r="R3" i="13"/>
  <c r="R12" i="13" s="1"/>
  <c r="R13" i="13" s="1"/>
  <c r="R14" i="13" s="1"/>
  <c r="P3" i="13"/>
  <c r="P4" i="13" s="1"/>
  <c r="M3" i="13"/>
  <c r="M4" i="13" s="1"/>
  <c r="K3" i="13"/>
  <c r="K12" i="13" s="1"/>
  <c r="K13" i="13" s="1"/>
  <c r="K14" i="13" s="1"/>
  <c r="I3" i="13"/>
  <c r="I12" i="13" s="1"/>
  <c r="I13" i="13" s="1"/>
  <c r="I14" i="13" s="1"/>
  <c r="G3" i="13"/>
  <c r="G4" i="13" s="1"/>
  <c r="E3" i="13"/>
  <c r="E4" i="13" s="1"/>
  <c r="E8" i="13" s="1"/>
  <c r="C3" i="13"/>
  <c r="C12" i="13" s="1"/>
  <c r="C13" i="13" s="1"/>
  <c r="C14" i="13" s="1"/>
  <c r="V18" i="13" l="1"/>
  <c r="V23" i="13" s="1"/>
  <c r="V24" i="13" s="1"/>
  <c r="I62" i="13"/>
  <c r="Z4" i="13"/>
  <c r="Z8" i="13" s="1"/>
  <c r="E12" i="13"/>
  <c r="E13" i="13" s="1"/>
  <c r="E14" i="13" s="1"/>
  <c r="AF13" i="13"/>
  <c r="AF28" i="13" s="1"/>
  <c r="AN28" i="13" s="1"/>
  <c r="X18" i="13"/>
  <c r="X23" i="13" s="1"/>
  <c r="X24" i="13" s="1"/>
  <c r="K50" i="13"/>
  <c r="P12" i="13"/>
  <c r="P13" i="13" s="1"/>
  <c r="P14" i="13" s="1"/>
  <c r="G26" i="13"/>
  <c r="G27" i="13" s="1"/>
  <c r="G28" i="13" s="1"/>
  <c r="K53" i="13"/>
  <c r="K54" i="13" s="1"/>
  <c r="V12" i="13"/>
  <c r="V13" i="13" s="1"/>
  <c r="V14" i="13" s="1"/>
  <c r="P32" i="13"/>
  <c r="P37" i="13" s="1"/>
  <c r="P38" i="13" s="1"/>
  <c r="K56" i="13"/>
  <c r="K57" i="13" s="1"/>
  <c r="K58" i="13" s="1"/>
  <c r="T76" i="13"/>
  <c r="T80" i="13" s="1"/>
  <c r="G24" i="13"/>
  <c r="C84" i="13"/>
  <c r="C85" i="13" s="1"/>
  <c r="C86" i="13" s="1"/>
  <c r="I4" i="13"/>
  <c r="I8" i="13" s="1"/>
  <c r="G12" i="13"/>
  <c r="G13" i="13" s="1"/>
  <c r="G14" i="13" s="1"/>
  <c r="X12" i="13"/>
  <c r="X13" i="13" s="1"/>
  <c r="X14" i="13" s="1"/>
  <c r="M48" i="13"/>
  <c r="M53" i="13" s="1"/>
  <c r="M54" i="13" s="1"/>
  <c r="T70" i="13"/>
  <c r="T71" i="13" s="1"/>
  <c r="T72" i="13" s="1"/>
  <c r="K4" i="13"/>
  <c r="K8" i="13" s="1"/>
  <c r="M12" i="13"/>
  <c r="M13" i="13" s="1"/>
  <c r="M14" i="13" s="1"/>
  <c r="M18" i="13"/>
  <c r="M20" i="13" s="1"/>
  <c r="V48" i="13"/>
  <c r="V51" i="13" s="1"/>
  <c r="AE16" i="13" s="1"/>
  <c r="K55" i="13"/>
  <c r="X70" i="13"/>
  <c r="X71" i="13" s="1"/>
  <c r="X72" i="13" s="1"/>
  <c r="P18" i="13"/>
  <c r="P23" i="13" s="1"/>
  <c r="P24" i="13" s="1"/>
  <c r="E48" i="13"/>
  <c r="X48" i="13"/>
  <c r="X50" i="13" s="1"/>
  <c r="M9" i="13"/>
  <c r="M10" i="13" s="1"/>
  <c r="M7" i="13"/>
  <c r="M11" i="13" s="1"/>
  <c r="M6" i="13"/>
  <c r="R26" i="13"/>
  <c r="R27" i="13" s="1"/>
  <c r="R28" i="13" s="1"/>
  <c r="R18" i="13"/>
  <c r="Z26" i="13"/>
  <c r="Z27" i="13" s="1"/>
  <c r="Z28" i="13" s="1"/>
  <c r="Z18" i="13"/>
  <c r="E22" i="13"/>
  <c r="E21" i="13"/>
  <c r="E25" i="13" s="1"/>
  <c r="E20" i="13"/>
  <c r="E23" i="13"/>
  <c r="E24" i="13" s="1"/>
  <c r="V20" i="13"/>
  <c r="P34" i="13"/>
  <c r="P35" i="13"/>
  <c r="P39" i="13" s="1"/>
  <c r="X52" i="13"/>
  <c r="G9" i="13"/>
  <c r="G10" i="13" s="1"/>
  <c r="G7" i="13"/>
  <c r="G11" i="13" s="1"/>
  <c r="G6" i="13"/>
  <c r="P11" i="13"/>
  <c r="AB10" i="13"/>
  <c r="P9" i="13"/>
  <c r="P10" i="13" s="1"/>
  <c r="P7" i="13"/>
  <c r="P6" i="13"/>
  <c r="X11" i="13"/>
  <c r="X9" i="13"/>
  <c r="X10" i="13" s="1"/>
  <c r="X7" i="13"/>
  <c r="AF10" i="13" s="1"/>
  <c r="X6" i="13"/>
  <c r="K7" i="13"/>
  <c r="K11" i="13" s="1"/>
  <c r="G8" i="13"/>
  <c r="X8" i="13"/>
  <c r="AF43" i="13"/>
  <c r="AN43" i="13" s="1"/>
  <c r="C26" i="13"/>
  <c r="C27" i="13" s="1"/>
  <c r="C28" i="13" s="1"/>
  <c r="C18" i="13"/>
  <c r="K26" i="13"/>
  <c r="K27" i="13" s="1"/>
  <c r="K28" i="13" s="1"/>
  <c r="K18" i="13"/>
  <c r="K21" i="13" s="1"/>
  <c r="T26" i="13"/>
  <c r="T27" i="13" s="1"/>
  <c r="T28" i="13" s="1"/>
  <c r="T18" i="13"/>
  <c r="G22" i="13"/>
  <c r="G21" i="13"/>
  <c r="G25" i="13" s="1"/>
  <c r="G20" i="13"/>
  <c r="X22" i="13"/>
  <c r="M40" i="13"/>
  <c r="M41" i="13" s="1"/>
  <c r="M42" i="13" s="1"/>
  <c r="M32" i="13"/>
  <c r="V32" i="13"/>
  <c r="G51" i="13"/>
  <c r="G55" i="13" s="1"/>
  <c r="G52" i="13"/>
  <c r="G53" i="13"/>
  <c r="G54" i="13" s="1"/>
  <c r="G50" i="13"/>
  <c r="AD13" i="13"/>
  <c r="T67" i="13"/>
  <c r="T68" i="13" s="1"/>
  <c r="T65" i="13"/>
  <c r="T69" i="13" s="1"/>
  <c r="T66" i="13"/>
  <c r="T64" i="13"/>
  <c r="E9" i="13"/>
  <c r="E10" i="13" s="1"/>
  <c r="E7" i="13"/>
  <c r="AC7" i="13" s="1"/>
  <c r="E6" i="13"/>
  <c r="V9" i="13"/>
  <c r="V10" i="13" s="1"/>
  <c r="V7" i="13"/>
  <c r="V11" i="13" s="1"/>
  <c r="V6" i="13"/>
  <c r="Z7" i="13"/>
  <c r="Z11" i="13" s="1"/>
  <c r="V8" i="13"/>
  <c r="I26" i="13"/>
  <c r="I27" i="13" s="1"/>
  <c r="I28" i="13" s="1"/>
  <c r="I18" i="13"/>
  <c r="R4" i="13"/>
  <c r="Z6" i="13"/>
  <c r="M8" i="13"/>
  <c r="Z9" i="13"/>
  <c r="Z10" i="13" s="1"/>
  <c r="G40" i="13"/>
  <c r="G41" i="13" s="1"/>
  <c r="G42" i="13" s="1"/>
  <c r="G32" i="13"/>
  <c r="X40" i="13"/>
  <c r="X41" i="13" s="1"/>
  <c r="X42" i="13" s="1"/>
  <c r="X32" i="13"/>
  <c r="C4" i="13"/>
  <c r="T4" i="13"/>
  <c r="P8" i="13"/>
  <c r="P20" i="13"/>
  <c r="E32" i="13"/>
  <c r="I67" i="13"/>
  <c r="I68" i="13" s="1"/>
  <c r="I66" i="13"/>
  <c r="E51" i="13"/>
  <c r="AC13" i="13" s="1"/>
  <c r="Z70" i="13"/>
  <c r="Z71" i="13" s="1"/>
  <c r="Z72" i="13" s="1"/>
  <c r="Z62" i="13"/>
  <c r="I65" i="13"/>
  <c r="I69" i="13" s="1"/>
  <c r="G84" i="13"/>
  <c r="G85" i="13" s="1"/>
  <c r="G86" i="13" s="1"/>
  <c r="G76" i="13"/>
  <c r="X84" i="13"/>
  <c r="X85" i="13" s="1"/>
  <c r="X86" i="13" s="1"/>
  <c r="X76" i="13"/>
  <c r="M51" i="13"/>
  <c r="M55" i="13" s="1"/>
  <c r="M50" i="13"/>
  <c r="P48" i="13"/>
  <c r="K52" i="13"/>
  <c r="R62" i="13"/>
  <c r="I64" i="13"/>
  <c r="P76" i="13"/>
  <c r="C32" i="13"/>
  <c r="K32" i="13"/>
  <c r="T32" i="13"/>
  <c r="C48" i="13"/>
  <c r="T48" i="13"/>
  <c r="I32" i="13"/>
  <c r="R32" i="13"/>
  <c r="Z32" i="13"/>
  <c r="I48" i="13"/>
  <c r="R48" i="13"/>
  <c r="Z48" i="13"/>
  <c r="K62" i="13"/>
  <c r="C81" i="13"/>
  <c r="C82" i="13" s="1"/>
  <c r="C79" i="13"/>
  <c r="AB15" i="13" s="1"/>
  <c r="C78" i="13"/>
  <c r="X66" i="13"/>
  <c r="X67" i="13"/>
  <c r="X68" i="13" s="1"/>
  <c r="X65" i="13"/>
  <c r="AF17" i="13" s="1"/>
  <c r="X64" i="13"/>
  <c r="C62" i="13"/>
  <c r="T81" i="13"/>
  <c r="T82" i="13" s="1"/>
  <c r="T79" i="13"/>
  <c r="AD18" i="13" s="1"/>
  <c r="C80" i="13"/>
  <c r="G62" i="13"/>
  <c r="P62" i="13"/>
  <c r="K76" i="13"/>
  <c r="E62" i="13"/>
  <c r="M62" i="13"/>
  <c r="V62" i="13"/>
  <c r="E76" i="13"/>
  <c r="M76" i="13"/>
  <c r="V76" i="13"/>
  <c r="I76" i="13"/>
  <c r="R76" i="13"/>
  <c r="Z76" i="13"/>
  <c r="H67" i="11"/>
  <c r="G15" i="10"/>
  <c r="N48" i="10"/>
  <c r="H80" i="10"/>
  <c r="H50" i="10"/>
  <c r="A77" i="10"/>
  <c r="A78" i="10"/>
  <c r="A76" i="10"/>
  <c r="A74" i="10"/>
  <c r="H70" i="10" s="1"/>
  <c r="A75" i="10"/>
  <c r="H71" i="10" s="1"/>
  <c r="A73" i="10"/>
  <c r="H69" i="10" s="1"/>
  <c r="A71" i="10"/>
  <c r="A72" i="10"/>
  <c r="H61" i="10" s="1"/>
  <c r="A70" i="10"/>
  <c r="H59" i="10" s="1"/>
  <c r="A68" i="10"/>
  <c r="A69" i="10"/>
  <c r="H51" i="10" s="1"/>
  <c r="A67" i="10"/>
  <c r="H49" i="10" s="1"/>
  <c r="F30" i="10"/>
  <c r="I17" i="10"/>
  <c r="N70" i="10" s="1"/>
  <c r="H89" i="11"/>
  <c r="H88" i="11"/>
  <c r="H87" i="11"/>
  <c r="J86" i="11"/>
  <c r="N79" i="11"/>
  <c r="H79" i="11"/>
  <c r="N78" i="11"/>
  <c r="H78" i="11"/>
  <c r="N77" i="11"/>
  <c r="H77" i="11"/>
  <c r="N76" i="11"/>
  <c r="M78" i="11" s="1"/>
  <c r="Q77" i="11" s="1"/>
  <c r="J76" i="11"/>
  <c r="N69" i="11"/>
  <c r="H69" i="11"/>
  <c r="N68" i="11"/>
  <c r="H68" i="11"/>
  <c r="N67" i="11"/>
  <c r="N66" i="11"/>
  <c r="J66" i="11"/>
  <c r="A63" i="11"/>
  <c r="A60" i="11"/>
  <c r="N59" i="11"/>
  <c r="H59" i="11"/>
  <c r="N58" i="11"/>
  <c r="M58" i="11"/>
  <c r="Q56" i="11" s="1"/>
  <c r="H58" i="11"/>
  <c r="N57" i="11"/>
  <c r="H57" i="11"/>
  <c r="N56" i="11"/>
  <c r="J56" i="11"/>
  <c r="E49" i="11"/>
  <c r="A67" i="11" s="1"/>
  <c r="D49" i="11"/>
  <c r="A64" i="11" s="1"/>
  <c r="C49" i="11"/>
  <c r="A61" i="11" s="1"/>
  <c r="B49" i="11"/>
  <c r="A58" i="11" s="1"/>
  <c r="E48" i="11"/>
  <c r="A66" i="11" s="1"/>
  <c r="D48" i="11"/>
  <c r="C48" i="11"/>
  <c r="B48" i="11"/>
  <c r="A57" i="11" s="1"/>
  <c r="E47" i="11"/>
  <c r="A65" i="11" s="1"/>
  <c r="D47" i="11"/>
  <c r="A62" i="11" s="1"/>
  <c r="C47" i="11"/>
  <c r="A59" i="11" s="1"/>
  <c r="B47" i="11"/>
  <c r="A56" i="11" s="1"/>
  <c r="C5" i="11"/>
  <c r="C4" i="11"/>
  <c r="I6" i="13" l="1"/>
  <c r="AF58" i="13"/>
  <c r="AN58" i="13" s="1"/>
  <c r="AD7" i="13"/>
  <c r="V21" i="13"/>
  <c r="M52" i="13"/>
  <c r="P21" i="13"/>
  <c r="AB11" i="13" s="1"/>
  <c r="AB41" i="13" s="1"/>
  <c r="AJ41" i="13" s="1"/>
  <c r="M21" i="13"/>
  <c r="AG8" i="13" s="1"/>
  <c r="I9" i="13"/>
  <c r="I10" i="13" s="1"/>
  <c r="AF73" i="13"/>
  <c r="AN73" i="13" s="1"/>
  <c r="P36" i="13"/>
  <c r="V22" i="13"/>
  <c r="AE14" i="13"/>
  <c r="AE59" i="13" s="1"/>
  <c r="AM59" i="13" s="1"/>
  <c r="V52" i="13"/>
  <c r="M22" i="13"/>
  <c r="I7" i="13"/>
  <c r="I11" i="13" s="1"/>
  <c r="K9" i="13"/>
  <c r="K10" i="13" s="1"/>
  <c r="X53" i="13"/>
  <c r="X54" i="13" s="1"/>
  <c r="E55" i="13"/>
  <c r="AE10" i="13"/>
  <c r="AE25" i="13" s="1"/>
  <c r="AM25" i="13" s="1"/>
  <c r="X20" i="13"/>
  <c r="X51" i="13"/>
  <c r="AF16" i="13" s="1"/>
  <c r="AG7" i="13"/>
  <c r="AG37" i="13" s="1"/>
  <c r="AO37" i="13" s="1"/>
  <c r="T78" i="13"/>
  <c r="K6" i="13"/>
  <c r="X21" i="13"/>
  <c r="X55" i="13"/>
  <c r="T83" i="13"/>
  <c r="V50" i="13"/>
  <c r="V55" i="13"/>
  <c r="E53" i="13"/>
  <c r="E54" i="13" s="1"/>
  <c r="M25" i="13"/>
  <c r="P22" i="13"/>
  <c r="AE7" i="13"/>
  <c r="V53" i="13"/>
  <c r="V54" i="13" s="1"/>
  <c r="E52" i="13"/>
  <c r="X69" i="13"/>
  <c r="E50" i="13"/>
  <c r="M23" i="13"/>
  <c r="M24" i="13" s="1"/>
  <c r="AF7" i="13"/>
  <c r="AF52" i="13" s="1"/>
  <c r="AN52" i="13" s="1"/>
  <c r="AF61" i="13"/>
  <c r="AN61" i="13" s="1"/>
  <c r="AF76" i="13"/>
  <c r="AN76" i="13" s="1"/>
  <c r="AF46" i="13"/>
  <c r="AN46" i="13" s="1"/>
  <c r="AF31" i="13"/>
  <c r="AN31" i="13" s="1"/>
  <c r="AC67" i="13"/>
  <c r="AK67" i="13" s="1"/>
  <c r="AC52" i="13"/>
  <c r="AK52" i="13" s="1"/>
  <c r="AC37" i="13"/>
  <c r="AK37" i="13" s="1"/>
  <c r="AC22" i="13"/>
  <c r="AK22" i="13" s="1"/>
  <c r="AF70" i="13"/>
  <c r="AN70" i="13" s="1"/>
  <c r="AF55" i="13"/>
  <c r="AN55" i="13" s="1"/>
  <c r="AF40" i="13"/>
  <c r="AN40" i="13" s="1"/>
  <c r="AF25" i="13"/>
  <c r="AN25" i="13" s="1"/>
  <c r="V81" i="13"/>
  <c r="V82" i="13" s="1"/>
  <c r="V80" i="13"/>
  <c r="V79" i="13"/>
  <c r="V83" i="13" s="1"/>
  <c r="V78" i="13"/>
  <c r="K80" i="13"/>
  <c r="K81" i="13"/>
  <c r="K82" i="13" s="1"/>
  <c r="K78" i="13"/>
  <c r="K79" i="13"/>
  <c r="AF15" i="13" s="1"/>
  <c r="AB75" i="13"/>
  <c r="AJ75" i="13" s="1"/>
  <c r="AB60" i="13"/>
  <c r="AJ60" i="13" s="1"/>
  <c r="AB45" i="13"/>
  <c r="AJ45" i="13" s="1"/>
  <c r="AB30" i="13"/>
  <c r="AJ30" i="13" s="1"/>
  <c r="P81" i="13"/>
  <c r="P82" i="13" s="1"/>
  <c r="P79" i="13"/>
  <c r="P83" i="13" s="1"/>
  <c r="P78" i="13"/>
  <c r="P80" i="13"/>
  <c r="AE74" i="13"/>
  <c r="AM74" i="13" s="1"/>
  <c r="AE29" i="13"/>
  <c r="AM29" i="13" s="1"/>
  <c r="R8" i="13"/>
  <c r="R7" i="13"/>
  <c r="AC10" i="13" s="1"/>
  <c r="R6" i="13"/>
  <c r="R9" i="13"/>
  <c r="R10" i="13" s="1"/>
  <c r="AD58" i="13"/>
  <c r="AL58" i="13" s="1"/>
  <c r="AD73" i="13"/>
  <c r="AL73" i="13" s="1"/>
  <c r="AD43" i="13"/>
  <c r="AL43" i="13" s="1"/>
  <c r="AD28" i="13"/>
  <c r="AL28" i="13" s="1"/>
  <c r="V37" i="13"/>
  <c r="V38" i="13" s="1"/>
  <c r="V36" i="13"/>
  <c r="V34" i="13"/>
  <c r="V35" i="13"/>
  <c r="AE12" i="13" s="1"/>
  <c r="AD67" i="13"/>
  <c r="AL67" i="13" s="1"/>
  <c r="AD52" i="13"/>
  <c r="AL52" i="13" s="1"/>
  <c r="AD22" i="13"/>
  <c r="AL22" i="13" s="1"/>
  <c r="AD37" i="13"/>
  <c r="AL37" i="13" s="1"/>
  <c r="R23" i="13"/>
  <c r="R24" i="13" s="1"/>
  <c r="R21" i="13"/>
  <c r="AC11" i="13" s="1"/>
  <c r="R22" i="13"/>
  <c r="R20" i="13"/>
  <c r="AG52" i="13"/>
  <c r="AO52" i="13" s="1"/>
  <c r="R81" i="13"/>
  <c r="R82" i="13" s="1"/>
  <c r="R80" i="13"/>
  <c r="R79" i="13"/>
  <c r="R83" i="13" s="1"/>
  <c r="R78" i="13"/>
  <c r="V67" i="13"/>
  <c r="V68" i="13" s="1"/>
  <c r="V66" i="13"/>
  <c r="V65" i="13"/>
  <c r="V69" i="13" s="1"/>
  <c r="V64" i="13"/>
  <c r="Z53" i="13"/>
  <c r="Z54" i="13" s="1"/>
  <c r="Z52" i="13"/>
  <c r="Z51" i="13"/>
  <c r="Z55" i="13" s="1"/>
  <c r="Z50" i="13"/>
  <c r="C53" i="13"/>
  <c r="C54" i="13" s="1"/>
  <c r="C52" i="13"/>
  <c r="C50" i="13"/>
  <c r="C51" i="13"/>
  <c r="C55" i="13" s="1"/>
  <c r="AB13" i="13"/>
  <c r="T37" i="13"/>
  <c r="T38" i="13" s="1"/>
  <c r="T36" i="13"/>
  <c r="T35" i="13"/>
  <c r="T39" i="13" s="1"/>
  <c r="T34" i="13"/>
  <c r="AG13" i="13"/>
  <c r="I23" i="13"/>
  <c r="I24" i="13" s="1"/>
  <c r="I22" i="13"/>
  <c r="I20" i="13"/>
  <c r="I21" i="13"/>
  <c r="AE8" i="13" s="1"/>
  <c r="AE40" i="13"/>
  <c r="AM40" i="13" s="1"/>
  <c r="K25" i="13"/>
  <c r="K23" i="13"/>
  <c r="K24" i="13" s="1"/>
  <c r="AF8" i="13"/>
  <c r="K22" i="13"/>
  <c r="K20" i="13"/>
  <c r="E81" i="13"/>
  <c r="E82" i="13" s="1"/>
  <c r="E80" i="13"/>
  <c r="E79" i="13"/>
  <c r="AC15" i="13" s="1"/>
  <c r="E78" i="13"/>
  <c r="G66" i="13"/>
  <c r="G65" i="13"/>
  <c r="G64" i="13"/>
  <c r="G67" i="13"/>
  <c r="G68" i="13" s="1"/>
  <c r="G69" i="13"/>
  <c r="AD14" i="13"/>
  <c r="E67" i="13"/>
  <c r="E68" i="13" s="1"/>
  <c r="E66" i="13"/>
  <c r="E65" i="13"/>
  <c r="E69" i="13" s="1"/>
  <c r="E64" i="13"/>
  <c r="AC14" i="13"/>
  <c r="AF77" i="13"/>
  <c r="AN77" i="13" s="1"/>
  <c r="AF62" i="13"/>
  <c r="AN62" i="13" s="1"/>
  <c r="AF47" i="13"/>
  <c r="AN47" i="13" s="1"/>
  <c r="AF32" i="13"/>
  <c r="AN32" i="13" s="1"/>
  <c r="K67" i="13"/>
  <c r="K68" i="13" s="1"/>
  <c r="K66" i="13"/>
  <c r="K64" i="13"/>
  <c r="K65" i="13"/>
  <c r="K69" i="13" s="1"/>
  <c r="I53" i="13"/>
  <c r="I54" i="13" s="1"/>
  <c r="I52" i="13"/>
  <c r="I51" i="13"/>
  <c r="I55" i="13" s="1"/>
  <c r="I50" i="13"/>
  <c r="R37" i="13"/>
  <c r="R38" i="13" s="1"/>
  <c r="R36" i="13"/>
  <c r="R35" i="13"/>
  <c r="AC12" i="13" s="1"/>
  <c r="R34" i="13"/>
  <c r="C37" i="13"/>
  <c r="C38" i="13" s="1"/>
  <c r="C36" i="13"/>
  <c r="C35" i="13"/>
  <c r="AB9" i="13" s="1"/>
  <c r="C34" i="13"/>
  <c r="R67" i="13"/>
  <c r="R68" i="13" s="1"/>
  <c r="R64" i="13"/>
  <c r="R66" i="13"/>
  <c r="R65" i="13"/>
  <c r="AC17" i="13" s="1"/>
  <c r="AC32" i="13" s="1"/>
  <c r="P53" i="13"/>
  <c r="P54" i="13" s="1"/>
  <c r="P52" i="13"/>
  <c r="P50" i="13"/>
  <c r="P51" i="13"/>
  <c r="AB16" i="13" s="1"/>
  <c r="G80" i="13"/>
  <c r="G78" i="13"/>
  <c r="G79" i="13"/>
  <c r="G83" i="13" s="1"/>
  <c r="G81" i="13"/>
  <c r="G82" i="13" s="1"/>
  <c r="AC73" i="13"/>
  <c r="AK73" i="13" s="1"/>
  <c r="AC58" i="13"/>
  <c r="AK58" i="13" s="1"/>
  <c r="AC43" i="13"/>
  <c r="AK43" i="13" s="1"/>
  <c r="AC28" i="13"/>
  <c r="AK28" i="13" s="1"/>
  <c r="E35" i="13"/>
  <c r="AC9" i="13" s="1"/>
  <c r="E36" i="13"/>
  <c r="E34" i="13"/>
  <c r="E37" i="13"/>
  <c r="E38" i="13" s="1"/>
  <c r="C8" i="13"/>
  <c r="C7" i="13"/>
  <c r="AB7" i="13" s="1"/>
  <c r="C9" i="13"/>
  <c r="C10" i="13" s="1"/>
  <c r="C6" i="13"/>
  <c r="G37" i="13"/>
  <c r="G38" i="13" s="1"/>
  <c r="G35" i="13"/>
  <c r="G39" i="13" s="1"/>
  <c r="AD9" i="13"/>
  <c r="G34" i="13"/>
  <c r="G36" i="13"/>
  <c r="AG10" i="13"/>
  <c r="E11" i="13"/>
  <c r="T23" i="13"/>
  <c r="T24" i="13" s="1"/>
  <c r="T21" i="13"/>
  <c r="T25" i="13" s="1"/>
  <c r="T22" i="13"/>
  <c r="T20" i="13"/>
  <c r="C23" i="13"/>
  <c r="C24" i="13" s="1"/>
  <c r="C21" i="13"/>
  <c r="AB8" i="13" s="1"/>
  <c r="C22" i="13"/>
  <c r="C20" i="13"/>
  <c r="AB12" i="13"/>
  <c r="Z81" i="13"/>
  <c r="Z82" i="13" s="1"/>
  <c r="Z80" i="13"/>
  <c r="Z79" i="13"/>
  <c r="AG18" i="13" s="1"/>
  <c r="Z78" i="13"/>
  <c r="I39" i="13"/>
  <c r="I37" i="13"/>
  <c r="I38" i="13" s="1"/>
  <c r="I36" i="13"/>
  <c r="I35" i="13"/>
  <c r="I34" i="13"/>
  <c r="AE9" i="13"/>
  <c r="T53" i="13"/>
  <c r="T54" i="13" s="1"/>
  <c r="T52" i="13"/>
  <c r="T50" i="13"/>
  <c r="T51" i="13"/>
  <c r="T55" i="13" s="1"/>
  <c r="AB71" i="13"/>
  <c r="AJ71" i="13" s="1"/>
  <c r="AB26" i="13"/>
  <c r="AJ26" i="13" s="1"/>
  <c r="AF22" i="13"/>
  <c r="AN22" i="13" s="1"/>
  <c r="AG68" i="13"/>
  <c r="AO68" i="13" s="1"/>
  <c r="AG53" i="13"/>
  <c r="AO53" i="13" s="1"/>
  <c r="AG38" i="13"/>
  <c r="AO38" i="13" s="1"/>
  <c r="AG23" i="13"/>
  <c r="AO23" i="13" s="1"/>
  <c r="AE67" i="13"/>
  <c r="AM67" i="13" s="1"/>
  <c r="AE52" i="13"/>
  <c r="AM52" i="13" s="1"/>
  <c r="AE37" i="13"/>
  <c r="AM37" i="13" s="1"/>
  <c r="AE22" i="13"/>
  <c r="AM22" i="13" s="1"/>
  <c r="AB70" i="13"/>
  <c r="AJ70" i="13" s="1"/>
  <c r="AB40" i="13"/>
  <c r="AJ40" i="13" s="1"/>
  <c r="AB25" i="13"/>
  <c r="AJ25" i="13" s="1"/>
  <c r="AB55" i="13"/>
  <c r="AJ55" i="13" s="1"/>
  <c r="M81" i="13"/>
  <c r="M82" i="13" s="1"/>
  <c r="M80" i="13"/>
  <c r="M79" i="13"/>
  <c r="M83" i="13" s="1"/>
  <c r="M78" i="13"/>
  <c r="P66" i="13"/>
  <c r="P65" i="13"/>
  <c r="P69" i="13" s="1"/>
  <c r="P64" i="13"/>
  <c r="P67" i="13"/>
  <c r="P68" i="13" s="1"/>
  <c r="C65" i="13"/>
  <c r="AB14" i="13" s="1"/>
  <c r="C66" i="13"/>
  <c r="C64" i="13"/>
  <c r="C67" i="13"/>
  <c r="C68" i="13" s="1"/>
  <c r="X80" i="13"/>
  <c r="X79" i="13"/>
  <c r="X83" i="13" s="1"/>
  <c r="X78" i="13"/>
  <c r="X81" i="13"/>
  <c r="X82" i="13" s="1"/>
  <c r="X37" i="13"/>
  <c r="X38" i="13" s="1"/>
  <c r="X35" i="13"/>
  <c r="AF12" i="13" s="1"/>
  <c r="X34" i="13"/>
  <c r="X36" i="13"/>
  <c r="AD17" i="13"/>
  <c r="M36" i="13"/>
  <c r="M37" i="13"/>
  <c r="M38" i="13" s="1"/>
  <c r="M35" i="13"/>
  <c r="AG9" i="13" s="1"/>
  <c r="M34" i="13"/>
  <c r="I81" i="13"/>
  <c r="I82" i="13" s="1"/>
  <c r="I80" i="13"/>
  <c r="I79" i="13"/>
  <c r="I83" i="13" s="1"/>
  <c r="I78" i="13"/>
  <c r="M67" i="13"/>
  <c r="M68" i="13" s="1"/>
  <c r="M66" i="13"/>
  <c r="M65" i="13"/>
  <c r="M69" i="13" s="1"/>
  <c r="M64" i="13"/>
  <c r="AD78" i="13"/>
  <c r="AL78" i="13" s="1"/>
  <c r="AD63" i="13"/>
  <c r="AL63" i="13" s="1"/>
  <c r="AD48" i="13"/>
  <c r="AL48" i="13" s="1"/>
  <c r="AD33" i="13"/>
  <c r="AL33" i="13" s="1"/>
  <c r="C83" i="13"/>
  <c r="R53" i="13"/>
  <c r="R54" i="13" s="1"/>
  <c r="R52" i="13"/>
  <c r="R51" i="13"/>
  <c r="AC16" i="13" s="1"/>
  <c r="R50" i="13"/>
  <c r="Z37" i="13"/>
  <c r="Z38" i="13" s="1"/>
  <c r="Z36" i="13"/>
  <c r="Z35" i="13"/>
  <c r="Z39" i="13" s="1"/>
  <c r="Z34" i="13"/>
  <c r="K37" i="13"/>
  <c r="K38" i="13" s="1"/>
  <c r="K36" i="13"/>
  <c r="K35" i="13"/>
  <c r="AF9" i="13" s="1"/>
  <c r="K34" i="13"/>
  <c r="Z66" i="13"/>
  <c r="Z65" i="13"/>
  <c r="AG17" i="13" s="1"/>
  <c r="Z67" i="13"/>
  <c r="Z68" i="13" s="1"/>
  <c r="Z64" i="13"/>
  <c r="Z69" i="13"/>
  <c r="AE76" i="13"/>
  <c r="AM76" i="13" s="1"/>
  <c r="AE46" i="13"/>
  <c r="AM46" i="13" s="1"/>
  <c r="AE31" i="13"/>
  <c r="AM31" i="13" s="1"/>
  <c r="AE61" i="13"/>
  <c r="AM61" i="13" s="1"/>
  <c r="AD8" i="13"/>
  <c r="T8" i="13"/>
  <c r="T7" i="13"/>
  <c r="AD10" i="13" s="1"/>
  <c r="T9" i="13"/>
  <c r="T10" i="13" s="1"/>
  <c r="T6" i="13"/>
  <c r="AC8" i="13"/>
  <c r="Z23" i="13"/>
  <c r="Z24" i="13" s="1"/>
  <c r="Z22" i="13"/>
  <c r="Z20" i="13"/>
  <c r="Z21" i="13"/>
  <c r="AG11" i="13" s="1"/>
  <c r="G88" i="11"/>
  <c r="K87" i="11"/>
  <c r="M68" i="11"/>
  <c r="Q68" i="11" s="1"/>
  <c r="G70" i="10"/>
  <c r="E71" i="10"/>
  <c r="H79" i="10"/>
  <c r="A79" i="10"/>
  <c r="G50" i="10"/>
  <c r="K49" i="10" s="1"/>
  <c r="E68" i="10"/>
  <c r="G60" i="10"/>
  <c r="H60" i="10"/>
  <c r="E74" i="10"/>
  <c r="E69" i="10"/>
  <c r="E75" i="10"/>
  <c r="H81" i="10"/>
  <c r="G80" i="10" s="1"/>
  <c r="E70" i="10"/>
  <c r="E25" i="11"/>
  <c r="E24" i="11"/>
  <c r="D23" i="11"/>
  <c r="E23" i="11"/>
  <c r="B24" i="11"/>
  <c r="Q59" i="11"/>
  <c r="C24" i="11"/>
  <c r="C25" i="11"/>
  <c r="A68" i="11"/>
  <c r="E56" i="11" s="1"/>
  <c r="G78" i="11"/>
  <c r="C23" i="11"/>
  <c r="D25" i="11"/>
  <c r="E64" i="11"/>
  <c r="Q57" i="11"/>
  <c r="G68" i="11"/>
  <c r="K66" i="11" s="1"/>
  <c r="K58" i="11"/>
  <c r="K68" i="11"/>
  <c r="B25" i="11"/>
  <c r="G58" i="11"/>
  <c r="Q78" i="11"/>
  <c r="Q79" i="11"/>
  <c r="K89" i="11"/>
  <c r="K90" i="11" s="1"/>
  <c r="K88" i="11"/>
  <c r="Q58" i="11"/>
  <c r="E60" i="11"/>
  <c r="Q76" i="11"/>
  <c r="B23" i="11"/>
  <c r="D24" i="11"/>
  <c r="I25" i="13" l="1"/>
  <c r="V25" i="13"/>
  <c r="AE11" i="13"/>
  <c r="R55" i="13"/>
  <c r="AB56" i="13"/>
  <c r="AJ56" i="13" s="1"/>
  <c r="AD15" i="13"/>
  <c r="AD75" i="13" s="1"/>
  <c r="AL75" i="13" s="1"/>
  <c r="R39" i="13"/>
  <c r="E83" i="13"/>
  <c r="R11" i="13"/>
  <c r="AE44" i="13"/>
  <c r="AM44" i="13" s="1"/>
  <c r="K83" i="13"/>
  <c r="P25" i="13"/>
  <c r="AG22" i="13"/>
  <c r="AO22" i="13" s="1"/>
  <c r="AF18" i="13"/>
  <c r="AF63" i="13" s="1"/>
  <c r="AN63" i="13" s="1"/>
  <c r="AE55" i="13"/>
  <c r="AM55" i="13" s="1"/>
  <c r="T11" i="13"/>
  <c r="AB17" i="13"/>
  <c r="AB77" i="13" s="1"/>
  <c r="AJ77" i="13" s="1"/>
  <c r="C11" i="13"/>
  <c r="E39" i="13"/>
  <c r="R69" i="13"/>
  <c r="AE70" i="13"/>
  <c r="AM70" i="13" s="1"/>
  <c r="AG67" i="13"/>
  <c r="AO67" i="13" s="1"/>
  <c r="X25" i="13"/>
  <c r="AF11" i="13"/>
  <c r="K39" i="13"/>
  <c r="X39" i="13"/>
  <c r="AF67" i="13"/>
  <c r="AN67" i="13" s="1"/>
  <c r="C39" i="13"/>
  <c r="AE18" i="13"/>
  <c r="AE48" i="13" s="1"/>
  <c r="AM48" i="13" s="1"/>
  <c r="AB18" i="13"/>
  <c r="AB78" i="13" s="1"/>
  <c r="AJ78" i="13" s="1"/>
  <c r="Z25" i="13"/>
  <c r="AG12" i="13"/>
  <c r="AG42" i="13" s="1"/>
  <c r="AO42" i="13" s="1"/>
  <c r="AG14" i="13"/>
  <c r="AG44" i="13" s="1"/>
  <c r="AO44" i="13" s="1"/>
  <c r="M39" i="13"/>
  <c r="AG15" i="13"/>
  <c r="AG45" i="13" s="1"/>
  <c r="AO45" i="13" s="1"/>
  <c r="AF37" i="13"/>
  <c r="AN37" i="13" s="1"/>
  <c r="Z83" i="13"/>
  <c r="AE13" i="13"/>
  <c r="AE73" i="13" s="1"/>
  <c r="AM73" i="13" s="1"/>
  <c r="AE17" i="13"/>
  <c r="AE47" i="13" s="1"/>
  <c r="AM47" i="13" s="1"/>
  <c r="AF72" i="13"/>
  <c r="AN72" i="13" s="1"/>
  <c r="AF57" i="13"/>
  <c r="AN57" i="13" s="1"/>
  <c r="AF42" i="13"/>
  <c r="AN42" i="13" s="1"/>
  <c r="AF27" i="13"/>
  <c r="AN27" i="13" s="1"/>
  <c r="AB74" i="13"/>
  <c r="AJ74" i="13" s="1"/>
  <c r="AB59" i="13"/>
  <c r="AJ59" i="13" s="1"/>
  <c r="AB44" i="13"/>
  <c r="AJ44" i="13" s="1"/>
  <c r="AB29" i="13"/>
  <c r="AJ29" i="13" s="1"/>
  <c r="AG78" i="13"/>
  <c r="AO78" i="13" s="1"/>
  <c r="AG63" i="13"/>
  <c r="AO63" i="13" s="1"/>
  <c r="AG48" i="13"/>
  <c r="AO48" i="13" s="1"/>
  <c r="AG33" i="13"/>
  <c r="AO33" i="13" s="1"/>
  <c r="AC72" i="13"/>
  <c r="AK72" i="13" s="1"/>
  <c r="AC57" i="13"/>
  <c r="AK57" i="13" s="1"/>
  <c r="AC42" i="13"/>
  <c r="AK42" i="13" s="1"/>
  <c r="AC27" i="13"/>
  <c r="AK27" i="13" s="1"/>
  <c r="AC71" i="13"/>
  <c r="AK71" i="13" s="1"/>
  <c r="AC56" i="13"/>
  <c r="AK56" i="13" s="1"/>
  <c r="AC41" i="13"/>
  <c r="AK41" i="13" s="1"/>
  <c r="AC26" i="13"/>
  <c r="AK26" i="13" s="1"/>
  <c r="AG69" i="13"/>
  <c r="AO69" i="13" s="1"/>
  <c r="AG54" i="13"/>
  <c r="AO54" i="13" s="1"/>
  <c r="AG24" i="13"/>
  <c r="AO24" i="13" s="1"/>
  <c r="AG39" i="13"/>
  <c r="AO39" i="13" s="1"/>
  <c r="AC76" i="13"/>
  <c r="AK76" i="13" s="1"/>
  <c r="AC61" i="13"/>
  <c r="AK61" i="13" s="1"/>
  <c r="AC46" i="13"/>
  <c r="AK46" i="13" s="1"/>
  <c r="AC31" i="13"/>
  <c r="AK31" i="13" s="1"/>
  <c r="AE72" i="13"/>
  <c r="AM72" i="13" s="1"/>
  <c r="AE57" i="13"/>
  <c r="AM57" i="13" s="1"/>
  <c r="AE42" i="13"/>
  <c r="AM42" i="13" s="1"/>
  <c r="AE27" i="13"/>
  <c r="AM27" i="13" s="1"/>
  <c r="AF54" i="13"/>
  <c r="AN54" i="13" s="1"/>
  <c r="AF39" i="13"/>
  <c r="AN39" i="13" s="1"/>
  <c r="AF24" i="13"/>
  <c r="AN24" i="13" s="1"/>
  <c r="AF69" i="13"/>
  <c r="AN69" i="13" s="1"/>
  <c r="AB68" i="13"/>
  <c r="AJ68" i="13" s="1"/>
  <c r="AB38" i="13"/>
  <c r="AJ38" i="13" s="1"/>
  <c r="AB23" i="13"/>
  <c r="AJ23" i="13" s="1"/>
  <c r="AB53" i="13"/>
  <c r="AJ53" i="13" s="1"/>
  <c r="AB67" i="13"/>
  <c r="AJ67" i="13" s="1"/>
  <c r="AB37" i="13"/>
  <c r="AJ37" i="13" s="1"/>
  <c r="AB22" i="13"/>
  <c r="AJ22" i="13" s="1"/>
  <c r="AB52" i="13"/>
  <c r="AJ52" i="13" s="1"/>
  <c r="AB76" i="13"/>
  <c r="AJ76" i="13" s="1"/>
  <c r="AB61" i="13"/>
  <c r="AJ61" i="13" s="1"/>
  <c r="AB46" i="13"/>
  <c r="AJ46" i="13" s="1"/>
  <c r="AB31" i="13"/>
  <c r="AJ31" i="13" s="1"/>
  <c r="AC75" i="13"/>
  <c r="AK75" i="13" s="1"/>
  <c r="AC60" i="13"/>
  <c r="AK60" i="13" s="1"/>
  <c r="AC45" i="13"/>
  <c r="AK45" i="13" s="1"/>
  <c r="AC30" i="13"/>
  <c r="AK30" i="13" s="1"/>
  <c r="AG77" i="13"/>
  <c r="AO77" i="13" s="1"/>
  <c r="AG62" i="13"/>
  <c r="AO62" i="13" s="1"/>
  <c r="AG47" i="13"/>
  <c r="AO47" i="13" s="1"/>
  <c r="AG32" i="13"/>
  <c r="AO32" i="13" s="1"/>
  <c r="AG29" i="13"/>
  <c r="AO29" i="13" s="1"/>
  <c r="AD69" i="13"/>
  <c r="AL69" i="13" s="1"/>
  <c r="AD54" i="13"/>
  <c r="AL54" i="13" s="1"/>
  <c r="AD24" i="13"/>
  <c r="AL24" i="13" s="1"/>
  <c r="AD39" i="13"/>
  <c r="AL39" i="13" s="1"/>
  <c r="AC69" i="13"/>
  <c r="AK69" i="13" s="1"/>
  <c r="AC54" i="13"/>
  <c r="AK54" i="13" s="1"/>
  <c r="AC39" i="13"/>
  <c r="AK39" i="13" s="1"/>
  <c r="AC24" i="13"/>
  <c r="AK24" i="13" s="1"/>
  <c r="P55" i="13"/>
  <c r="AF68" i="13"/>
  <c r="AN68" i="13" s="1"/>
  <c r="AF53" i="13"/>
  <c r="AN53" i="13" s="1"/>
  <c r="AF38" i="13"/>
  <c r="AN38" i="13" s="1"/>
  <c r="AF23" i="13"/>
  <c r="AN23" i="13" s="1"/>
  <c r="AB73" i="13"/>
  <c r="AJ73" i="13" s="1"/>
  <c r="AB58" i="13"/>
  <c r="AJ58" i="13" s="1"/>
  <c r="AB43" i="13"/>
  <c r="AJ43" i="13" s="1"/>
  <c r="AB28" i="13"/>
  <c r="AJ28" i="13" s="1"/>
  <c r="AE77" i="13"/>
  <c r="AM77" i="13" s="1"/>
  <c r="AE32" i="13"/>
  <c r="AM32" i="13" s="1"/>
  <c r="AF75" i="13"/>
  <c r="AN75" i="13" s="1"/>
  <c r="AF60" i="13"/>
  <c r="AN60" i="13" s="1"/>
  <c r="AF45" i="13"/>
  <c r="AN45" i="13" s="1"/>
  <c r="AF30" i="13"/>
  <c r="AN30" i="13" s="1"/>
  <c r="C69" i="13"/>
  <c r="AB32" i="13"/>
  <c r="AJ32" i="13" s="1"/>
  <c r="AD16" i="13"/>
  <c r="C25" i="13"/>
  <c r="AD11" i="13"/>
  <c r="AG70" i="13"/>
  <c r="AO70" i="13" s="1"/>
  <c r="AG55" i="13"/>
  <c r="AO55" i="13" s="1"/>
  <c r="AG40" i="13"/>
  <c r="AO40" i="13" s="1"/>
  <c r="AG25" i="13"/>
  <c r="AO25" i="13" s="1"/>
  <c r="AF14" i="13"/>
  <c r="AD74" i="13"/>
  <c r="AL74" i="13" s="1"/>
  <c r="AD59" i="13"/>
  <c r="AL59" i="13" s="1"/>
  <c r="AD44" i="13"/>
  <c r="AL44" i="13" s="1"/>
  <c r="AD29" i="13"/>
  <c r="AL29" i="13" s="1"/>
  <c r="AG73" i="13"/>
  <c r="AO73" i="13" s="1"/>
  <c r="AG58" i="13"/>
  <c r="AO58" i="13" s="1"/>
  <c r="AG43" i="13"/>
  <c r="AO43" i="13" s="1"/>
  <c r="AG28" i="13"/>
  <c r="AO28" i="13" s="1"/>
  <c r="R25" i="13"/>
  <c r="AD70" i="13"/>
  <c r="AL70" i="13" s="1"/>
  <c r="AD55" i="13"/>
  <c r="AL55" i="13" s="1"/>
  <c r="AD25" i="13"/>
  <c r="AL25" i="13" s="1"/>
  <c r="AD40" i="13"/>
  <c r="AL40" i="13" s="1"/>
  <c r="AD53" i="13"/>
  <c r="AL53" i="13" s="1"/>
  <c r="AD23" i="13"/>
  <c r="AL23" i="13" s="1"/>
  <c r="AD68" i="13"/>
  <c r="AL68" i="13" s="1"/>
  <c r="AD38" i="13"/>
  <c r="AL38" i="13" s="1"/>
  <c r="AE15" i="13"/>
  <c r="AD77" i="13"/>
  <c r="AL77" i="13" s="1"/>
  <c r="AD62" i="13"/>
  <c r="AL62" i="13" s="1"/>
  <c r="AD47" i="13"/>
  <c r="AL47" i="13" s="1"/>
  <c r="AD32" i="13"/>
  <c r="AL32" i="13" s="1"/>
  <c r="AF78" i="13"/>
  <c r="AN78" i="13" s="1"/>
  <c r="AF48" i="13"/>
  <c r="AN48" i="13" s="1"/>
  <c r="AD60" i="13"/>
  <c r="AL60" i="13" s="1"/>
  <c r="AD45" i="13"/>
  <c r="AL45" i="13" s="1"/>
  <c r="AE68" i="13"/>
  <c r="AM68" i="13" s="1"/>
  <c r="AE53" i="13"/>
  <c r="AM53" i="13" s="1"/>
  <c r="AE38" i="13"/>
  <c r="AM38" i="13" s="1"/>
  <c r="AE23" i="13"/>
  <c r="AM23" i="13" s="1"/>
  <c r="AD12" i="13"/>
  <c r="AG16" i="13"/>
  <c r="AC18" i="13"/>
  <c r="V39" i="13"/>
  <c r="AC70" i="13"/>
  <c r="AK70" i="13" s="1"/>
  <c r="AC55" i="13"/>
  <c r="AK55" i="13" s="1"/>
  <c r="AC40" i="13"/>
  <c r="AK40" i="13" s="1"/>
  <c r="AC25" i="13"/>
  <c r="AK25" i="13" s="1"/>
  <c r="AB63" i="13"/>
  <c r="AJ63" i="13" s="1"/>
  <c r="AB48" i="13"/>
  <c r="AJ48" i="13" s="1"/>
  <c r="AE63" i="13"/>
  <c r="AM63" i="13" s="1"/>
  <c r="AG71" i="13"/>
  <c r="AO71" i="13" s="1"/>
  <c r="AG56" i="13"/>
  <c r="AO56" i="13" s="1"/>
  <c r="AG41" i="13"/>
  <c r="AO41" i="13" s="1"/>
  <c r="AG26" i="13"/>
  <c r="AO26" i="13" s="1"/>
  <c r="AC68" i="13"/>
  <c r="AK68" i="13" s="1"/>
  <c r="AC53" i="13"/>
  <c r="AK53" i="13" s="1"/>
  <c r="AC38" i="13"/>
  <c r="AK38" i="13" s="1"/>
  <c r="AC23" i="13"/>
  <c r="AK23" i="13" s="1"/>
  <c r="AG57" i="13"/>
  <c r="AO57" i="13" s="1"/>
  <c r="AG60" i="13"/>
  <c r="AO60" i="13" s="1"/>
  <c r="AG30" i="13"/>
  <c r="AO30" i="13" s="1"/>
  <c r="AE69" i="13"/>
  <c r="AM69" i="13" s="1"/>
  <c r="AE54" i="13"/>
  <c r="AM54" i="13" s="1"/>
  <c r="AE39" i="13"/>
  <c r="AM39" i="13" s="1"/>
  <c r="AE24" i="13"/>
  <c r="AM24" i="13" s="1"/>
  <c r="AB72" i="13"/>
  <c r="AJ72" i="13" s="1"/>
  <c r="AB57" i="13"/>
  <c r="AJ57" i="13" s="1"/>
  <c r="AB42" i="13"/>
  <c r="AJ42" i="13" s="1"/>
  <c r="AB27" i="13"/>
  <c r="AJ27" i="13" s="1"/>
  <c r="AC77" i="13"/>
  <c r="AK77" i="13" s="1"/>
  <c r="AC62" i="13"/>
  <c r="AK62" i="13" s="1"/>
  <c r="AC47" i="13"/>
  <c r="AK47" i="13" s="1"/>
  <c r="AK32" i="13"/>
  <c r="AB69" i="13"/>
  <c r="AJ69" i="13" s="1"/>
  <c r="AB39" i="13"/>
  <c r="AJ39" i="13" s="1"/>
  <c r="AB24" i="13"/>
  <c r="AJ24" i="13" s="1"/>
  <c r="AB54" i="13"/>
  <c r="AJ54" i="13" s="1"/>
  <c r="AE58" i="13"/>
  <c r="AM58" i="13" s="1"/>
  <c r="AE28" i="13"/>
  <c r="AM28" i="13" s="1"/>
  <c r="AC74" i="13"/>
  <c r="AK74" i="13" s="1"/>
  <c r="AC59" i="13"/>
  <c r="AK59" i="13" s="1"/>
  <c r="AC44" i="13"/>
  <c r="AK44" i="13" s="1"/>
  <c r="AC29" i="13"/>
  <c r="AK29" i="13" s="1"/>
  <c r="E61" i="11"/>
  <c r="E67" i="11"/>
  <c r="E66" i="11"/>
  <c r="Q69" i="11"/>
  <c r="Q66" i="11"/>
  <c r="Q70" i="11" s="1"/>
  <c r="Q67" i="11"/>
  <c r="Q60" i="11"/>
  <c r="E67" i="10"/>
  <c r="E72" i="10"/>
  <c r="E73" i="10"/>
  <c r="E77" i="10"/>
  <c r="E78" i="10"/>
  <c r="E76" i="10"/>
  <c r="F25" i="11"/>
  <c r="G25" i="11"/>
  <c r="H25" i="11" s="1"/>
  <c r="I25" i="11" s="1"/>
  <c r="J25" i="11" s="1"/>
  <c r="K78" i="11"/>
  <c r="K76" i="11"/>
  <c r="K86" i="11"/>
  <c r="G24" i="11"/>
  <c r="H24" i="11" s="1"/>
  <c r="I24" i="11" s="1"/>
  <c r="F24" i="11"/>
  <c r="Q80" i="11"/>
  <c r="K67" i="11"/>
  <c r="E62" i="11"/>
  <c r="E58" i="11"/>
  <c r="E59" i="11"/>
  <c r="F23" i="11"/>
  <c r="G23" i="11"/>
  <c r="H23" i="11" s="1"/>
  <c r="I23" i="11" s="1"/>
  <c r="J23" i="11" s="1"/>
  <c r="K59" i="11"/>
  <c r="K57" i="11"/>
  <c r="K60" i="11" s="1"/>
  <c r="K56" i="11"/>
  <c r="K69" i="11"/>
  <c r="E65" i="11"/>
  <c r="K77" i="11"/>
  <c r="E63" i="11"/>
  <c r="K79" i="11"/>
  <c r="E57" i="11"/>
  <c r="AE43" i="13" l="1"/>
  <c r="AM43" i="13" s="1"/>
  <c r="AB33" i="13"/>
  <c r="AJ33" i="13" s="1"/>
  <c r="AD30" i="13"/>
  <c r="AL30" i="13" s="1"/>
  <c r="AF33" i="13"/>
  <c r="AN33" i="13" s="1"/>
  <c r="AE26" i="13"/>
  <c r="AM26" i="13" s="1"/>
  <c r="AE56" i="13"/>
  <c r="AM56" i="13" s="1"/>
  <c r="AE41" i="13"/>
  <c r="AM41" i="13" s="1"/>
  <c r="AE71" i="13"/>
  <c r="AM71" i="13" s="1"/>
  <c r="AG72" i="13"/>
  <c r="AO72" i="13" s="1"/>
  <c r="AG59" i="13"/>
  <c r="AO59" i="13" s="1"/>
  <c r="AF56" i="13"/>
  <c r="AN56" i="13" s="1"/>
  <c r="AF26" i="13"/>
  <c r="AN26" i="13" s="1"/>
  <c r="AF71" i="13"/>
  <c r="AN71" i="13" s="1"/>
  <c r="AF41" i="13"/>
  <c r="AN41" i="13" s="1"/>
  <c r="AG27" i="13"/>
  <c r="AO27" i="13" s="1"/>
  <c r="AE33" i="13"/>
  <c r="AM33" i="13" s="1"/>
  <c r="AB62" i="13"/>
  <c r="AJ62" i="13" s="1"/>
  <c r="AE78" i="13"/>
  <c r="AM78" i="13" s="1"/>
  <c r="AB47" i="13"/>
  <c r="AJ47" i="13" s="1"/>
  <c r="AG75" i="13"/>
  <c r="AO75" i="13" s="1"/>
  <c r="AE62" i="13"/>
  <c r="AM62" i="13" s="1"/>
  <c r="AG74" i="13"/>
  <c r="AO74" i="13" s="1"/>
  <c r="AG76" i="13"/>
  <c r="AO76" i="13" s="1"/>
  <c r="AG61" i="13"/>
  <c r="AO61" i="13" s="1"/>
  <c r="AG46" i="13"/>
  <c r="AO46" i="13" s="1"/>
  <c r="AG31" i="13"/>
  <c r="AO31" i="13" s="1"/>
  <c r="AF74" i="13"/>
  <c r="AN74" i="13" s="1"/>
  <c r="AF59" i="13"/>
  <c r="AN59" i="13" s="1"/>
  <c r="AF44" i="13"/>
  <c r="AN44" i="13" s="1"/>
  <c r="AF29" i="13"/>
  <c r="AN29" i="13" s="1"/>
  <c r="AE75" i="13"/>
  <c r="AM75" i="13" s="1"/>
  <c r="AE60" i="13"/>
  <c r="AM60" i="13" s="1"/>
  <c r="AE45" i="13"/>
  <c r="AM45" i="13" s="1"/>
  <c r="AE30" i="13"/>
  <c r="AM30" i="13" s="1"/>
  <c r="AC78" i="13"/>
  <c r="AK78" i="13" s="1"/>
  <c r="AC63" i="13"/>
  <c r="AK63" i="13" s="1"/>
  <c r="AC48" i="13"/>
  <c r="AK48" i="13" s="1"/>
  <c r="AC33" i="13"/>
  <c r="AK33" i="13" s="1"/>
  <c r="AD61" i="13"/>
  <c r="AL61" i="13" s="1"/>
  <c r="AD76" i="13"/>
  <c r="AL76" i="13" s="1"/>
  <c r="AD46" i="13"/>
  <c r="AL46" i="13" s="1"/>
  <c r="AD31" i="13"/>
  <c r="AL31" i="13" s="1"/>
  <c r="AD72" i="13"/>
  <c r="AL72" i="13" s="1"/>
  <c r="AD57" i="13"/>
  <c r="AL57" i="13" s="1"/>
  <c r="AD27" i="13"/>
  <c r="AL27" i="13" s="1"/>
  <c r="AD42" i="13"/>
  <c r="AL42" i="13" s="1"/>
  <c r="AD71" i="13"/>
  <c r="AL71" i="13" s="1"/>
  <c r="AD56" i="13"/>
  <c r="AL56" i="13" s="1"/>
  <c r="AD26" i="13"/>
  <c r="AL26" i="13" s="1"/>
  <c r="AD41" i="13"/>
  <c r="AL41" i="13" s="1"/>
  <c r="K32" i="11"/>
  <c r="H32" i="11"/>
  <c r="J24" i="11"/>
  <c r="E79" i="10"/>
  <c r="B32" i="11"/>
  <c r="B40" i="11" s="1"/>
  <c r="E32" i="11"/>
  <c r="E40" i="11" s="1"/>
  <c r="J32" i="11"/>
  <c r="D32" i="11"/>
  <c r="D40" i="11" s="1"/>
  <c r="I32" i="11"/>
  <c r="C32" i="11"/>
  <c r="C40" i="11" s="1"/>
  <c r="K70" i="11"/>
  <c r="E68" i="11"/>
  <c r="J31" i="11"/>
  <c r="E31" i="11"/>
  <c r="E39" i="11" s="1"/>
  <c r="K31" i="11"/>
  <c r="D31" i="11"/>
  <c r="D39" i="11" s="1"/>
  <c r="I31" i="11"/>
  <c r="C31" i="11"/>
  <c r="C39" i="11" s="1"/>
  <c r="B31" i="11"/>
  <c r="B39" i="11" s="1"/>
  <c r="H31" i="11"/>
  <c r="K80" i="11"/>
  <c r="H33" i="11"/>
  <c r="C33" i="11"/>
  <c r="C41" i="11" s="1"/>
  <c r="K33" i="11"/>
  <c r="E33" i="11"/>
  <c r="E41" i="11" s="1"/>
  <c r="B33" i="11"/>
  <c r="B41" i="11" s="1"/>
  <c r="I33" i="11"/>
  <c r="D33" i="11"/>
  <c r="D41" i="11" s="1"/>
  <c r="J33" i="11"/>
  <c r="K80" i="10"/>
  <c r="K81" i="10"/>
  <c r="K79" i="10"/>
  <c r="J78" i="10"/>
  <c r="J68" i="10"/>
  <c r="J58" i="10"/>
  <c r="Q41" i="11" l="1"/>
  <c r="V41" i="11" s="1"/>
  <c r="Q39" i="11"/>
  <c r="V39" i="11" s="1"/>
  <c r="P48" i="11"/>
  <c r="P40" i="11"/>
  <c r="U40" i="11" s="1"/>
  <c r="N41" i="11"/>
  <c r="S41" i="11" s="1"/>
  <c r="N49" i="11"/>
  <c r="N40" i="11"/>
  <c r="S40" i="11" s="1"/>
  <c r="S47" i="11"/>
  <c r="N39" i="11"/>
  <c r="S39" i="11" s="1"/>
  <c r="O41" i="11"/>
  <c r="T41" i="11" s="1"/>
  <c r="T49" i="11"/>
  <c r="P41" i="11"/>
  <c r="U41" i="11" s="1"/>
  <c r="P49" i="11"/>
  <c r="O39" i="11"/>
  <c r="T39" i="11" s="1"/>
  <c r="T47" i="11"/>
  <c r="O47" i="11"/>
  <c r="U47" i="11"/>
  <c r="P39" i="11"/>
  <c r="U39" i="11" s="1"/>
  <c r="T48" i="11"/>
  <c r="O48" i="11"/>
  <c r="O40" i="11"/>
  <c r="T40" i="11" s="1"/>
  <c r="Q40" i="11"/>
  <c r="V40" i="11" s="1"/>
  <c r="K82" i="10"/>
  <c r="O77" i="11"/>
  <c r="P77" i="11" s="1"/>
  <c r="I69" i="11"/>
  <c r="J69" i="11" s="1"/>
  <c r="I49" i="11"/>
  <c r="B61" i="11" s="1"/>
  <c r="C61" i="11" s="1"/>
  <c r="O33" i="11"/>
  <c r="I41" i="11"/>
  <c r="O78" i="11"/>
  <c r="P78" i="11" s="1"/>
  <c r="I79" i="11"/>
  <c r="J79" i="11" s="1"/>
  <c r="J49" i="11"/>
  <c r="B64" i="11" s="1"/>
  <c r="C64" i="11" s="1"/>
  <c r="P33" i="11"/>
  <c r="J41" i="11"/>
  <c r="O66" i="11"/>
  <c r="P66" i="11" s="1"/>
  <c r="P70" i="11" s="1"/>
  <c r="Q71" i="11" s="1"/>
  <c r="I58" i="11"/>
  <c r="J58" i="11" s="1"/>
  <c r="H48" i="11"/>
  <c r="B57" i="11" s="1"/>
  <c r="C57" i="11" s="1"/>
  <c r="H40" i="11"/>
  <c r="N32" i="11"/>
  <c r="P32" i="11"/>
  <c r="J48" i="11"/>
  <c r="B63" i="11" s="1"/>
  <c r="C63" i="11" s="1"/>
  <c r="O68" i="11"/>
  <c r="P68" i="11" s="1"/>
  <c r="J40" i="11"/>
  <c r="I78" i="11"/>
  <c r="J78" i="11" s="1"/>
  <c r="K49" i="11"/>
  <c r="B67" i="11" s="1"/>
  <c r="C67" i="11" s="1"/>
  <c r="K41" i="11"/>
  <c r="Q33" i="11"/>
  <c r="O79" i="11"/>
  <c r="P79" i="11" s="1"/>
  <c r="I89" i="11"/>
  <c r="J89" i="11" s="1"/>
  <c r="O31" i="11"/>
  <c r="O57" i="11"/>
  <c r="P57" i="11" s="1"/>
  <c r="I47" i="11"/>
  <c r="B59" i="11" s="1"/>
  <c r="C59" i="11" s="1"/>
  <c r="I67" i="11"/>
  <c r="I39" i="11"/>
  <c r="I77" i="11"/>
  <c r="J77" i="11" s="1"/>
  <c r="J47" i="11"/>
  <c r="B62" i="11" s="1"/>
  <c r="C62" i="11" s="1"/>
  <c r="O58" i="11"/>
  <c r="P58" i="11" s="1"/>
  <c r="J39" i="11"/>
  <c r="P31" i="11"/>
  <c r="I57" i="11"/>
  <c r="J57" i="11" s="1"/>
  <c r="J60" i="11" s="1"/>
  <c r="K61" i="11" s="1"/>
  <c r="K62" i="11" s="1"/>
  <c r="H39" i="11"/>
  <c r="N31" i="11"/>
  <c r="O56" i="11"/>
  <c r="P56" i="11" s="1"/>
  <c r="H47" i="11"/>
  <c r="B56" i="11" s="1"/>
  <c r="C56" i="11" s="1"/>
  <c r="I48" i="11"/>
  <c r="B60" i="11" s="1"/>
  <c r="C60" i="11" s="1"/>
  <c r="I40" i="11"/>
  <c r="I68" i="11"/>
  <c r="J68" i="11" s="1"/>
  <c r="O32" i="11"/>
  <c r="O67" i="11"/>
  <c r="P67" i="11" s="1"/>
  <c r="O76" i="11"/>
  <c r="P76" i="11" s="1"/>
  <c r="H41" i="11"/>
  <c r="N33" i="11"/>
  <c r="H49" i="11"/>
  <c r="B58" i="11" s="1"/>
  <c r="C58" i="11" s="1"/>
  <c r="I59" i="11"/>
  <c r="J59" i="11" s="1"/>
  <c r="I87" i="11"/>
  <c r="J87" i="11" s="1"/>
  <c r="K47" i="11"/>
  <c r="B65" i="11" s="1"/>
  <c r="C65" i="11" s="1"/>
  <c r="K39" i="11"/>
  <c r="O59" i="11"/>
  <c r="P59" i="11" s="1"/>
  <c r="Q31" i="11"/>
  <c r="O69" i="11"/>
  <c r="P69" i="11" s="1"/>
  <c r="I88" i="11"/>
  <c r="J88" i="11" s="1"/>
  <c r="K40" i="11"/>
  <c r="Q32" i="11"/>
  <c r="K48" i="11"/>
  <c r="B66" i="11" s="1"/>
  <c r="C66" i="11" s="1"/>
  <c r="Q48" i="11" l="1"/>
  <c r="U49" i="11"/>
  <c r="S49" i="11"/>
  <c r="U48" i="11"/>
  <c r="J67" i="11"/>
  <c r="J70" i="11" s="1"/>
  <c r="V48" i="11"/>
  <c r="N48" i="11"/>
  <c r="Q47" i="11"/>
  <c r="Q49" i="11"/>
  <c r="P47" i="11"/>
  <c r="O49" i="11"/>
  <c r="N47" i="11"/>
  <c r="S48" i="11"/>
  <c r="V47" i="11"/>
  <c r="V49" i="11"/>
  <c r="K70" i="10"/>
  <c r="K71" i="10"/>
  <c r="K69" i="10"/>
  <c r="K72" i="10" s="1"/>
  <c r="J90" i="11"/>
  <c r="K91" i="11" s="1"/>
  <c r="K92" i="11" s="1"/>
  <c r="P60" i="11"/>
  <c r="J80" i="11"/>
  <c r="K81" i="11" s="1"/>
  <c r="K82" i="11" s="1"/>
  <c r="Q72" i="11"/>
  <c r="P80" i="11"/>
  <c r="Q81" i="11" s="1"/>
  <c r="Q82" i="11" s="1"/>
  <c r="C68" i="11"/>
  <c r="K59" i="10"/>
  <c r="K61" i="10"/>
  <c r="K60" i="10"/>
  <c r="K72" i="11" l="1"/>
  <c r="K71" i="11"/>
  <c r="D70" i="11"/>
  <c r="D69" i="11"/>
  <c r="Q62" i="11"/>
  <c r="Q61" i="11"/>
  <c r="K62" i="10"/>
  <c r="K51" i="10" l="1"/>
  <c r="J48" i="10"/>
  <c r="K50" i="10"/>
  <c r="A56" i="10"/>
  <c r="A49" i="10"/>
  <c r="A48" i="10"/>
  <c r="H15" i="10"/>
  <c r="N49" i="10" s="1"/>
  <c r="I15" i="10"/>
  <c r="N50" i="10" s="1"/>
  <c r="J15" i="10"/>
  <c r="N51" i="10" s="1"/>
  <c r="H16" i="10"/>
  <c r="N59" i="10" s="1"/>
  <c r="I16" i="10"/>
  <c r="N60" i="10" s="1"/>
  <c r="J16" i="10"/>
  <c r="N61" i="10" s="1"/>
  <c r="H17" i="10"/>
  <c r="N69" i="10" s="1"/>
  <c r="J17" i="10"/>
  <c r="N71" i="10" s="1"/>
  <c r="G16" i="10"/>
  <c r="N58" i="10" s="1"/>
  <c r="G17" i="10"/>
  <c r="N68" i="10" s="1"/>
  <c r="A50" i="10" l="1"/>
  <c r="A55" i="10"/>
  <c r="A53" i="10"/>
  <c r="A52" i="10"/>
  <c r="A57" i="10"/>
  <c r="M70" i="10"/>
  <c r="Q70" i="10" s="1"/>
  <c r="A54" i="10"/>
  <c r="A59" i="10"/>
  <c r="M60" i="10"/>
  <c r="Q60" i="10" s="1"/>
  <c r="M50" i="10"/>
  <c r="Q51" i="10" s="1"/>
  <c r="A51" i="10"/>
  <c r="A58" i="10"/>
  <c r="K52" i="10"/>
  <c r="C5" i="10"/>
  <c r="C4" i="10"/>
  <c r="Q58" i="10" l="1"/>
  <c r="Q61" i="10"/>
  <c r="D24" i="10"/>
  <c r="B23" i="10"/>
  <c r="E23" i="10"/>
  <c r="Q49" i="10"/>
  <c r="Q48" i="10"/>
  <c r="Q71" i="10"/>
  <c r="B25" i="10"/>
  <c r="Q69" i="10"/>
  <c r="Q59" i="10"/>
  <c r="Q62" i="10" s="1"/>
  <c r="C24" i="10"/>
  <c r="A60" i="10"/>
  <c r="E49" i="10" s="1"/>
  <c r="Q50" i="10"/>
  <c r="Q68" i="10"/>
  <c r="E55" i="10"/>
  <c r="E51" i="10"/>
  <c r="B24" i="10"/>
  <c r="D23" i="10"/>
  <c r="E25" i="10"/>
  <c r="C23" i="10"/>
  <c r="D25" i="10"/>
  <c r="E24" i="10"/>
  <c r="G23" i="10"/>
  <c r="H23" i="10" s="1"/>
  <c r="I23" i="10" s="1"/>
  <c r="C25" i="10"/>
  <c r="F51" i="7"/>
  <c r="C44" i="7"/>
  <c r="B19" i="7"/>
  <c r="B56" i="7" s="1"/>
  <c r="B64" i="7" s="1"/>
  <c r="F64" i="7" s="1"/>
  <c r="B20" i="7"/>
  <c r="B43" i="7" s="1"/>
  <c r="B21" i="7"/>
  <c r="B58" i="7" s="1"/>
  <c r="B66" i="7" s="1"/>
  <c r="F66" i="7" s="1"/>
  <c r="B18" i="7"/>
  <c r="B55" i="7" s="1"/>
  <c r="B63" i="7" s="1"/>
  <c r="F63" i="7" s="1"/>
  <c r="F42" i="7" l="1"/>
  <c r="B57" i="7"/>
  <c r="B65" i="7" s="1"/>
  <c r="F65" i="7" s="1"/>
  <c r="E50" i="10"/>
  <c r="E56" i="10"/>
  <c r="E59" i="10"/>
  <c r="B44" i="7"/>
  <c r="B42" i="7"/>
  <c r="F43" i="7"/>
  <c r="H24" i="10"/>
  <c r="I24" i="10" s="1"/>
  <c r="J24" i="10" s="1"/>
  <c r="E53" i="10"/>
  <c r="F24" i="10"/>
  <c r="G24" i="10"/>
  <c r="E58" i="10"/>
  <c r="E52" i="10"/>
  <c r="E48" i="10"/>
  <c r="E54" i="10"/>
  <c r="E57" i="10"/>
  <c r="Q72" i="10"/>
  <c r="F23" i="10"/>
  <c r="B31" i="10" s="1"/>
  <c r="F25" i="10"/>
  <c r="E33" i="10" s="1"/>
  <c r="Q52" i="10"/>
  <c r="J23" i="10"/>
  <c r="G25" i="10"/>
  <c r="H25" i="10" s="1"/>
  <c r="I25" i="10" s="1"/>
  <c r="J25" i="10" s="1"/>
  <c r="B32" i="10"/>
  <c r="D32" i="10"/>
  <c r="C32" i="10"/>
  <c r="C33" i="10"/>
  <c r="E32" i="10"/>
  <c r="O32" i="10" l="1"/>
  <c r="T32" i="10" s="1"/>
  <c r="U40" i="10"/>
  <c r="P40" i="10"/>
  <c r="P32" i="10"/>
  <c r="U32" i="10" s="1"/>
  <c r="M32" i="10"/>
  <c r="R32" i="10" s="1"/>
  <c r="P33" i="10"/>
  <c r="U33" i="10" s="1"/>
  <c r="U41" i="10"/>
  <c r="E60" i="10"/>
  <c r="N32" i="10"/>
  <c r="S32" i="10" s="1"/>
  <c r="N40" i="10"/>
  <c r="N33" i="10"/>
  <c r="S33" i="10" s="1"/>
  <c r="R39" i="10"/>
  <c r="M39" i="10"/>
  <c r="M31" i="10"/>
  <c r="R31" i="10" s="1"/>
  <c r="E41" i="10"/>
  <c r="B78" i="10"/>
  <c r="J33" i="10"/>
  <c r="E40" i="10"/>
  <c r="B77" i="10"/>
  <c r="J32" i="10"/>
  <c r="D40" i="10"/>
  <c r="B74" i="10"/>
  <c r="I32" i="10"/>
  <c r="D33" i="10"/>
  <c r="B33" i="10"/>
  <c r="B40" i="10"/>
  <c r="B68" i="10"/>
  <c r="G32" i="10"/>
  <c r="C41" i="10"/>
  <c r="H33" i="10"/>
  <c r="B72" i="10"/>
  <c r="C40" i="10"/>
  <c r="B71" i="10"/>
  <c r="H32" i="10"/>
  <c r="B67" i="10"/>
  <c r="G31" i="10"/>
  <c r="E31" i="10"/>
  <c r="B39" i="10"/>
  <c r="D31" i="10"/>
  <c r="C31" i="10"/>
  <c r="M33" i="10" l="1"/>
  <c r="R33" i="10" s="1"/>
  <c r="N31" i="10"/>
  <c r="S31" i="10" s="1"/>
  <c r="O33" i="10"/>
  <c r="T33" i="10" s="1"/>
  <c r="T41" i="10"/>
  <c r="M40" i="10"/>
  <c r="O39" i="10"/>
  <c r="O31" i="10"/>
  <c r="T31" i="10" s="1"/>
  <c r="N41" i="10"/>
  <c r="S40" i="10"/>
  <c r="P41" i="10"/>
  <c r="R40" i="10"/>
  <c r="T40" i="10"/>
  <c r="P31" i="10"/>
  <c r="U31" i="10" s="1"/>
  <c r="U39" i="10"/>
  <c r="P39" i="10"/>
  <c r="S41" i="10"/>
  <c r="O40" i="10"/>
  <c r="E39" i="10"/>
  <c r="B76" i="10"/>
  <c r="J31" i="10"/>
  <c r="I60" i="10"/>
  <c r="J60" i="10" s="1"/>
  <c r="C71" i="10"/>
  <c r="B41" i="10"/>
  <c r="G33" i="10"/>
  <c r="B69" i="10"/>
  <c r="C39" i="10"/>
  <c r="H31" i="10"/>
  <c r="B70" i="10"/>
  <c r="O48" i="10"/>
  <c r="P48" i="10" s="1"/>
  <c r="B48" i="10"/>
  <c r="C48" i="10" s="1"/>
  <c r="B49" i="10"/>
  <c r="C49" i="10" s="1"/>
  <c r="O58" i="10"/>
  <c r="P58" i="10" s="1"/>
  <c r="D41" i="10"/>
  <c r="I33" i="10"/>
  <c r="B75" i="10"/>
  <c r="B58" i="10"/>
  <c r="C58" i="10" s="1"/>
  <c r="O61" i="10"/>
  <c r="P61" i="10" s="1"/>
  <c r="B59" i="10"/>
  <c r="C59" i="10" s="1"/>
  <c r="O71" i="10"/>
  <c r="P71" i="10" s="1"/>
  <c r="D39" i="10"/>
  <c r="B73" i="10"/>
  <c r="I31" i="10"/>
  <c r="I49" i="10"/>
  <c r="J49" i="10" s="1"/>
  <c r="C67" i="10"/>
  <c r="C72" i="10"/>
  <c r="I61" i="10"/>
  <c r="J61" i="10" s="1"/>
  <c r="I50" i="10"/>
  <c r="J50" i="10" s="1"/>
  <c r="C68" i="10"/>
  <c r="O60" i="10"/>
  <c r="P60" i="10" s="1"/>
  <c r="B55" i="10"/>
  <c r="C55" i="10" s="1"/>
  <c r="I80" i="10"/>
  <c r="J80" i="10" s="1"/>
  <c r="C77" i="10"/>
  <c r="I81" i="10"/>
  <c r="J81" i="10" s="1"/>
  <c r="C78" i="10"/>
  <c r="O59" i="10"/>
  <c r="P59" i="10" s="1"/>
  <c r="B52" i="10"/>
  <c r="C52" i="10" s="1"/>
  <c r="O69" i="10"/>
  <c r="P69" i="10" s="1"/>
  <c r="B53" i="10"/>
  <c r="C53" i="10" s="1"/>
  <c r="I70" i="10"/>
  <c r="J70" i="10" s="1"/>
  <c r="C74" i="10"/>
  <c r="F4" i="7"/>
  <c r="T39" i="10" l="1"/>
  <c r="S39" i="10"/>
  <c r="M41" i="10"/>
  <c r="O41" i="10"/>
  <c r="N39" i="10"/>
  <c r="R41" i="10"/>
  <c r="I69" i="10"/>
  <c r="J69" i="10" s="1"/>
  <c r="C73" i="10"/>
  <c r="I51" i="10"/>
  <c r="J51" i="10" s="1"/>
  <c r="J52" i="10" s="1"/>
  <c r="K53" i="10" s="1"/>
  <c r="K54" i="10" s="1"/>
  <c r="C69" i="10"/>
  <c r="P62" i="10"/>
  <c r="Q63" i="10" s="1"/>
  <c r="Q64" i="10" s="1"/>
  <c r="I59" i="10"/>
  <c r="J59" i="10" s="1"/>
  <c r="C70" i="10"/>
  <c r="O68" i="10"/>
  <c r="P68" i="10" s="1"/>
  <c r="B50" i="10"/>
  <c r="C50" i="10" s="1"/>
  <c r="B57" i="10"/>
  <c r="C57" i="10" s="1"/>
  <c r="O51" i="10"/>
  <c r="P51" i="10" s="1"/>
  <c r="I71" i="10"/>
  <c r="J71" i="10" s="1"/>
  <c r="C75" i="10"/>
  <c r="B51" i="10"/>
  <c r="C51" i="10" s="1"/>
  <c r="O49" i="10"/>
  <c r="P49" i="10" s="1"/>
  <c r="I79" i="10"/>
  <c r="J79" i="10" s="1"/>
  <c r="J82" i="10" s="1"/>
  <c r="K83" i="10" s="1"/>
  <c r="K84" i="10" s="1"/>
  <c r="C76" i="10"/>
  <c r="J62" i="10"/>
  <c r="K63" i="10" s="1"/>
  <c r="K64" i="10" s="1"/>
  <c r="O50" i="10"/>
  <c r="P50" i="10" s="1"/>
  <c r="B54" i="10"/>
  <c r="C54" i="10" s="1"/>
  <c r="O70" i="10"/>
  <c r="P70" i="10" s="1"/>
  <c r="B56" i="10"/>
  <c r="C56" i="10" s="1"/>
  <c r="C60" i="10" s="1"/>
  <c r="D61" i="10" s="1"/>
  <c r="D62" i="10" s="1"/>
  <c r="B6" i="7"/>
  <c r="C46" i="7"/>
  <c r="C79" i="10" l="1"/>
  <c r="D80" i="10" s="1"/>
  <c r="D81" i="10" s="1"/>
  <c r="B68" i="7"/>
  <c r="B70" i="7"/>
  <c r="B69" i="7"/>
  <c r="B71" i="7"/>
  <c r="D64" i="7"/>
  <c r="D44" i="7"/>
  <c r="E44" i="7" s="1"/>
  <c r="D41" i="7"/>
  <c r="D63" i="7"/>
  <c r="D43" i="7"/>
  <c r="D66" i="7"/>
  <c r="D42" i="7"/>
  <c r="D65" i="7"/>
  <c r="P52" i="10"/>
  <c r="Q53" i="10" s="1"/>
  <c r="Q54" i="10" s="1"/>
  <c r="P72" i="10"/>
  <c r="Q73" i="10" s="1"/>
  <c r="Q74" i="10" s="1"/>
  <c r="J72" i="10"/>
  <c r="K73" i="10" s="1"/>
  <c r="K74" i="10" s="1"/>
  <c r="F6" i="7"/>
  <c r="B9" i="7"/>
  <c r="D70" i="7" l="1"/>
  <c r="B76" i="7"/>
  <c r="C76" i="7" s="1"/>
  <c r="B74" i="7"/>
  <c r="C74" i="7" s="1"/>
  <c r="D68" i="7"/>
  <c r="B77" i="7"/>
  <c r="C77" i="7" s="1"/>
  <c r="D71" i="7"/>
  <c r="D69" i="7"/>
  <c r="B75" i="7"/>
  <c r="C75" i="7" s="1"/>
  <c r="C64" i="7"/>
  <c r="E64" i="7" s="1"/>
  <c r="C42" i="7"/>
  <c r="E42" i="7" s="1"/>
  <c r="C63" i="7"/>
  <c r="C41" i="7"/>
  <c r="C66" i="7"/>
  <c r="E66" i="7" s="1"/>
  <c r="C65" i="7"/>
  <c r="E65" i="7" s="1"/>
  <c r="C43" i="7"/>
  <c r="E43" i="7" s="1"/>
  <c r="B10" i="7"/>
  <c r="F7" i="7"/>
  <c r="F5" i="7"/>
  <c r="F6" i="11" l="1"/>
  <c r="F6" i="10"/>
  <c r="F5" i="11"/>
  <c r="F5" i="10"/>
  <c r="F7" i="11"/>
  <c r="F7" i="10"/>
  <c r="H6" i="7"/>
  <c r="I6" i="7" s="1"/>
  <c r="H4" i="7"/>
  <c r="I4" i="7" s="1"/>
  <c r="F8" i="11"/>
  <c r="F8" i="10"/>
  <c r="H7" i="7"/>
  <c r="I7" i="7" s="1"/>
  <c r="H5" i="7"/>
  <c r="I5" i="7" s="1"/>
  <c r="A22" i="11" l="1"/>
  <c r="M30" i="11"/>
  <c r="A46" i="11"/>
  <c r="G38" i="11"/>
  <c r="A14" i="11"/>
  <c r="G46" i="11"/>
  <c r="A38" i="11"/>
  <c r="A30" i="11"/>
  <c r="G30" i="11"/>
  <c r="M68" i="10"/>
  <c r="A33" i="10"/>
  <c r="F17" i="10"/>
  <c r="A17" i="10"/>
  <c r="A25" i="10"/>
  <c r="A41" i="10"/>
  <c r="M58" i="10"/>
  <c r="A24" i="10"/>
  <c r="A16" i="10"/>
  <c r="F16" i="10"/>
  <c r="A40" i="10"/>
  <c r="A32" i="10"/>
  <c r="F15" i="10"/>
  <c r="A23" i="10"/>
  <c r="A39" i="10"/>
  <c r="A31" i="10"/>
  <c r="M48" i="10"/>
  <c r="A15" i="10"/>
  <c r="A22" i="10"/>
  <c r="A30" i="10"/>
  <c r="F14" i="10"/>
  <c r="A38" i="10"/>
  <c r="A14" i="10"/>
  <c r="A25" i="11"/>
  <c r="M33" i="11"/>
  <c r="A17" i="11"/>
  <c r="G33" i="11"/>
  <c r="A41" i="11"/>
  <c r="M76" i="11"/>
  <c r="G49" i="11"/>
  <c r="A49" i="11"/>
  <c r="G41" i="11"/>
  <c r="A33" i="11"/>
  <c r="M66" i="11"/>
  <c r="G40" i="11"/>
  <c r="A40" i="11"/>
  <c r="G48" i="11"/>
  <c r="M32" i="11"/>
  <c r="A24" i="11"/>
  <c r="A48" i="11"/>
  <c r="A32" i="11"/>
  <c r="A16" i="11"/>
  <c r="G32" i="11"/>
  <c r="M31" i="11"/>
  <c r="A23" i="11"/>
  <c r="G39" i="11"/>
  <c r="A39" i="11"/>
  <c r="G31" i="11"/>
  <c r="A47" i="11"/>
  <c r="A15" i="11"/>
  <c r="A31" i="11"/>
  <c r="M56" i="11"/>
  <c r="G47" i="11"/>
</calcChain>
</file>

<file path=xl/sharedStrings.xml><?xml version="1.0" encoding="utf-8"?>
<sst xmlns="http://schemas.openxmlformats.org/spreadsheetml/2006/main" count="6319" uniqueCount="722">
  <si>
    <t>Impeller immersion calculations</t>
  </si>
  <si>
    <t>m</t>
  </si>
  <si>
    <t>L</t>
  </si>
  <si>
    <t>Liquid volume (L)</t>
  </si>
  <si>
    <t>h,i/d</t>
  </si>
  <si>
    <t>ν</t>
  </si>
  <si>
    <t>dp</t>
  </si>
  <si>
    <t>g</t>
  </si>
  <si>
    <t>ρL</t>
  </si>
  <si>
    <t>ρS</t>
  </si>
  <si>
    <t>d</t>
  </si>
  <si>
    <t>Impeller coverage ratio</t>
  </si>
  <si>
    <t>Mean</t>
  </si>
  <si>
    <t>Standard error</t>
  </si>
  <si>
    <t>y</t>
  </si>
  <si>
    <t>a</t>
  </si>
  <si>
    <t>b</t>
  </si>
  <si>
    <t>c</t>
  </si>
  <si>
    <t>e</t>
  </si>
  <si>
    <t>K</t>
  </si>
  <si>
    <t>% error</t>
  </si>
  <si>
    <t>Length of the vessel (L)</t>
  </si>
  <si>
    <t>Vessl internal diameter (ID)</t>
  </si>
  <si>
    <t>Impeller diameter (d)</t>
  </si>
  <si>
    <t>Impeller diameter (r)</t>
  </si>
  <si>
    <t>R-r</t>
  </si>
  <si>
    <t>Volume of heating finger (HF)</t>
  </si>
  <si>
    <t>Diameter of the HF (d)</t>
  </si>
  <si>
    <t>Length of the HF (L)</t>
  </si>
  <si>
    <t>Volume(V)</t>
  </si>
  <si>
    <t>Radius of the vessel - (R)</t>
  </si>
  <si>
    <t>Total volume (V)</t>
  </si>
  <si>
    <t>Measurements</t>
  </si>
  <si>
    <t>Units</t>
  </si>
  <si>
    <t>Parameters</t>
  </si>
  <si>
    <t>Height of liquid (hL) (m)</t>
  </si>
  <si>
    <t>ID</t>
  </si>
  <si>
    <t xml:space="preserve">   R</t>
  </si>
  <si>
    <t>Heating finger</t>
  </si>
  <si>
    <t>Height of impeller from bottomh,i (m)</t>
  </si>
  <si>
    <t xml:space="preserve">   </t>
  </si>
  <si>
    <t xml:space="preserve">      r</t>
  </si>
  <si>
    <t>Actual Volume (L)</t>
  </si>
  <si>
    <r>
      <t>m</t>
    </r>
    <r>
      <rPr>
        <vertAlign val="superscript"/>
        <sz val="10"/>
        <rFont val="Arial"/>
        <family val="2"/>
      </rPr>
      <t>3</t>
    </r>
  </si>
  <si>
    <t>Height of impeller/impeller diameter (i/d) m</t>
  </si>
  <si>
    <t xml:space="preserve">                     a                                           b</t>
  </si>
  <si>
    <t>Figure depicting the fluid covering in the HTB (a) volume filled less than radus of the reactor (b) more than the radious of the reactor</t>
  </si>
  <si>
    <t xml:space="preserve">Reference:  </t>
  </si>
  <si>
    <t>http://www.ajdesigner.com/phphydraulicradius/hydraulic_radius_equation_pipe.php</t>
  </si>
  <si>
    <r>
      <t>From equation (a), when the working V</t>
    </r>
    <r>
      <rPr>
        <vertAlign val="subscript"/>
        <sz val="10"/>
        <rFont val="Arial"/>
        <family val="2"/>
      </rPr>
      <t xml:space="preserve">L </t>
    </r>
    <r>
      <rPr>
        <sz val="10"/>
        <rFont val="Arial"/>
        <family val="2"/>
      </rPr>
      <t>is less than 1/2 of the total volume</t>
    </r>
  </si>
  <si>
    <t xml:space="preserve"> </t>
  </si>
  <si>
    <r>
      <t xml:space="preserve">Let </t>
    </r>
    <r>
      <rPr>
        <sz val="10"/>
        <rFont val="Calibri"/>
        <family val="2"/>
      </rPr>
      <t>θ</t>
    </r>
    <r>
      <rPr>
        <sz val="8.5"/>
        <rFont val="Arial"/>
        <family val="2"/>
      </rPr>
      <t xml:space="preserve"> is </t>
    </r>
    <r>
      <rPr>
        <sz val="10"/>
        <rFont val="Arial"/>
        <family val="2"/>
      </rPr>
      <t xml:space="preserve">the central angle, then </t>
    </r>
  </si>
  <si>
    <t>Let the area of the circular segmented area (Blue)</t>
  </si>
  <si>
    <t xml:space="preserve">Working volume </t>
  </si>
  <si>
    <t>Substituting</t>
  </si>
  <si>
    <t>putting up the values</t>
  </si>
  <si>
    <t>Let the impeller clearance is "C"</t>
  </si>
  <si>
    <t>VL</t>
  </si>
  <si>
    <t>r</t>
  </si>
  <si>
    <t>Volume (L)</t>
  </si>
  <si>
    <t>RHS</t>
  </si>
  <si>
    <t>LHS</t>
  </si>
  <si>
    <t>Variable (h)</t>
  </si>
  <si>
    <t>Solution for the above equation for h at each volume</t>
  </si>
  <si>
    <t xml:space="preserve">This indicated that the height of liquid (h) is less than the clearance (C) </t>
  </si>
  <si>
    <t>Volume displaced by heating element</t>
  </si>
  <si>
    <t>Volume displaced</t>
  </si>
  <si>
    <t>For 1 L</t>
  </si>
  <si>
    <r>
      <t>Liquid height for modified volume m</t>
    </r>
    <r>
      <rPr>
        <vertAlign val="superscript"/>
        <sz val="10"/>
        <rFont val="Arial"/>
        <family val="2"/>
      </rPr>
      <t>3</t>
    </r>
  </si>
  <si>
    <t>for 1L,h&gt;C</t>
  </si>
  <si>
    <t>mm</t>
  </si>
  <si>
    <t>2 L</t>
  </si>
  <si>
    <t>3 L</t>
  </si>
  <si>
    <t>4 L</t>
  </si>
  <si>
    <t>1 L</t>
  </si>
  <si>
    <t>in %</t>
  </si>
  <si>
    <t>Kinematic viscosity</t>
  </si>
  <si>
    <t>Diameter of particle</t>
  </si>
  <si>
    <t>Gravity</t>
  </si>
  <si>
    <t>Liquid density</t>
  </si>
  <si>
    <t>Solid density</t>
  </si>
  <si>
    <t>diameter of impeller</t>
  </si>
  <si>
    <t>Symbol</t>
  </si>
  <si>
    <t>Values</t>
  </si>
  <si>
    <t>Not determined due to low impeller coverage</t>
  </si>
  <si>
    <t xml:space="preserve">         detrmination at different impeller immersion ratio in rps</t>
  </si>
  <si>
    <t>Mean at each impeller immersion</t>
  </si>
  <si>
    <t>STD Deviation</t>
  </si>
  <si>
    <t>Number of runs at each impeller immersion (N)</t>
  </si>
  <si>
    <t>U (95 %)</t>
  </si>
  <si>
    <t xml:space="preserve">Error in % from observed and predictied values of </t>
  </si>
  <si>
    <t>From Literature</t>
  </si>
  <si>
    <t>Equation 1</t>
  </si>
  <si>
    <t>Equation 2</t>
  </si>
  <si>
    <t>For HTB</t>
  </si>
  <si>
    <t>Equation 3</t>
  </si>
  <si>
    <r>
      <t>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s</t>
    </r>
    <r>
      <rPr>
        <vertAlign val="superscript"/>
        <sz val="10"/>
        <rFont val="Arial"/>
        <family val="2"/>
      </rPr>
      <t>-1</t>
    </r>
  </si>
  <si>
    <r>
      <t>m s</t>
    </r>
    <r>
      <rPr>
        <vertAlign val="superscript"/>
        <sz val="10"/>
        <rFont val="Arial"/>
        <family val="2"/>
      </rPr>
      <t>-2</t>
    </r>
  </si>
  <si>
    <r>
      <t>kg m</t>
    </r>
    <r>
      <rPr>
        <vertAlign val="superscript"/>
        <sz val="10"/>
        <rFont val="Arial"/>
        <family val="2"/>
      </rPr>
      <t>-3</t>
    </r>
  </si>
  <si>
    <r>
      <rPr>
        <b/>
        <sz val="10"/>
        <rFont val="Calibri"/>
        <family val="2"/>
      </rPr>
      <t>χ</t>
    </r>
    <r>
      <rPr>
        <b/>
        <sz val="8.1999999999999993"/>
        <rFont val="Arial"/>
        <family val="2"/>
      </rPr>
      <t xml:space="preserve"> (solid loading percentage)</t>
    </r>
  </si>
  <si>
    <t>Predicted Value of       from equation 1</t>
  </si>
  <si>
    <t>Predicted Value of       from equation 3 for HTB</t>
  </si>
  <si>
    <t>After solving exponents of the equation</t>
  </si>
  <si>
    <t>Sum of square errors</t>
  </si>
  <si>
    <t>Minimum speed in RPM (experimental)</t>
  </si>
  <si>
    <t>R-squared calculations</t>
  </si>
  <si>
    <t>For  Impeller speed in RPM</t>
  </si>
  <si>
    <t>Impeller speed (Njs)</t>
  </si>
  <si>
    <t>Modelled Njs</t>
  </si>
  <si>
    <t>y'</t>
  </si>
  <si>
    <t>(y-y')^2</t>
  </si>
  <si>
    <t>(y-ymean)^2</t>
  </si>
  <si>
    <t>Variations</t>
  </si>
  <si>
    <t>R-Squared</t>
  </si>
  <si>
    <t>Solid loading (χ)</t>
  </si>
  <si>
    <r>
      <t>For solid loading (</t>
    </r>
    <r>
      <rPr>
        <b/>
        <sz val="10"/>
        <rFont val="Calibri"/>
        <family val="2"/>
      </rPr>
      <t>χ</t>
    </r>
    <r>
      <rPr>
        <b/>
        <sz val="7.5"/>
        <rFont val="Arial"/>
        <family val="2"/>
      </rPr>
      <t>)</t>
    </r>
  </si>
  <si>
    <t>For solid loading (χ) for each impeller immersion</t>
  </si>
  <si>
    <t xml:space="preserve">Impeller immersion </t>
  </si>
  <si>
    <t>The value of S at each stage (Eq 2)</t>
  </si>
  <si>
    <t>Determination of minimum agitation speed at different impeller immersion ratios from HTB model</t>
  </si>
  <si>
    <t>Determination of minimum agitation speed at different impeller immersion ratios from STR model</t>
  </si>
  <si>
    <t>Diameter of impeller</t>
  </si>
  <si>
    <t>Predicted Value of       from equation 1 in rps</t>
  </si>
  <si>
    <r>
      <t>Overall 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calculations for impeller speed in rps</t>
    </r>
  </si>
  <si>
    <t xml:space="preserve">     detrmination at different impeller immersion ratio in rps</t>
  </si>
  <si>
    <t>Error Propagation</t>
  </si>
  <si>
    <t>χ (solid loading percentage)</t>
  </si>
  <si>
    <t>Error in predicted Value of         in RPM</t>
  </si>
  <si>
    <t>Upper range of error in predicting      value</t>
  </si>
  <si>
    <t>Lower range of error in predicting      value</t>
  </si>
  <si>
    <t>Error in predicted Value of        in rps</t>
  </si>
  <si>
    <t>Error in predicted Value of         in rps</t>
  </si>
  <si>
    <t>Thesis Title</t>
  </si>
  <si>
    <t xml:space="preserve">Development of a novel bioreactor and systems for suspension cell culture in biopharmaceutical production </t>
  </si>
  <si>
    <t>Worksheet details</t>
  </si>
  <si>
    <t>Chapter Title</t>
  </si>
  <si>
    <t>4. Design, Fabrication and abiotic characterisation of HTB-(Results and Discussion - Part I)</t>
  </si>
  <si>
    <t>Authors</t>
  </si>
  <si>
    <t>Rajesh Sharma</t>
  </si>
  <si>
    <t>Institution</t>
  </si>
  <si>
    <t>Centre for Bioprocess Engineering Research (CeBER), Department of Chemical Engineering,                                              University of Cape Town, Private Bag X3, Rondebosch 7700, South Africa</t>
  </si>
  <si>
    <t>Index</t>
  </si>
  <si>
    <t xml:space="preserve">Reference to article </t>
  </si>
  <si>
    <t>Title of items</t>
  </si>
  <si>
    <t>Figure 4-13</t>
  </si>
  <si>
    <t xml:space="preserve">Relationship between mixing time and impeller speed at different fill volumes. </t>
  </si>
  <si>
    <t>Figure 4-14</t>
  </si>
  <si>
    <t xml:space="preserve">The F (t) curves representing the conductivity profile of different fill volumes at a different impeller speed </t>
  </si>
  <si>
    <t>Figure 4-15</t>
  </si>
  <si>
    <t xml:space="preserve">Best-fit trendline elucidating the relationships of mixing time with (a) impeller immersion and (b) with impeller speed </t>
  </si>
  <si>
    <t>Figure 4-16</t>
  </si>
  <si>
    <t>Means of observation of the two factors depicting the interaction</t>
  </si>
  <si>
    <t>Figure 4-17</t>
  </si>
  <si>
    <t>Figure 4-18</t>
  </si>
  <si>
    <t>Relationship of mixing time with (a) impeller immersion and (b) impeller speed in comparison with model 3</t>
  </si>
  <si>
    <t>Table 4-5</t>
  </si>
  <si>
    <t>Analysis of mixing time data with Two-way ANOVA with replication</t>
  </si>
  <si>
    <t>Table 4-6</t>
  </si>
  <si>
    <t>Length of the vessel (m)</t>
  </si>
  <si>
    <t>L/D</t>
  </si>
  <si>
    <r>
      <t xml:space="preserve">Tan </t>
    </r>
    <r>
      <rPr>
        <sz val="7"/>
        <color rgb="FF000000"/>
        <rFont val="Calibri"/>
        <family val="2"/>
      </rPr>
      <t>θ</t>
    </r>
  </si>
  <si>
    <t xml:space="preserve">   π</t>
  </si>
  <si>
    <t>1.0</t>
  </si>
  <si>
    <t>D=H</t>
  </si>
  <si>
    <t>1.8</t>
  </si>
  <si>
    <t>d=D/2.2</t>
  </si>
  <si>
    <t>h=L/1.235</t>
  </si>
  <si>
    <t>dm (Mean Diameter)</t>
  </si>
  <si>
    <t>D=H=2.2d</t>
  </si>
  <si>
    <t>ds=0.2d</t>
  </si>
  <si>
    <t>C=0.05d</t>
  </si>
  <si>
    <t>S=0.6d</t>
  </si>
  <si>
    <t>N (Turns)</t>
  </si>
  <si>
    <t>W=(d-ds)/2</t>
  </si>
  <si>
    <t>V (m^3)</t>
  </si>
  <si>
    <t>V (m^3)70%</t>
  </si>
  <si>
    <r>
      <t>H</t>
    </r>
    <r>
      <rPr>
        <vertAlign val="subscript"/>
        <sz val="7"/>
        <color rgb="FF000000"/>
        <rFont val="Arial"/>
        <family val="2"/>
      </rPr>
      <t xml:space="preserve">L </t>
    </r>
    <r>
      <rPr>
        <vertAlign val="subscript"/>
        <sz val="10"/>
        <rFont val="Arial"/>
        <family val="2"/>
      </rPr>
      <t>(mm)</t>
    </r>
  </si>
  <si>
    <t>1.2</t>
  </si>
  <si>
    <t>2.0</t>
  </si>
  <si>
    <t>Pitch (S) at 15 deg</t>
  </si>
  <si>
    <t>No. of spiral turns on the shaft (n) at 15 deg</t>
  </si>
  <si>
    <t>1.5</t>
  </si>
  <si>
    <t>2.5</t>
  </si>
  <si>
    <t>Pitch (S) at 30 deg</t>
  </si>
  <si>
    <t>No. of spiral turns on the shaft (n) at 30 deg</t>
  </si>
  <si>
    <t>3</t>
  </si>
  <si>
    <t>4.3</t>
  </si>
  <si>
    <t>Pitch (S) at 45 deg</t>
  </si>
  <si>
    <t>No. of spiral turns on the shaft (n) at 45 deg</t>
  </si>
  <si>
    <t>3.5</t>
  </si>
  <si>
    <t>4.6</t>
  </si>
  <si>
    <t>Pitch (S) at 60 deg</t>
  </si>
  <si>
    <t>No. of spiral turns on the shaft (n) at 60 deg</t>
  </si>
  <si>
    <t>4</t>
  </si>
  <si>
    <t>5</t>
  </si>
  <si>
    <t>Impeller immersion ratios</t>
  </si>
  <si>
    <t>Std Deviation</t>
  </si>
  <si>
    <t>Minimum speed in rpm (experimental)</t>
  </si>
  <si>
    <t>Predicted Value of       in rpm</t>
  </si>
  <si>
    <t>Error in predicted Value of         in rpm</t>
  </si>
  <si>
    <t>Overall R2 calculations for impeller speed in rpm</t>
  </si>
  <si>
    <t>Sheet no.</t>
  </si>
  <si>
    <t>Users' Requirement Specifications</t>
  </si>
  <si>
    <t>Design Configuration</t>
  </si>
  <si>
    <t>Configuration</t>
  </si>
  <si>
    <t>Length of the vessel</t>
  </si>
  <si>
    <t xml:space="preserve">Impeller diameter </t>
  </si>
  <si>
    <t xml:space="preserve">Impeller axial length </t>
  </si>
  <si>
    <t xml:space="preserve">The diameter of the shaft </t>
  </si>
  <si>
    <t>Pitch of the impeller</t>
  </si>
  <si>
    <t xml:space="preserve">Clearance </t>
  </si>
  <si>
    <t xml:space="preserve">Thickness of the blade </t>
  </si>
  <si>
    <t>Total volume / 70 % working volume</t>
  </si>
  <si>
    <t>4.6 L/3.2 L</t>
  </si>
  <si>
    <t>Blade angle</t>
  </si>
  <si>
    <r>
      <t>[</t>
    </r>
    <r>
      <rPr>
        <vertAlign val="superscript"/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]</t>
    </r>
  </si>
  <si>
    <t xml:space="preserve">Number of spiral turns </t>
  </si>
  <si>
    <t xml:space="preserve">Height of the Vane </t>
  </si>
  <si>
    <t>θ</t>
  </si>
  <si>
    <t xml:space="preserve">Internal diameter of the vessel  </t>
  </si>
  <si>
    <t>Aspect ratios</t>
  </si>
  <si>
    <t>h&lt;C (liquid eght does not reach to the impeller)</t>
  </si>
  <si>
    <t>RPM</t>
  </si>
  <si>
    <t>Time (s)</t>
  </si>
  <si>
    <t>Error</t>
  </si>
  <si>
    <t>4 % Impeller immersion</t>
  </si>
  <si>
    <t>42 % Impeller immersion</t>
  </si>
  <si>
    <t>79 % Impeller immersion</t>
  </si>
  <si>
    <t>Impeller fully immersed</t>
  </si>
  <si>
    <t>Model 1</t>
  </si>
  <si>
    <t>Nq</t>
  </si>
  <si>
    <t>D</t>
  </si>
  <si>
    <t>D/d</t>
  </si>
  <si>
    <t>Speed</t>
  </si>
  <si>
    <t>Volume</t>
  </si>
  <si>
    <t>Impeller coverage</t>
  </si>
  <si>
    <t>Sum of squares error</t>
  </si>
  <si>
    <t>Experimental result matrix</t>
  </si>
  <si>
    <t>Predicted values for model 1</t>
  </si>
  <si>
    <t>Residual plot wrt coverage</t>
  </si>
  <si>
    <t>Residuals</t>
  </si>
  <si>
    <t>x</t>
  </si>
  <si>
    <t>y_est</t>
  </si>
  <si>
    <t>(y-y_est)^2</t>
  </si>
  <si>
    <t>(y-y_mean)^2</t>
  </si>
  <si>
    <t>100 rpm</t>
  </si>
  <si>
    <t>hL,d</t>
  </si>
  <si>
    <t>tmix</t>
  </si>
  <si>
    <t>mean y</t>
  </si>
  <si>
    <t>SUM</t>
  </si>
  <si>
    <t xml:space="preserve">variation </t>
  </si>
  <si>
    <t>R-square</t>
  </si>
  <si>
    <t>200 rpm</t>
  </si>
  <si>
    <t xml:space="preserve">mean y </t>
  </si>
  <si>
    <t>300 rpm</t>
  </si>
  <si>
    <t>400 rpm</t>
  </si>
  <si>
    <t>500 rpm</t>
  </si>
  <si>
    <t>R-squared calculation with respect to 'impeller speed'</t>
  </si>
  <si>
    <t>Overall R-squared calculation</t>
  </si>
  <si>
    <t>Model 2</t>
  </si>
  <si>
    <t>Errors</t>
  </si>
  <si>
    <t>Model 3</t>
  </si>
  <si>
    <t>ρ</t>
  </si>
  <si>
    <t>Reynolds number (Nre)</t>
  </si>
  <si>
    <t>µ</t>
  </si>
  <si>
    <t>Speed (N)</t>
  </si>
  <si>
    <r>
      <t>Kg m</t>
    </r>
    <r>
      <rPr>
        <vertAlign val="superscript"/>
        <sz val="9"/>
        <color theme="1"/>
        <rFont val="Arial"/>
        <family val="2"/>
      </rPr>
      <t>-3</t>
    </r>
  </si>
  <si>
    <t>Np</t>
  </si>
  <si>
    <t>Predicted values for model 2</t>
  </si>
  <si>
    <t>Predicted values for model 3</t>
  </si>
  <si>
    <t>Impeller immersion</t>
  </si>
  <si>
    <t>Two-factor ANOVA  analysis</t>
  </si>
  <si>
    <t>Experimental results of mixing time in triplicate</t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</si>
  <si>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</si>
  <si>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</si>
  <si>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</si>
  <si>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</si>
  <si>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</si>
  <si>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</si>
  <si>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</si>
  <si>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</si>
  <si>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</si>
  <si>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</si>
  <si>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</si>
  <si>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</si>
  <si>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</si>
  <si>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</si>
  <si>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</si>
  <si>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</si>
  <si>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</si>
  <si>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</si>
  <si>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</si>
  <si>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Fully immersed</t>
  </si>
  <si>
    <t>R-squared calculation with respect to 'impeller immersion'</t>
  </si>
  <si>
    <t>Legends</t>
  </si>
  <si>
    <t xml:space="preserve">Impeller speed </t>
  </si>
  <si>
    <t>as per Tsui and Hu (2008)</t>
  </si>
  <si>
    <t>100 rpm model</t>
  </si>
  <si>
    <t>200 rpm model</t>
  </si>
  <si>
    <t>300 rpm model</t>
  </si>
  <si>
    <t>400 rpm model</t>
  </si>
  <si>
    <t>500 rpm model</t>
  </si>
  <si>
    <t>4 % model</t>
  </si>
  <si>
    <t>42 % model</t>
  </si>
  <si>
    <t>79 % model</t>
  </si>
  <si>
    <t>121 % model</t>
  </si>
  <si>
    <t>stirring speed</t>
  </si>
  <si>
    <t>immersion</t>
  </si>
  <si>
    <t>Mixing time</t>
  </si>
  <si>
    <t>--time--</t>
  </si>
  <si>
    <t>Cond</t>
  </si>
  <si>
    <t>unit</t>
  </si>
  <si>
    <t>TDS</t>
  </si>
  <si>
    <t>Tcon</t>
  </si>
  <si>
    <t>uS</t>
  </si>
  <si>
    <t>ppm</t>
  </si>
  <si>
    <t>C</t>
  </si>
  <si>
    <t>t (s)</t>
  </si>
  <si>
    <t>Conductivity</t>
  </si>
  <si>
    <t>Conc</t>
  </si>
  <si>
    <t>Conc normalized</t>
  </si>
  <si>
    <t>Conductivity diff</t>
  </si>
  <si>
    <t>Unit</t>
  </si>
  <si>
    <t>µS</t>
  </si>
  <si>
    <t>Injection</t>
  </si>
  <si>
    <t>init cond</t>
  </si>
  <si>
    <t>Homogeneity</t>
  </si>
  <si>
    <t>ct(0)</t>
  </si>
  <si>
    <t>ct(inf)</t>
  </si>
  <si>
    <t>c(t)</t>
  </si>
  <si>
    <t>End</t>
  </si>
  <si>
    <t>Start</t>
  </si>
  <si>
    <t>Sample calculations for determining mixing time through conductivity method and F(t) graphs</t>
  </si>
  <si>
    <t>Raw data for 1 L at 100 rpm (run 1)</t>
  </si>
  <si>
    <t>Raw Conductivity</t>
  </si>
  <si>
    <t>Co</t>
  </si>
  <si>
    <t>Run 1</t>
  </si>
  <si>
    <t>Run 2</t>
  </si>
  <si>
    <t>Run 3</t>
  </si>
  <si>
    <t>conc</t>
  </si>
  <si>
    <t>Int</t>
  </si>
  <si>
    <t>E(t)</t>
  </si>
  <si>
    <t>F(t)</t>
  </si>
  <si>
    <t>average conductivity</t>
  </si>
  <si>
    <t>Run</t>
  </si>
  <si>
    <t>(x - xmean)^2</t>
  </si>
  <si>
    <t>Mixing time (s)</t>
  </si>
  <si>
    <t>N</t>
  </si>
  <si>
    <t>Standard deviation</t>
  </si>
  <si>
    <t>U(95%)</t>
  </si>
  <si>
    <t>time (s)</t>
  </si>
  <si>
    <t>4 % (1 L)</t>
  </si>
  <si>
    <t>42 % (2 L)</t>
  </si>
  <si>
    <t>79 % (3 L)</t>
  </si>
  <si>
    <t>Fully immersed (4 L)</t>
  </si>
  <si>
    <t>kg</t>
  </si>
  <si>
    <t>J/kg-k</t>
  </si>
  <si>
    <t>T1</t>
  </si>
  <si>
    <t>T2</t>
  </si>
  <si>
    <t>Predicted Temp.</t>
  </si>
  <si>
    <t>SSE</t>
  </si>
  <si>
    <t>Time (h)</t>
  </si>
  <si>
    <t>UA</t>
  </si>
  <si>
    <t>k</t>
  </si>
  <si>
    <t xml:space="preserve">T∞ </t>
  </si>
  <si>
    <t>Sum of errors</t>
  </si>
  <si>
    <t>Time</t>
  </si>
  <si>
    <t>T</t>
  </si>
  <si>
    <t>sum of square errors</t>
  </si>
  <si>
    <t>P</t>
  </si>
  <si>
    <t>τ</t>
  </si>
  <si>
    <t>T∞</t>
  </si>
  <si>
    <t>τ Exp</t>
  </si>
  <si>
    <t>τ model</t>
  </si>
  <si>
    <t>T model</t>
  </si>
  <si>
    <t>W</t>
  </si>
  <si>
    <t>Rep1</t>
  </si>
  <si>
    <t>Rep2</t>
  </si>
  <si>
    <t>Avg.</t>
  </si>
  <si>
    <t>T∞ oC</t>
  </si>
  <si>
    <t>Sample calculations for overall heat transfer coefficient (UA) for HTB at 2 L and 3 L volume</t>
  </si>
  <si>
    <t>Temperature</t>
  </si>
  <si>
    <r>
      <t>T</t>
    </r>
    <r>
      <rPr>
        <sz val="11"/>
        <color theme="1"/>
        <rFont val="Calibri"/>
        <family val="2"/>
      </rPr>
      <t>∞</t>
    </r>
  </si>
  <si>
    <t>Touexp</t>
  </si>
  <si>
    <t>Toumodel</t>
  </si>
  <si>
    <t>Tmodel</t>
  </si>
  <si>
    <t>Sample calculation for power utilisation in HTB at 2 L and 3 L with 200 rpm</t>
  </si>
  <si>
    <t>Power table for all the volumes and at all the impeller speeds</t>
  </si>
  <si>
    <t>Power (W)</t>
  </si>
  <si>
    <t>AVG</t>
  </si>
  <si>
    <t>Std. Dev</t>
  </si>
  <si>
    <t>P/V</t>
  </si>
  <si>
    <t>Rep 1</t>
  </si>
  <si>
    <t>AVG Power</t>
  </si>
  <si>
    <t>P (W)</t>
  </si>
  <si>
    <r>
      <t>Volume (m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)</t>
    </r>
  </si>
  <si>
    <t>Mixing time data</t>
  </si>
  <si>
    <t>Std</t>
  </si>
  <si>
    <t>Impeller speed</t>
  </si>
  <si>
    <t>Power</t>
  </si>
  <si>
    <t>Volume(m^3)</t>
  </si>
  <si>
    <t>Std. dev</t>
  </si>
  <si>
    <t>Power (P/V)</t>
  </si>
  <si>
    <t>Not done</t>
  </si>
  <si>
    <t>Kla (h^-1)</t>
  </si>
  <si>
    <t>Air flow rates (LPM)</t>
  </si>
  <si>
    <t>0.2 LPM</t>
  </si>
  <si>
    <t>0.3 LPM</t>
  </si>
  <si>
    <t>0.4 LPM</t>
  </si>
  <si>
    <t>0.5 LPM</t>
  </si>
  <si>
    <t>Figure 4-25</t>
  </si>
  <si>
    <t>1 L (MT)</t>
  </si>
  <si>
    <t>2 L (MT)</t>
  </si>
  <si>
    <t>3 L (MT)</t>
  </si>
  <si>
    <t>4L (MT)</t>
  </si>
  <si>
    <t>Figure 4-27  Mass transfer efficiency Vs power input at (a) 42 % and (b) 79 % impeller immersion</t>
  </si>
  <si>
    <t>Figure 4-26</t>
  </si>
  <si>
    <t>Sample example for the determination of mass transfer coefficient (Kla) for 2 L (42 % impeller imersion).</t>
  </si>
  <si>
    <t>kLa</t>
  </si>
  <si>
    <t>LPM</t>
  </si>
  <si>
    <t>rpm</t>
  </si>
  <si>
    <r>
      <t>h</t>
    </r>
    <r>
      <rPr>
        <vertAlign val="superscript"/>
        <sz val="9"/>
        <color theme="1"/>
        <rFont val="Arial"/>
        <family val="2"/>
      </rPr>
      <t>-1</t>
    </r>
  </si>
  <si>
    <t>m/s</t>
  </si>
  <si>
    <t>rps</t>
  </si>
  <si>
    <t>Time (min)</t>
  </si>
  <si>
    <t>O2 (%sat) 1</t>
  </si>
  <si>
    <t>O2 (%sat) 2</t>
  </si>
  <si>
    <t>O2(%sat) mean</t>
  </si>
  <si>
    <t>C (mol/m3)</t>
  </si>
  <si>
    <t>Csat - C</t>
  </si>
  <si>
    <t>LN(Cs-Co/Cs-C)</t>
  </si>
  <si>
    <t>Aeration tube calculations</t>
  </si>
  <si>
    <t>di</t>
  </si>
  <si>
    <t>Tube area</t>
  </si>
  <si>
    <r>
      <t>m</t>
    </r>
    <r>
      <rPr>
        <vertAlign val="superscript"/>
        <sz val="9"/>
        <color theme="1"/>
        <rFont val="Arial"/>
        <family val="2"/>
      </rPr>
      <t>2</t>
    </r>
  </si>
  <si>
    <t>Gass flow rate (LPM)</t>
  </si>
  <si>
    <t>Impeller speed (rpm)</t>
  </si>
  <si>
    <r>
      <t>mol m</t>
    </r>
    <r>
      <rPr>
        <vertAlign val="superscript"/>
        <sz val="9"/>
        <color theme="1"/>
        <rFont val="Arial"/>
        <family val="2"/>
      </rPr>
      <t>-3</t>
    </r>
  </si>
  <si>
    <r>
      <t>DO</t>
    </r>
    <r>
      <rPr>
        <vertAlign val="sub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recording (min/reading)</t>
    </r>
  </si>
  <si>
    <t>K1</t>
  </si>
  <si>
    <t>K2</t>
  </si>
  <si>
    <t>Cs - C</t>
  </si>
  <si>
    <t>Cs-Co</t>
  </si>
  <si>
    <t>dkLa/dC</t>
  </si>
  <si>
    <t>dkLa/dC*</t>
  </si>
  <si>
    <t>dkLa/dt</t>
  </si>
  <si>
    <t>dkLa/dCo</t>
  </si>
  <si>
    <t>σkLA</t>
  </si>
  <si>
    <r>
      <t>C (mol m</t>
    </r>
    <r>
      <rPr>
        <b/>
        <vertAlign val="superscript"/>
        <sz val="9"/>
        <color theme="1"/>
        <rFont val="Arial"/>
        <family val="2"/>
      </rPr>
      <t>-3</t>
    </r>
    <r>
      <rPr>
        <b/>
        <sz val="9"/>
        <color theme="1"/>
        <rFont val="Arial"/>
        <family val="2"/>
      </rPr>
      <t>)</t>
    </r>
  </si>
  <si>
    <t>Standard uncertainty</t>
  </si>
  <si>
    <t>Differentials</t>
  </si>
  <si>
    <t>σT</t>
  </si>
  <si>
    <t>dkH/dT</t>
  </si>
  <si>
    <t>σkH</t>
  </si>
  <si>
    <t>dC*/dkH</t>
  </si>
  <si>
    <t>σC</t>
  </si>
  <si>
    <t>σt</t>
  </si>
  <si>
    <t>s</t>
  </si>
  <si>
    <t>σC*</t>
  </si>
  <si>
    <t>σCo</t>
  </si>
  <si>
    <t>Steady state variables</t>
  </si>
  <si>
    <t>C*</t>
  </si>
  <si>
    <t>Uncertainty associated with kLa measurements (σkLa)</t>
  </si>
  <si>
    <t>Square</t>
  </si>
  <si>
    <t>Resonse time of DO probe</t>
  </si>
  <si>
    <t>Cm</t>
  </si>
  <si>
    <t>Error C^2</t>
  </si>
  <si>
    <t>Slope</t>
  </si>
  <si>
    <t>response time</t>
  </si>
  <si>
    <t>2L, 0.2L/min, 100rpm, Run1</t>
  </si>
  <si>
    <t>Gas Flow Rate</t>
  </si>
  <si>
    <t>O2(%sat)</t>
  </si>
  <si>
    <t>kLa by model to include oxygen probe time constant</t>
  </si>
  <si>
    <t>2L</t>
  </si>
  <si>
    <t>3L</t>
  </si>
  <si>
    <t>Air flow rate [LPM]</t>
  </si>
  <si>
    <t>Impeller Speed (rpm)</t>
  </si>
  <si>
    <t>Table 3‑3 Experimental matrices for oxygen mass transfer</t>
  </si>
  <si>
    <t>Experimental results</t>
  </si>
  <si>
    <r>
      <t>min</t>
    </r>
    <r>
      <rPr>
        <b/>
        <vertAlign val="superscript"/>
        <sz val="9"/>
        <color theme="1"/>
        <rFont val="Arial"/>
        <family val="2"/>
      </rPr>
      <t>-1</t>
    </r>
  </si>
  <si>
    <r>
      <t>h</t>
    </r>
    <r>
      <rPr>
        <b/>
        <vertAlign val="superscript"/>
        <sz val="9"/>
        <color theme="1"/>
        <rFont val="Arial"/>
        <family val="2"/>
      </rPr>
      <t>-1</t>
    </r>
  </si>
  <si>
    <t>kLa (Exp)</t>
  </si>
  <si>
    <t>KLa (Model)</t>
  </si>
  <si>
    <t>Superficial Gas velocity</t>
  </si>
  <si>
    <t>LN(Cs-Co/  Cs-C)</t>
  </si>
  <si>
    <r>
      <t>molPa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m</t>
    </r>
    <r>
      <rPr>
        <vertAlign val="superscript"/>
        <sz val="9"/>
        <color theme="1"/>
        <rFont val="Arial"/>
        <family val="2"/>
      </rPr>
      <t>-3</t>
    </r>
  </si>
  <si>
    <t>2L, 0.2L/min, 100rpm, Run2</t>
  </si>
  <si>
    <t>Estimation of KLa from DO-time curve</t>
  </si>
  <si>
    <t>Oxygen solubility at room temperature</t>
  </si>
  <si>
    <r>
      <t>Cs or C*O</t>
    </r>
    <r>
      <rPr>
        <vertAlign val="subscript"/>
        <sz val="9"/>
        <color theme="1"/>
        <rFont val="Arial"/>
        <family val="2"/>
      </rPr>
      <t>2</t>
    </r>
  </si>
  <si>
    <t>Modelling of oxygen mass transfer (Buckingham Pi method)</t>
  </si>
  <si>
    <t xml:space="preserve">Oxygen mass transfer is a function of </t>
  </si>
  <si>
    <t>Parameter</t>
  </si>
  <si>
    <t>Fundamental dimensions</t>
  </si>
  <si>
    <t>Liquid height covering impeller</t>
  </si>
  <si>
    <t>Impeller diameter</t>
  </si>
  <si>
    <t>Impeller rotational speed</t>
  </si>
  <si>
    <t>Power dissipated</t>
  </si>
  <si>
    <t>Fluid density</t>
  </si>
  <si>
    <t>Fluid viscosity</t>
  </si>
  <si>
    <t>Superficial gas velocity</t>
  </si>
  <si>
    <t>Volumetric bulk liquid pumping rate</t>
  </si>
  <si>
    <t>Additional parameters:</t>
  </si>
  <si>
    <t>Vessel internal diameter</t>
  </si>
  <si>
    <t>Vessel length</t>
  </si>
  <si>
    <t>Impeller pitch</t>
  </si>
  <si>
    <t>δ</t>
  </si>
  <si>
    <t>Diffusivity of oxygen in liquid</t>
  </si>
  <si>
    <r>
      <t>T</t>
    </r>
    <r>
      <rPr>
        <vertAlign val="superscript"/>
        <sz val="9"/>
        <color theme="1"/>
        <rFont val="Arial"/>
        <family val="2"/>
      </rPr>
      <t>-1</t>
    </r>
  </si>
  <si>
    <r>
      <t>ML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T</t>
    </r>
    <r>
      <rPr>
        <vertAlign val="superscript"/>
        <sz val="9"/>
        <color theme="1"/>
        <rFont val="Arial"/>
        <family val="2"/>
      </rPr>
      <t>-3</t>
    </r>
  </si>
  <si>
    <r>
      <t>ML</t>
    </r>
    <r>
      <rPr>
        <vertAlign val="superscript"/>
        <sz val="9"/>
        <color theme="1"/>
        <rFont val="Arial"/>
        <family val="2"/>
      </rPr>
      <t>-3</t>
    </r>
  </si>
  <si>
    <r>
      <t>ML</t>
    </r>
    <r>
      <rPr>
        <vertAlign val="superscript"/>
        <sz val="9"/>
        <color theme="1"/>
        <rFont val="Arial"/>
        <family val="2"/>
      </rPr>
      <t>-1</t>
    </r>
    <r>
      <rPr>
        <sz val="9"/>
        <color theme="1"/>
        <rFont val="Arial"/>
        <family val="2"/>
      </rPr>
      <t>T</t>
    </r>
    <r>
      <rPr>
        <vertAlign val="superscript"/>
        <sz val="9"/>
        <color theme="1"/>
        <rFont val="Arial"/>
        <family val="2"/>
      </rPr>
      <t>-1</t>
    </r>
  </si>
  <si>
    <r>
      <t>L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T</t>
    </r>
    <r>
      <rPr>
        <vertAlign val="superscript"/>
        <sz val="9"/>
        <color theme="1"/>
        <rFont val="Arial"/>
        <family val="2"/>
      </rPr>
      <t>-1</t>
    </r>
  </si>
  <si>
    <r>
      <t>L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T</t>
    </r>
    <r>
      <rPr>
        <vertAlign val="superscript"/>
        <sz val="9"/>
        <color theme="1"/>
        <rFont val="Arial"/>
        <family val="2"/>
      </rPr>
      <t>-1</t>
    </r>
  </si>
  <si>
    <r>
      <t xml:space="preserve">It is assumed that the parameters </t>
    </r>
    <r>
      <rPr>
        <sz val="9"/>
        <color theme="1"/>
        <rFont val="Calibri"/>
        <family val="2"/>
      </rPr>
      <t>δ</t>
    </r>
    <r>
      <rPr>
        <sz val="9"/>
        <color theme="1"/>
        <rFont val="Arial"/>
        <family val="2"/>
      </rPr>
      <t>, D,L and S</t>
    </r>
    <r>
      <rPr>
        <vertAlign val="sub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are fixed, and so are included in a pre-exponential constant coefficient K</t>
    </r>
    <r>
      <rPr>
        <vertAlign val="subscript"/>
        <sz val="9"/>
        <color theme="1"/>
        <rFont val="Arial"/>
        <family val="2"/>
      </rPr>
      <t>1</t>
    </r>
  </si>
  <si>
    <t>Dimensional matrix w.r.t parameters</t>
  </si>
  <si>
    <t>Applying Buckingham theorem for number if independent dimensionless groups:</t>
  </si>
  <si>
    <t xml:space="preserve">therefore 5 core variables were selected </t>
  </si>
  <si>
    <t>g = -1</t>
  </si>
  <si>
    <t>e - 3g + 2=0</t>
  </si>
  <si>
    <t>M</t>
  </si>
  <si>
    <t>g + 1=0</t>
  </si>
  <si>
    <t>e= -5</t>
  </si>
  <si>
    <t xml:space="preserve">f = -3 </t>
  </si>
  <si>
    <t>Hypothetical model based on Buckingham Pi</t>
  </si>
  <si>
    <t>To simplify the relation, exponent d, n and k was calculated as follows</t>
  </si>
  <si>
    <t>Data for calculating mixing time through conductivity and F (t) curve</t>
  </si>
  <si>
    <t>Mixing time through conductivity method and modelling</t>
  </si>
  <si>
    <t>659 ± 182</t>
  </si>
  <si>
    <t>Residual plots for all the mixing models with respect to impeller immersion and impeller speed</t>
  </si>
  <si>
    <t>Table 4-10</t>
  </si>
  <si>
    <t>Table 4-11</t>
  </si>
  <si>
    <r>
      <t xml:space="preserve">       Experimentally calculated values of    (h</t>
    </r>
    <r>
      <rPr>
        <u/>
        <vertAlign val="superscript"/>
        <sz val="10"/>
        <rFont val="Arial"/>
        <family val="2"/>
      </rPr>
      <t>-1</t>
    </r>
    <r>
      <rPr>
        <u/>
        <sz val="10"/>
        <rFont val="Arial"/>
        <family val="2"/>
      </rPr>
      <t>) for 2 L volume (42 % impeller immersion)</t>
    </r>
  </si>
  <si>
    <r>
      <t xml:space="preserve">        Experimentally calculated values of    (h</t>
    </r>
    <r>
      <rPr>
        <u/>
        <vertAlign val="superscript"/>
        <sz val="10"/>
        <rFont val="Arial"/>
        <family val="2"/>
      </rPr>
      <t>-1</t>
    </r>
    <r>
      <rPr>
        <u/>
        <sz val="10"/>
        <rFont val="Arial"/>
        <family val="2"/>
      </rPr>
      <t>) for 3 L volume (79 % impeller immersion)</t>
    </r>
  </si>
  <si>
    <t>Figure 4-19</t>
  </si>
  <si>
    <t>Figure 4-20</t>
  </si>
  <si>
    <t>Figure 4-21</t>
  </si>
  <si>
    <t>Figure 4-22</t>
  </si>
  <si>
    <t>Figure 4-23</t>
  </si>
  <si>
    <t>Figure 4-24</t>
  </si>
  <si>
    <t xml:space="preserve">Experimental and predicted values of minimum suspension speed with respect to impeller immersion. </t>
  </si>
  <si>
    <t>Mixing time Vs power consumption with different impeller immersion ratios at different impeller speeds</t>
  </si>
  <si>
    <t>Figure 4-27</t>
  </si>
  <si>
    <t>Mass transfer efficiency Vs power input at (a) 42 % and (b) 79 % impeller immersion</t>
  </si>
  <si>
    <t>Power consumption profile of HTB at different volumes at various agitation speeds</t>
  </si>
  <si>
    <t>Residual plot of modified Zwietering equation with respect to impeller immersion</t>
  </si>
  <si>
    <t xml:space="preserve">Relationship between Zwietering's S coefficient and impeller immersion. </t>
  </si>
  <si>
    <t>S</t>
  </si>
  <si>
    <r>
      <t>J kg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 xml:space="preserve"> K</t>
    </r>
    <r>
      <rPr>
        <vertAlign val="superscript"/>
        <sz val="9"/>
        <rFont val="Arial"/>
        <family val="2"/>
      </rPr>
      <t>-1</t>
    </r>
  </si>
  <si>
    <r>
      <t>W K</t>
    </r>
    <r>
      <rPr>
        <vertAlign val="superscript"/>
        <sz val="9"/>
        <rFont val="Calibri"/>
        <family val="2"/>
        <scheme val="minor"/>
      </rPr>
      <t>-1</t>
    </r>
  </si>
  <si>
    <r>
      <t>T∞ (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</si>
  <si>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r>
      <t>T   (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C)</t>
    </r>
  </si>
  <si>
    <t>Sample calculations for the determination of mass transfer coefficient (KLa) for 2 L (42 % impeller imersion)at 100 rpm with 0.2 LPM air flow rate.</t>
  </si>
  <si>
    <t>The values of the exponents were determined by Scilab least square regression. The Scilab code has given separately with the excel file with the relevent data</t>
  </si>
  <si>
    <t>Exponents of d'</t>
  </si>
  <si>
    <t>Exponents of n</t>
  </si>
  <si>
    <t>Pre-exponential constant K1</t>
  </si>
  <si>
    <t>Minimum speed in RPM (model)</t>
  </si>
  <si>
    <t>//NL-regresssion for kLa</t>
  </si>
  <si>
    <r>
      <t>clear</t>
    </r>
    <r>
      <rPr>
        <sz val="9"/>
        <color rgb="FF000000"/>
        <rFont val="Monospaced"/>
      </rPr>
      <t>;</t>
    </r>
    <r>
      <rPr>
        <sz val="9"/>
        <color rgb="FF32B9B9"/>
        <rFont val="Monospaced"/>
      </rPr>
      <t>clc</t>
    </r>
    <r>
      <rPr>
        <sz val="9"/>
        <color rgb="FF000000"/>
        <rFont val="Monospaced"/>
      </rPr>
      <t>;</t>
    </r>
    <r>
      <rPr>
        <sz val="9"/>
        <color rgb="FF32B9B9"/>
        <rFont val="Monospaced"/>
      </rPr>
      <t>format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</si>
  <si>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//Dimensions, physical data</t>
  </si>
  <si>
    <r>
      <t>Drx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0.109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 reactor internal diameter in m</t>
    </r>
  </si>
  <si>
    <r>
      <t>L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0.500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//reactor length in m</t>
    </r>
  </si>
  <si>
    <r>
      <t>d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0.050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//impeller diameter in m</t>
    </r>
  </si>
  <si>
    <r>
      <t>rho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993.33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//density of water in g/cm3 at 37 deg C, 1 atm, CRC Handbook 2015</t>
    </r>
  </si>
  <si>
    <r>
      <t>mu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0.0006915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//viscosity of water in Pa.s at 37 deg C, 1 atm, CRC Handbook 2015</t>
    </r>
  </si>
  <si>
    <r>
      <t>Nq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0.19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//Tsui &amp; Hu 2008</t>
    </r>
  </si>
  <si>
    <r>
      <t>NpRe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114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//Tsui &amp; Hu 2008</t>
    </r>
  </si>
  <si>
    <r>
      <t>k1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NpRe</t>
    </r>
    <r>
      <rPr>
        <sz val="9"/>
        <color rgb="FF5C5C5C"/>
        <rFont val="Monospaced"/>
      </rPr>
      <t>/</t>
    </r>
    <r>
      <rPr>
        <sz val="9"/>
        <color rgb="FF000000"/>
        <rFont val="Monospaced"/>
      </rPr>
      <t>Nq;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this value is a constant for higher Re numbers**</t>
    </r>
  </si>
  <si>
    <r>
      <t>di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0.0032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//internal diameter of air tube in m</t>
    </r>
  </si>
  <si>
    <r>
      <t>d_he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0.022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outer diameter of heating element</t>
    </r>
  </si>
  <si>
    <r>
      <t>L_he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0.292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length of heating element</t>
    </r>
  </si>
  <si>
    <t>//The function and loop below calculate the impeller coverage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</si>
  <si>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VL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area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hL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D</t>
    </r>
    <r>
      <rPr>
        <sz val="9"/>
        <color rgb="FF4A55DB"/>
        <rFont val="Monospaced"/>
      </rPr>
      <t>)</t>
    </r>
  </si>
  <si>
    <r>
      <t xml:space="preserve">    </t>
    </r>
    <r>
      <rPr>
        <sz val="9"/>
        <color rgb="FF000000"/>
        <rFont val="Monospaced"/>
      </rPr>
      <t>r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D</t>
    </r>
    <r>
      <rPr>
        <sz val="9"/>
        <color rgb="FF5C5C5C"/>
        <rFont val="Monospaced"/>
      </rPr>
      <t>/</t>
    </r>
    <r>
      <rPr>
        <sz val="9"/>
        <color rgb="FFBC8F8F"/>
        <rFont val="Monospaced"/>
      </rPr>
      <t>2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</si>
  <si>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A020F0"/>
        <rFont val="Monospaced"/>
      </rPr>
      <t>if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hL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&lt;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r</t>
    </r>
    <r>
      <rPr>
        <sz val="9"/>
        <color theme="1"/>
        <rFont val="Monospaced"/>
      </rPr>
      <t xml:space="preserve"> </t>
    </r>
    <r>
      <rPr>
        <sz val="9"/>
        <color rgb="FFA020F0"/>
        <rFont val="Monospaced"/>
      </rPr>
      <t>then</t>
    </r>
  </si>
  <si>
    <r>
      <t xml:space="preserve">        </t>
    </r>
    <r>
      <rPr>
        <sz val="9"/>
        <color rgb="FF000000"/>
        <rFont val="Monospaced"/>
      </rPr>
      <t>t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2.</t>
    </r>
    <r>
      <rPr>
        <sz val="9"/>
        <color rgb="FF5C5C5C"/>
        <rFont val="Monospaced"/>
      </rPr>
      <t>*</t>
    </r>
    <r>
      <rPr>
        <sz val="9"/>
        <color rgb="FF32B9B9"/>
        <rFont val="Monospaced"/>
      </rPr>
      <t>acos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r</t>
    </r>
    <r>
      <rPr>
        <sz val="9"/>
        <color rgb="FF5C5C5C"/>
        <rFont val="Monospaced"/>
      </rPr>
      <t>-</t>
    </r>
    <r>
      <rPr>
        <b/>
        <sz val="9"/>
        <color rgb="FF834310"/>
        <rFont val="Monospaced"/>
      </rPr>
      <t>hL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r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</si>
  <si>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    </t>
    </r>
    <r>
      <rPr>
        <sz val="9"/>
        <color rgb="FF000000"/>
        <rFont val="Monospaced"/>
      </rPr>
      <t>AL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r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t</t>
    </r>
    <r>
      <rPr>
        <sz val="9"/>
        <color rgb="FF5C5C5C"/>
        <rFont val="Monospaced"/>
      </rPr>
      <t>-</t>
    </r>
    <r>
      <rPr>
        <sz val="9"/>
        <color rgb="FF32B9B9"/>
        <rFont val="Monospaced"/>
      </rPr>
      <t>sin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t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/</t>
    </r>
    <r>
      <rPr>
        <sz val="9"/>
        <color rgb="FFBC8F8F"/>
        <rFont val="Monospaced"/>
      </rPr>
      <t>2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</si>
  <si>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A020F0"/>
        <rFont val="Monospaced"/>
      </rPr>
      <t>else</t>
    </r>
  </si>
  <si>
    <r>
      <t xml:space="preserve">        </t>
    </r>
    <r>
      <rPr>
        <sz val="9"/>
        <color rgb="FF000000"/>
        <rFont val="Monospaced"/>
      </rPr>
      <t>t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2.</t>
    </r>
    <r>
      <rPr>
        <sz val="9"/>
        <color rgb="FF5C5C5C"/>
        <rFont val="Monospaced"/>
      </rPr>
      <t>*</t>
    </r>
    <r>
      <rPr>
        <sz val="9"/>
        <color rgb="FF32B9B9"/>
        <rFont val="Monospaced"/>
      </rPr>
      <t>acos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r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D</t>
    </r>
    <r>
      <rPr>
        <sz val="9"/>
        <color rgb="FF5C5C5C"/>
        <rFont val="Monospaced"/>
      </rPr>
      <t>-</t>
    </r>
    <r>
      <rPr>
        <b/>
        <sz val="9"/>
        <color rgb="FF834310"/>
        <rFont val="Monospaced"/>
      </rPr>
      <t>hL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r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</si>
  <si>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    </t>
    </r>
    <r>
      <rPr>
        <sz val="9"/>
        <color rgb="FF000000"/>
        <rFont val="Monospaced"/>
      </rPr>
      <t>AL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(</t>
    </r>
    <r>
      <rPr>
        <sz val="9"/>
        <color rgb="FFDA70D6"/>
        <rFont val="Monospaced"/>
      </rPr>
      <t>%pi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r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(((</t>
    </r>
    <r>
      <rPr>
        <sz val="9"/>
        <color rgb="FF000000"/>
        <rFont val="Monospaced"/>
      </rPr>
      <t>r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t</t>
    </r>
    <r>
      <rPr>
        <sz val="9"/>
        <color rgb="FF5C5C5C"/>
        <rFont val="Monospaced"/>
      </rPr>
      <t>-</t>
    </r>
    <r>
      <rPr>
        <sz val="9"/>
        <color rgb="FF32B9B9"/>
        <rFont val="Monospaced"/>
      </rPr>
      <t>sin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t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/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</si>
  <si>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A020F0"/>
        <rFont val="Monospaced"/>
      </rPr>
      <t>end</t>
    </r>
  </si>
  <si>
    <r>
      <t xml:space="preserve">    </t>
    </r>
    <r>
      <rPr>
        <b/>
        <sz val="9"/>
        <color rgb="FF834310"/>
        <rFont val="Monospaced"/>
      </rPr>
      <t>VL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AL</t>
    </r>
    <r>
      <rPr>
        <sz val="9"/>
        <color rgb="FF5C5C5C"/>
        <rFont val="Monospaced"/>
      </rPr>
      <t>.*</t>
    </r>
    <r>
      <rPr>
        <sz val="9"/>
        <color rgb="FF000000"/>
        <rFont val="Monospaced"/>
      </rPr>
      <t>L;</t>
    </r>
  </si>
  <si>
    <t>endfunction</t>
  </si>
  <si>
    <r>
      <t>Vhe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DA70D6"/>
        <rFont val="Monospaced"/>
      </rPr>
      <t>%pi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d_he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/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L_he;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heating element volume displaced</t>
    </r>
  </si>
  <si>
    <r>
      <t>hL</t>
    </r>
    <r>
      <rPr>
        <sz val="9"/>
        <color rgb="FF5C5C5C"/>
        <rFont val="Monospaced"/>
      </rPr>
      <t>=</t>
    </r>
    <r>
      <rPr>
        <sz val="9"/>
        <color rgb="FF32B9B9"/>
        <rFont val="Monospaced"/>
      </rPr>
      <t>linspace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0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0.109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500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all possible liquid heights</t>
    </r>
  </si>
  <si>
    <r>
      <t>VL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area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hL,Drx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all posssible liquid volumes\</t>
    </r>
  </si>
  <si>
    <t>//The loop below extracts liquid heights at integer volumes 1-4 L</t>
  </si>
  <si>
    <r>
      <t>Ve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BC8F8F"/>
        <rFont val="Monospaced"/>
      </rPr>
      <t>0.001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0.002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0.003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0.004</t>
    </r>
    <r>
      <rPr>
        <sz val="9"/>
        <color rgb="FF4A55DB"/>
        <rFont val="Monospaced"/>
      </rPr>
      <t>]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Vf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Ve</t>
    </r>
    <r>
      <rPr>
        <sz val="9"/>
        <color rgb="FF5C5C5C"/>
        <rFont val="Monospaced"/>
      </rPr>
      <t>+</t>
    </r>
    <r>
      <rPr>
        <sz val="9"/>
        <color rgb="FF000000"/>
        <rFont val="Monospaced"/>
      </rPr>
      <t>Vhe;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Vx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[]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H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[]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tol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5e-6</t>
    </r>
    <r>
      <rPr>
        <sz val="9"/>
        <color rgb="FF000000"/>
        <rFont val="Monospaced"/>
      </rPr>
      <t>;</t>
    </r>
  </si>
  <si>
    <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i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</t>
    </r>
  </si>
  <si>
    <r>
      <t xml:space="preserve">    </t>
    </r>
    <r>
      <rPr>
        <sz val="9"/>
        <color rgb="FFA020F0"/>
        <rFont val="Monospaced"/>
      </rP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VL</t>
    </r>
    <r>
      <rPr>
        <sz val="9"/>
        <color rgb="FF4A55DB"/>
        <rFont val="Monospaced"/>
      </rPr>
      <t>)</t>
    </r>
  </si>
  <si>
    <r>
      <t xml:space="preserve">        </t>
    </r>
    <r>
      <rPr>
        <sz val="9"/>
        <color rgb="FFA020F0"/>
        <rFont val="Monospaced"/>
      </rPr>
      <t>if</t>
    </r>
    <r>
      <rPr>
        <sz val="9"/>
        <color theme="1"/>
        <rFont val="Monospaced"/>
      </rPr>
      <t xml:space="preserve"> </t>
    </r>
    <r>
      <rPr>
        <sz val="9"/>
        <color rgb="FF32B9B9"/>
        <rFont val="Monospaced"/>
      </rPr>
      <t>abs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VL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-</t>
    </r>
    <r>
      <rPr>
        <sz val="9"/>
        <color rgb="FF000000"/>
        <rFont val="Monospaced"/>
      </rPr>
      <t>Vf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i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&lt;</t>
    </r>
    <r>
      <rPr>
        <sz val="9"/>
        <color rgb="FF000000"/>
        <rFont val="Monospaced"/>
      </rPr>
      <t>tol</t>
    </r>
    <r>
      <rPr>
        <sz val="9"/>
        <color theme="1"/>
        <rFont val="Monospaced"/>
      </rPr>
      <t xml:space="preserve"> </t>
    </r>
    <r>
      <rPr>
        <sz val="9"/>
        <color rgb="FFA020F0"/>
        <rFont val="Monospaced"/>
      </rPr>
      <t>then</t>
    </r>
  </si>
  <si>
    <r>
      <t xml:space="preserve">            </t>
    </r>
    <r>
      <rPr>
        <sz val="9"/>
        <color rgb="FF000000"/>
        <rFont val="Monospaced"/>
      </rPr>
      <t>Vx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Vx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VL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</si>
  <si>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 xml:space="preserve">            </t>
    </r>
    <r>
      <rPr>
        <sz val="9"/>
        <color rgb="FF000000"/>
        <rFont val="Monospaced"/>
      </rPr>
      <t>H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H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hL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</si>
  <si>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 xml:space="preserve">        </t>
    </r>
    <r>
      <rPr>
        <sz val="9"/>
        <color rgb="FFA020F0"/>
        <rFont val="Monospaced"/>
      </rPr>
      <t>end</t>
    </r>
  </si>
  <si>
    <t>end</t>
  </si>
  <si>
    <t>//The vector H now stores the liquid height in m, at Volumes of 1- 4 L</t>
  </si>
  <si>
    <r>
      <t>hLd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H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Drx</t>
    </r>
    <r>
      <rPr>
        <sz val="9"/>
        <color rgb="FF5C5C5C"/>
        <rFont val="Monospaced"/>
      </rPr>
      <t>-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/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 &lt;-- height of water covering the impeller</t>
    </r>
  </si>
  <si>
    <r>
      <t>hLd_D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hLd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d;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 &lt;-- Impeller immersion ratio</t>
    </r>
  </si>
  <si>
    <t>//Extract kLa data</t>
  </si>
  <si>
    <t>//Data = readxls('kLa_analysis.xls'); D=Data(2);//&lt;--kLa data</t>
  </si>
  <si>
    <r>
      <t>D</t>
    </r>
    <r>
      <rPr>
        <sz val="9"/>
        <color rgb="FF5C5C5C"/>
        <rFont val="Monospaced"/>
      </rPr>
      <t>=</t>
    </r>
    <r>
      <rPr>
        <sz val="9"/>
        <color rgb="FF32B9B9"/>
        <rFont val="Monospaced"/>
      </rPr>
      <t>csvRead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'C:\Users\SHRRAJ002\Desktop\Wesley_Andrew_data\Conductivity experiment\Data files\kLa_analysis.csv'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</si>
  <si>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hLdD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41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41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41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41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</si>
  <si>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//Generate dimensionless groups</t>
  </si>
  <si>
    <r>
      <t>NRe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rho</t>
    </r>
    <r>
      <rPr>
        <sz val="9"/>
        <color rgb="FF5C5C5C"/>
        <rFont val="Monospaced"/>
      </rPr>
      <t>.*</t>
    </r>
    <r>
      <rPr>
        <sz val="9"/>
        <color rgb="FF000000"/>
        <rFont val="Monospaced"/>
      </rPr>
      <t>N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d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mu;</t>
    </r>
  </si>
  <si>
    <r>
      <t>Nq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41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circulation flow number, estimated from mixing time</t>
    </r>
  </si>
  <si>
    <r>
      <t>Np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k1</t>
    </r>
    <r>
      <rPr>
        <sz val="9"/>
        <color rgb="FF5C5C5C"/>
        <rFont val="Monospaced"/>
      </rPr>
      <t>./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NRe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Nq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predicts power number</t>
    </r>
  </si>
  <si>
    <r>
      <t>NVs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Vs</t>
    </r>
    <r>
      <rPr>
        <sz val="9"/>
        <color rgb="FF5C5C5C"/>
        <rFont val="Monospaced"/>
      </rPr>
      <t>./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</t>
    </r>
    <r>
      <rPr>
        <sz val="9"/>
        <color rgb="FF5C5C5C"/>
        <rFont val="Monospaced"/>
      </rPr>
      <t>.*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</si>
  <si>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M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hLdD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NRe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Nq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Np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NVs</t>
    </r>
    <r>
      <rPr>
        <sz val="9"/>
        <color rgb="FF4A55DB"/>
        <rFont val="Monospaced"/>
      </rPr>
      <t>]</t>
    </r>
    <r>
      <rPr>
        <sz val="9"/>
        <color rgb="FF000000"/>
        <rFont val="Monospaced"/>
      </rPr>
      <t>;</t>
    </r>
  </si>
  <si>
    <t>//Call leastsq function</t>
  </si>
  <si>
    <t>//Model form based on dimensional analysis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</si>
  <si>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kla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)</t>
    </r>
  </si>
  <si>
    <r>
      <t xml:space="preserve">    </t>
    </r>
    <r>
      <rPr>
        <b/>
        <sz val="9"/>
        <color rgb="FF834310"/>
        <rFont val="Monospaced"/>
      </rPr>
      <t>k</t>
    </r>
    <r>
      <rPr>
        <sz val="9"/>
        <color rgb="FF5C5C5C"/>
        <rFont val="Monospaced"/>
      </rPr>
      <t>=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((</t>
    </r>
    <r>
      <rPr>
        <b/>
        <sz val="9"/>
        <color rgb="FF83431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FFAA00"/>
        <rFont val="Monospaced"/>
      </rPr>
      <t>: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.^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FFAA00"/>
        <rFont val="Monospaced"/>
      </rPr>
      <t>: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FFAA00"/>
        <rFont val="Monospaced"/>
      </rPr>
      <t>: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FFAA00"/>
        <rFont val="Monospaced"/>
      </rPr>
      <t>: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FFAA00"/>
        <rFont val="Monospaced"/>
      </rPr>
      <t>: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)))</t>
    </r>
    <r>
      <rPr>
        <sz val="9"/>
        <color rgb="FF000000"/>
        <rFont val="Monospaced"/>
      </rPr>
      <t>;</t>
    </r>
  </si>
  <si>
    <t>//Define functions to minimize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</si>
  <si>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y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func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I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M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kLa</t>
    </r>
    <r>
      <rPr>
        <sz val="9"/>
        <color rgb="FF4A55DB"/>
        <rFont val="Monospaced"/>
      </rPr>
      <t>)</t>
    </r>
  </si>
  <si>
    <r>
      <t xml:space="preserve">    </t>
    </r>
    <r>
      <rPr>
        <b/>
        <sz val="9"/>
        <color rgb="FF834310"/>
        <rFont val="Monospaced"/>
      </rPr>
      <t>y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kla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M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I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-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kLa</t>
    </r>
    <r>
      <rPr>
        <sz val="9"/>
        <color rgb="FF000000"/>
        <rFont val="Monospaced"/>
      </rPr>
      <t>;</t>
    </r>
  </si>
  <si>
    <r>
      <t>I0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BC8F8F"/>
        <rFont val="Monospaced"/>
      </rPr>
      <t>0.5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0.1</t>
    </r>
    <r>
      <rPr>
        <sz val="9"/>
        <color rgb="FF4A55DB"/>
        <rFont val="Monospaced"/>
      </rPr>
      <t>]</t>
    </r>
    <r>
      <rPr>
        <sz val="9"/>
        <color rgb="FF5C5C5C"/>
        <rFont val="Monospaced"/>
      </rPr>
      <t>'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M2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20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:$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kLa2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M3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40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:$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kLa3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</si>
  <si>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[</t>
    </r>
    <r>
      <rPr>
        <sz val="9"/>
        <color rgb="FF000000"/>
        <rFont val="Monospaced"/>
      </rPr>
      <t>K1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K2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K3</t>
    </r>
    <r>
      <rPr>
        <sz val="9"/>
        <color rgb="FF4A55DB"/>
        <rFont val="Monospaced"/>
      </rPr>
      <t>]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u/>
        <sz val="9"/>
        <color rgb="FFAE5CB0"/>
        <rFont val="Monospaced"/>
      </rPr>
      <t>leastsq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list</t>
    </r>
    <r>
      <rPr>
        <sz val="9"/>
        <color rgb="FF4A55DB"/>
        <rFont val="Monospaced"/>
      </rPr>
      <t>(</t>
    </r>
    <r>
      <rPr>
        <u/>
        <sz val="9"/>
        <color rgb="FF000000"/>
        <rFont val="Monospaced"/>
      </rPr>
      <t>func</t>
    </r>
    <r>
      <rPr>
        <sz val="9"/>
        <color rgb="FF000000"/>
        <rFont val="Monospaced"/>
      </rPr>
      <t>,M,kLa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,I0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</si>
  <si>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[</t>
    </r>
    <r>
      <rPr>
        <sz val="9"/>
        <color rgb="FF000000"/>
        <rFont val="Monospaced"/>
      </rPr>
      <t>K2_1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K2_2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K2_3</t>
    </r>
    <r>
      <rPr>
        <sz val="9"/>
        <color rgb="FF4A55DB"/>
        <rFont val="Monospaced"/>
      </rPr>
      <t>]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u/>
        <sz val="9"/>
        <color rgb="FFAE5CB0"/>
        <rFont val="Monospaced"/>
      </rPr>
      <t>leastsq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list</t>
    </r>
    <r>
      <rPr>
        <sz val="9"/>
        <color rgb="FF4A55DB"/>
        <rFont val="Monospaced"/>
      </rPr>
      <t>(</t>
    </r>
    <r>
      <rPr>
        <u/>
        <sz val="9"/>
        <color rgb="FF000000"/>
        <rFont val="Monospaced"/>
      </rPr>
      <t>func</t>
    </r>
    <r>
      <rPr>
        <sz val="9"/>
        <color rgb="FF000000"/>
        <rFont val="Monospaced"/>
      </rPr>
      <t>,M2,kLa2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,I0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</si>
  <si>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[</t>
    </r>
    <r>
      <rPr>
        <sz val="9"/>
        <color rgb="FF000000"/>
        <rFont val="Monospaced"/>
      </rPr>
      <t>K3_1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K3_2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K3_3</t>
    </r>
    <r>
      <rPr>
        <sz val="9"/>
        <color rgb="FF4A55DB"/>
        <rFont val="Monospaced"/>
      </rPr>
      <t>]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u/>
        <sz val="9"/>
        <color rgb="FFAE5CB0"/>
        <rFont val="Monospaced"/>
      </rPr>
      <t>leastsq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list</t>
    </r>
    <r>
      <rPr>
        <sz val="9"/>
        <color rgb="FF4A55DB"/>
        <rFont val="Monospaced"/>
      </rPr>
      <t>(</t>
    </r>
    <r>
      <rPr>
        <u/>
        <sz val="9"/>
        <color rgb="FF000000"/>
        <rFont val="Monospaced"/>
      </rPr>
      <t>func</t>
    </r>
    <r>
      <rPr>
        <sz val="9"/>
        <color rgb="FF000000"/>
        <rFont val="Monospaced"/>
      </rPr>
      <t>,M3,kLa3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,I0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</si>
  <si>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//Calculate the single variables exponents e.g. d, n, Q etc.</t>
  </si>
  <si>
    <r>
      <t>dd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5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3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</si>
  <si>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nn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3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</si>
  <si>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rr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5C5C5C"/>
        <rFont val="Monospaced"/>
      </rPr>
      <t>-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*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</si>
  <si>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KK1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mu</t>
    </r>
    <r>
      <rPr>
        <sz val="9"/>
        <color rgb="FF5C5C5C"/>
        <rFont val="Monospaced"/>
      </rPr>
      <t>^-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rho</t>
    </r>
    <r>
      <rPr>
        <sz val="9"/>
        <color rgb="FF5C5C5C"/>
        <rFont val="Monospaced"/>
      </rPr>
      <t>^</t>
    </r>
    <r>
      <rPr>
        <sz val="9"/>
        <color rgb="FF000000"/>
        <rFont val="Monospaced"/>
      </rPr>
      <t>rr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</si>
  <si>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Tm2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BC8F8F"/>
        <rFont val="Monospaced"/>
      </rPr>
      <t>72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41.333333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27.666667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20.666667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20.333333</t>
    </r>
    <r>
      <rPr>
        <sz val="9"/>
        <color rgb="FF4A55DB"/>
        <rFont val="Monospaced"/>
      </rPr>
      <t>]</t>
    </r>
    <r>
      <rPr>
        <sz val="9"/>
        <color rgb="FF5C5C5C"/>
        <rFont val="Monospaced"/>
      </rPr>
      <t>'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experimentally recorded mixing times at 2L</t>
    </r>
  </si>
  <si>
    <r>
      <t>Tm3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BC8F8F"/>
        <rFont val="Monospaced"/>
      </rPr>
      <t>70.666667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24.666667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19.666667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17.666667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16.333333</t>
    </r>
    <r>
      <rPr>
        <sz val="9"/>
        <color rgb="FF4A55DB"/>
        <rFont val="Monospaced"/>
      </rPr>
      <t>]</t>
    </r>
    <r>
      <rPr>
        <sz val="9"/>
        <color rgb="FF5C5C5C"/>
        <rFont val="Monospaced"/>
      </rPr>
      <t>'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experimentally recorded mixing times at 3L</t>
    </r>
  </si>
  <si>
    <r>
      <t>Tm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Tm2;Tm2;Tm2;Tm2;Tm3;Tm3;Tm3;Tm3</t>
    </r>
    <r>
      <rPr>
        <sz val="9"/>
        <color rgb="FF4A55DB"/>
        <rFont val="Monospaced"/>
      </rPr>
      <t>]</t>
    </r>
    <r>
      <rPr>
        <sz val="9"/>
        <color rgb="FF000000"/>
        <rFont val="Monospaced"/>
      </rPr>
      <t>;</t>
    </r>
  </si>
  <si>
    <t>//Models to use for predicting kLa</t>
  </si>
  <si>
    <t>//Single model 2L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</si>
  <si>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kLa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model2L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</si>
  <si>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000000"/>
        <rFont val="Monospaced"/>
      </rPr>
      <t>NRe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rho</t>
    </r>
    <r>
      <rPr>
        <sz val="9"/>
        <color rgb="FF5C5C5C"/>
        <rFont val="Monospaced"/>
      </rPr>
      <t>.*</t>
    </r>
    <r>
      <rPr>
        <b/>
        <sz val="9"/>
        <color rgb="FF834310"/>
        <rFont val="Monospaced"/>
      </rPr>
      <t>n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d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mu;</t>
    </r>
  </si>
  <si>
    <r>
      <t xml:space="preserve">    </t>
    </r>
    <r>
      <rPr>
        <i/>
        <sz val="9"/>
        <color rgb="FF64AE64"/>
        <rFont val="Monospaced"/>
      </rPr>
      <t>//Tm=109.6.*(n.^(-0.834)); //&lt;-- model for mixing time</t>
    </r>
  </si>
  <si>
    <r>
      <t xml:space="preserve">    </t>
    </r>
    <r>
      <rPr>
        <sz val="9"/>
        <color rgb="FF000000"/>
        <rFont val="Monospaced"/>
      </rPr>
      <t>Nq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DA70D6"/>
        <rFont val="Monospaced"/>
      </rPr>
      <t>%pi</t>
    </r>
    <r>
      <rPr>
        <sz val="9"/>
        <color rgb="FF5C5C5C"/>
        <rFont val="Monospaced"/>
      </rPr>
      <t>./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5C5C5C"/>
        <rFont val="Monospaced"/>
      </rPr>
      <t>.*</t>
    </r>
    <r>
      <rPr>
        <sz val="9"/>
        <color rgb="FF000000"/>
        <rFont val="Monospaced"/>
      </rPr>
      <t>Tm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L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Drx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Drx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</si>
  <si>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000000"/>
        <rFont val="Monospaced"/>
      </rPr>
      <t>Np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600.</t>
    </r>
    <r>
      <rPr>
        <sz val="9"/>
        <color rgb="FF5C5C5C"/>
        <rFont val="Monospaced"/>
      </rPr>
      <t>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Nq</t>
    </r>
    <r>
      <rPr>
        <sz val="9"/>
        <color rgb="FF5C5C5C"/>
        <rFont val="Monospaced"/>
      </rPr>
      <t>./</t>
    </r>
    <r>
      <rPr>
        <sz val="9"/>
        <color rgb="FF000000"/>
        <rFont val="Monospaced"/>
      </rPr>
      <t>NRe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</si>
  <si>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sz val="9"/>
        <color rgb="FF000000"/>
        <rFont val="Monospaced"/>
      </rPr>
      <t>NVs</t>
    </r>
    <r>
      <rPr>
        <sz val="9"/>
        <color rgb="FF5C5C5C"/>
        <rFont val="Monospaced"/>
      </rPr>
      <t>=</t>
    </r>
    <r>
      <rPr>
        <b/>
        <sz val="9"/>
        <color rgb="FF834310"/>
        <rFont val="Monospaced"/>
      </rPr>
      <t>Vs</t>
    </r>
    <r>
      <rPr>
        <sz val="9"/>
        <color rgb="FF5C5C5C"/>
        <rFont val="Monospaced"/>
      </rPr>
      <t>./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5C5C5C"/>
        <rFont val="Monospaced"/>
      </rPr>
      <t>.*</t>
    </r>
    <r>
      <rPr>
        <sz val="9"/>
        <color rgb="FF000000"/>
        <rFont val="Monospaced"/>
      </rPr>
      <t>d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</si>
  <si>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b/>
        <sz val="9"/>
        <color rgb="FF834310"/>
        <rFont val="Monospaced"/>
      </rPr>
      <t>kLa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hLd_D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NRe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Nq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Np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NVs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</si>
  <si>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t>//Different models 2L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</si>
  <si>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kLa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model2L_comb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</si>
  <si>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b/>
        <sz val="9"/>
        <color rgb="FF834310"/>
        <rFont val="Monospaced"/>
      </rPr>
      <t>kLa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hLd_D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NRe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Nq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Np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.*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NVs</t>
    </r>
    <r>
      <rPr>
        <sz val="9"/>
        <color rgb="FF5C5C5C"/>
        <rFont val="Monospaced"/>
      </rPr>
      <t>.^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</si>
  <si>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t>//Single model 3L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</si>
  <si>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kla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model3L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</si>
  <si>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i/>
        <sz val="9"/>
        <color rgb="FF64AE64"/>
        <rFont val="Monospaced"/>
      </rPr>
      <t>//Tm=93.77.*(n.^(-0.899)); //&lt;-- model for mixing time</t>
    </r>
  </si>
  <si>
    <r>
      <t xml:space="preserve">    </t>
    </r>
    <r>
      <rPr>
        <u/>
        <sz val="9"/>
        <color rgb="FF000000"/>
        <rFont val="Monospaced"/>
      </rPr>
      <t>kla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K3_2(1).*((hLd_D(2)).^K3_2(2)).*(NRe.^K3_2(3)).*(Nq.^K3_2(4)).*(Np.^K3_2(5)).*(NVs.^K3_2(6))</t>
    </r>
    <r>
      <rPr>
        <sz val="9"/>
        <color rgb="FF000000"/>
        <rFont val="Monospaced"/>
      </rPr>
      <t>;</t>
    </r>
  </si>
  <si>
    <t>//Different models 3L</t>
  </si>
  <si>
    <r>
      <t>function</t>
    </r>
    <r>
      <rPr>
        <sz val="9"/>
        <color theme="1"/>
        <rFont val="Monospaced"/>
      </rPr>
      <t xml:space="preserve"> </t>
    </r>
    <r>
      <rPr>
        <b/>
        <sz val="9"/>
        <color rgb="FF834310"/>
        <rFont val="Monospaced"/>
      </rPr>
      <t>kla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model3L_comb</t>
    </r>
    <r>
      <rPr>
        <sz val="9"/>
        <color rgb="FF4A55DB"/>
        <rFont val="Monospaced"/>
      </rPr>
      <t>(</t>
    </r>
    <r>
      <rPr>
        <b/>
        <sz val="9"/>
        <color rgb="FF834310"/>
        <rFont val="Monospaced"/>
      </rPr>
      <t>n</t>
    </r>
    <r>
      <rPr>
        <sz val="9"/>
        <color rgb="FF000000"/>
        <rFont val="Monospaced"/>
      </rPr>
      <t xml:space="preserve">, </t>
    </r>
    <r>
      <rPr>
        <b/>
        <sz val="9"/>
        <color rgb="FF83431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</si>
  <si>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</t>
    </r>
    <r>
      <rPr>
        <u/>
        <sz val="9"/>
        <color rgb="FF000000"/>
        <rFont val="Monospaced"/>
      </rPr>
      <t>kla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=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K2(1).*((hLd_D(2)).^K2(2)).*(NRe.^K2(3)).*(Nq.^K2(4)).*(Np.^K2(5)).*(NVs.^K2(6))</t>
    </r>
    <r>
      <rPr>
        <sz val="9"/>
        <color rgb="FF000000"/>
        <rFont val="Monospaced"/>
      </rPr>
      <t>;</t>
    </r>
  </si>
  <si>
    <t>//Calculate coefficient of determination</t>
  </si>
  <si>
    <t>//single model</t>
  </si>
  <si>
    <r>
      <t>y_bar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sum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/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SS_total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mean kLa</t>
    </r>
  </si>
  <si>
    <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c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)</t>
    </r>
  </si>
  <si>
    <r>
      <t xml:space="preserve">    </t>
    </r>
    <r>
      <rPr>
        <sz val="9"/>
        <color rgb="FF000000"/>
        <rFont val="Monospaced"/>
      </rPr>
      <t>SS_total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SS_total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kLa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c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-</t>
    </r>
    <r>
      <rPr>
        <sz val="9"/>
        <color rgb="FF000000"/>
        <rFont val="Monospaced"/>
      </rPr>
      <t>y_bar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</si>
  <si>
    <r>
      <t>R2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K1</t>
    </r>
    <r>
      <rPr>
        <sz val="9"/>
        <color rgb="FF5C5C5C"/>
        <rFont val="Monospaced"/>
      </rPr>
      <t>/</t>
    </r>
    <r>
      <rPr>
        <sz val="9"/>
        <color rgb="FF000000"/>
        <rFont val="Monospaced"/>
      </rPr>
      <t>SS_total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</si>
  <si>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//Different models</t>
  </si>
  <si>
    <r>
      <t>y_bar2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sum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/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SS_2total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mean kLa</t>
    </r>
  </si>
  <si>
    <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c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)</t>
    </r>
  </si>
  <si>
    <r>
      <t xml:space="preserve">    </t>
    </r>
    <r>
      <rPr>
        <sz val="9"/>
        <color rgb="FF000000"/>
        <rFont val="Monospaced"/>
      </rPr>
      <t>SS_2total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SS_2total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c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-</t>
    </r>
    <r>
      <rPr>
        <sz val="9"/>
        <color rgb="FF000000"/>
        <rFont val="Monospaced"/>
      </rPr>
      <t>y_bar2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</si>
  <si>
    <r>
      <t>R2_2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K2_1</t>
    </r>
    <r>
      <rPr>
        <sz val="9"/>
        <color rgb="FF5C5C5C"/>
        <rFont val="Monospaced"/>
      </rPr>
      <t>/</t>
    </r>
    <r>
      <rPr>
        <sz val="9"/>
        <color rgb="FF000000"/>
        <rFont val="Monospaced"/>
      </rPr>
      <t>SS_2total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</si>
  <si>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y_bar3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(</t>
    </r>
    <r>
      <rPr>
        <sz val="9"/>
        <color rgb="FF32B9B9"/>
        <rFont val="Monospaced"/>
      </rPr>
      <t>sum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/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SS_3total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mean kLa</t>
    </r>
  </si>
  <si>
    <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c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)</t>
    </r>
  </si>
  <si>
    <r>
      <t xml:space="preserve">    </t>
    </r>
    <r>
      <rPr>
        <sz val="9"/>
        <color rgb="FF000000"/>
        <rFont val="Monospaced"/>
      </rPr>
      <t>SS_3total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SS_3total</t>
    </r>
    <r>
      <rPr>
        <sz val="9"/>
        <color rgb="FF5C5C5C"/>
        <rFont val="Monospaced"/>
      </rPr>
      <t>+</t>
    </r>
    <r>
      <rPr>
        <sz val="9"/>
        <color rgb="FF4A55DB"/>
        <rFont val="Monospaced"/>
      </rPr>
      <t>((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c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-</t>
    </r>
    <r>
      <rPr>
        <sz val="9"/>
        <color rgb="FF000000"/>
        <rFont val="Monospaced"/>
      </rPr>
      <t>y_bar3</t>
    </r>
    <r>
      <rPr>
        <sz val="9"/>
        <color rgb="FF4A55DB"/>
        <rFont val="Monospaced"/>
      </rPr>
      <t>)</t>
    </r>
    <r>
      <rPr>
        <sz val="9"/>
        <color rgb="FF5C5C5C"/>
        <rFont val="Monospaced"/>
      </rPr>
      <t>.^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</t>
    </r>
  </si>
  <si>
    <r>
      <t>R2_3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5C5C5C"/>
        <rFont val="Monospaced"/>
      </rPr>
      <t>-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K3_1</t>
    </r>
    <r>
      <rPr>
        <sz val="9"/>
        <color rgb="FF5C5C5C"/>
        <rFont val="Monospaced"/>
      </rPr>
      <t>/</t>
    </r>
    <r>
      <rPr>
        <sz val="9"/>
        <color rgb="FF000000"/>
        <rFont val="Monospaced"/>
      </rPr>
      <t>SS_3total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</si>
  <si>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//plot 3d surfaces for kLa and experimental points</t>
  </si>
  <si>
    <t>//For 2L:</t>
  </si>
  <si>
    <r>
      <t>scf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u/>
        <sz val="9"/>
        <color rgb="FFAE5CB0"/>
        <rFont val="Monospaced"/>
      </rPr>
      <t>clf</t>
    </r>
    <r>
      <rPr>
        <sz val="9"/>
        <color rgb="FF000000"/>
        <rFont val="Monospaced"/>
      </rPr>
      <t>;</t>
    </r>
  </si>
  <si>
    <r>
      <t>Nm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N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Vm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11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16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</si>
  <si>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t>//plot experimetnal results</t>
  </si>
  <si>
    <r>
      <t>kLa2m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10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20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</si>
  <si>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>plot3d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Nm,Vm,kLa2m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//plot x=N , y=Vs , z= kla</t>
    </r>
  </si>
  <si>
    <r>
      <t>title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'2L kLa model vs. experimental'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'fontsize'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</si>
  <si>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xlabel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'n [1/s]'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'fontsize'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</si>
  <si>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ylabel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'Vs [m/s]'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'fontsize'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</si>
  <si>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zlabel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'kLa [1/h]'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'fontsize'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</si>
  <si>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xgrid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</si>
  <si>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a</t>
    </r>
    <r>
      <rPr>
        <sz val="9"/>
        <color rgb="FF5C5C5C"/>
        <rFont val="Monospaced"/>
      </rPr>
      <t>=</t>
    </r>
    <r>
      <rPr>
        <u/>
        <sz val="9"/>
        <color rgb="FFAE5CB0"/>
        <rFont val="Monospaced"/>
      </rPr>
      <t>gca</t>
    </r>
    <r>
      <rPr>
        <sz val="9"/>
        <color rgb="FF4A55DB"/>
        <rFont val="Monospaced"/>
      </rPr>
      <t>()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b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a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children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</si>
  <si>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b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surface_mode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"off"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b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mark_mode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"on"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b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mark_size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1.0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b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mark_style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0</t>
    </r>
    <r>
      <rPr>
        <sz val="9"/>
        <color rgb="FF000000"/>
        <rFont val="Monospaced"/>
      </rPr>
      <t>;</t>
    </r>
  </si>
  <si>
    <t>//plot model predictions</t>
  </si>
  <si>
    <t>//kmodel2=model2L(N, Vs); //&lt;-- enable to use separate models</t>
  </si>
  <si>
    <r>
      <t>kmodel2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model2L_comb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enable to use single model</t>
    </r>
  </si>
  <si>
    <r>
      <t>Km2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10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20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</si>
  <si>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>plot3d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Nm,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Vm,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</si>
  <si>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f</t>
    </r>
    <r>
      <rPr>
        <sz val="9"/>
        <color rgb="FF5C5C5C"/>
        <rFont val="Monospaced"/>
      </rPr>
      <t>=</t>
    </r>
    <r>
      <rPr>
        <u/>
        <sz val="9"/>
        <color rgb="FFAE5CB0"/>
        <rFont val="Monospaced"/>
      </rPr>
      <t>gcf</t>
    </r>
    <r>
      <rPr>
        <sz val="9"/>
        <color rgb="FF4A55DB"/>
        <rFont val="Monospaced"/>
      </rPr>
      <t>()</t>
    </r>
    <r>
      <rPr>
        <sz val="9"/>
        <color rgb="FF000000"/>
        <rFont val="Monospaced"/>
      </rPr>
      <t>;</t>
    </r>
  </si>
  <si>
    <r>
      <t>f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color_map</t>
    </r>
    <r>
      <rPr>
        <sz val="9"/>
        <color theme="1"/>
        <rFont val="Monospaced"/>
      </rPr>
      <t xml:space="preserve"> </t>
    </r>
    <r>
      <rPr>
        <sz val="9"/>
        <color rgb="FF5C5C5C"/>
        <rFont val="Monospaced"/>
      </rPr>
      <t>=</t>
    </r>
    <r>
      <rPr>
        <sz val="9"/>
        <color theme="1"/>
        <rFont val="Monospaced"/>
      </rPr>
      <t xml:space="preserve"> </t>
    </r>
    <r>
      <rPr>
        <u/>
        <sz val="9"/>
        <color rgb="FFAE5CB0"/>
        <rFont val="Monospaced"/>
      </rPr>
      <t>graycolormap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128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</si>
  <si>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e</t>
    </r>
    <r>
      <rPr>
        <sz val="9"/>
        <color rgb="FF5C5C5C"/>
        <rFont val="Monospaced"/>
      </rPr>
      <t>=</t>
    </r>
    <r>
      <rPr>
        <u/>
        <sz val="9"/>
        <color rgb="FFAE5CB0"/>
        <rFont val="Monospaced"/>
      </rPr>
      <t>gca</t>
    </r>
    <r>
      <rPr>
        <sz val="9"/>
        <color rgb="FF4A55DB"/>
        <rFont val="Monospaced"/>
      </rPr>
      <t>()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g</t>
    </r>
    <r>
      <rPr>
        <sz val="9"/>
        <color rgb="FF5C5C5C"/>
        <rFont val="Monospaced"/>
      </rPr>
      <t>=</t>
    </r>
    <r>
      <rPr>
        <sz val="9"/>
        <color rgb="FF000000"/>
        <rFont val="Monospaced"/>
      </rPr>
      <t>e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children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</si>
  <si>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g</t>
    </r>
    <r>
      <rPr>
        <sz val="9"/>
        <color rgb="FF5C5C5C"/>
        <rFont val="Monospaced"/>
      </rPr>
      <t>.</t>
    </r>
    <r>
      <rPr>
        <sz val="9"/>
        <color rgb="FFAAAAAA"/>
        <rFont val="Monospaced"/>
      </rPr>
      <t>color_flag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000000"/>
        <rFont val="Monospaced"/>
      </rPr>
      <t>;</t>
    </r>
  </si>
  <si>
    <t>//plot lines linking data points to surface</t>
  </si>
  <si>
    <r>
      <t>scf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0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</si>
  <si>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m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Nm</t>
    </r>
    <r>
      <rPr>
        <sz val="9"/>
        <color rgb="FF4A55DB"/>
        <rFont val="Monospaced"/>
      </rPr>
      <t>)</t>
    </r>
  </si>
  <si>
    <r>
      <t xml:space="preserve">    </t>
    </r>
    <r>
      <rPr>
        <sz val="9"/>
        <color rgb="FFA020F0"/>
        <rFont val="Monospaced"/>
      </rPr>
      <t>for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p</t>
    </r>
    <r>
      <rPr>
        <sz val="9"/>
        <color rgb="FF5C5C5C"/>
        <rFont val="Monospaced"/>
      </rPr>
      <t>=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32B9B9"/>
        <rFont val="Monospaced"/>
      </rPr>
      <t>length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Vm</t>
    </r>
    <r>
      <rPr>
        <sz val="9"/>
        <color rgb="FF4A55DB"/>
        <rFont val="Monospaced"/>
      </rPr>
      <t>)</t>
    </r>
  </si>
  <si>
    <r>
      <t xml:space="preserve">        </t>
    </r>
    <r>
      <rPr>
        <sz val="9"/>
        <color rgb="FF32B9B9"/>
        <rFont val="Monospaced"/>
      </rPr>
      <t>param3d</t>
    </r>
    <r>
      <rPr>
        <sz val="9"/>
        <color rgb="FF4A55DB"/>
        <rFont val="Monospaced"/>
      </rPr>
      <t>([</t>
    </r>
    <r>
      <rPr>
        <sz val="9"/>
        <color rgb="FF000000"/>
        <rFont val="Monospaced"/>
      </rPr>
      <t>Nm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Vm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p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p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Km2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m,p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kLa2m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m,p</t>
    </r>
    <r>
      <rPr>
        <sz val="9"/>
        <color rgb="FF4A55DB"/>
        <rFont val="Monospaced"/>
      </rPr>
      <t>)])</t>
    </r>
    <r>
      <rPr>
        <sz val="9"/>
        <color rgb="FF000000"/>
        <rFont val="Monospaced"/>
      </rPr>
      <t>;</t>
    </r>
  </si>
  <si>
    <t>//For 3L:</t>
  </si>
  <si>
    <r>
      <t>scf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u/>
        <sz val="9"/>
        <color rgb="FFAE5CB0"/>
        <rFont val="Monospaced"/>
      </rPr>
      <t>clf</t>
    </r>
    <r>
      <rPr>
        <sz val="9"/>
        <color rgb="FF000000"/>
        <rFont val="Monospaced"/>
      </rPr>
      <t>;</t>
    </r>
  </si>
  <si>
    <r>
      <t>kLa3m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10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15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kLa3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20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</si>
  <si>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>plot3d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Nm,Vm,kLa3m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//plot x=N , y=Vs , z= kla</t>
    </r>
  </si>
  <si>
    <r>
      <t>title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'3L kLa model vs. experimental'</t>
    </r>
    <r>
      <rPr>
        <sz val="9"/>
        <color rgb="FF000000"/>
        <rFont val="Monospaced"/>
      </rPr>
      <t>,</t>
    </r>
    <r>
      <rPr>
        <sz val="9"/>
        <color rgb="FFBC8F8F"/>
        <rFont val="Monospaced"/>
      </rPr>
      <t>'fontsize'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</si>
  <si>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//kmodel3=model3L(N, Vs); //&lt;-- enable to use separate models</t>
  </si>
  <si>
    <r>
      <t>kmodel3</t>
    </r>
    <r>
      <rPr>
        <sz val="9"/>
        <color rgb="FF5C5C5C"/>
        <rFont val="Monospaced"/>
      </rPr>
      <t>=</t>
    </r>
    <r>
      <rPr>
        <u/>
        <sz val="9"/>
        <color rgb="FF000000"/>
        <rFont val="Monospaced"/>
      </rPr>
      <t>model3L_comb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Vs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  <r>
      <rPr>
        <sz val="9"/>
        <color theme="1"/>
        <rFont val="Monospaced"/>
      </rPr>
      <t xml:space="preserve"> </t>
    </r>
    <r>
      <rPr>
        <i/>
        <sz val="9"/>
        <color rgb="FF64AE64"/>
        <rFont val="Monospaced"/>
      </rPr>
      <t>//&lt;-- enable to use single model</t>
    </r>
  </si>
  <si>
    <r>
      <t>Km3</t>
    </r>
    <r>
      <rPr>
        <sz val="9"/>
        <color rgb="FF5C5C5C"/>
        <rFont val="Monospaced"/>
      </rPr>
      <t>=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kmodel3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25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30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31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35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kmodel2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36</t>
    </r>
    <r>
      <rPr>
        <sz val="9"/>
        <color rgb="FFFFAA00"/>
        <rFont val="Monospaced"/>
      </rPr>
      <t>:</t>
    </r>
    <r>
      <rPr>
        <sz val="9"/>
        <color rgb="FFBC8F8F"/>
        <rFont val="Monospaced"/>
      </rPr>
      <t>40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;</t>
    </r>
  </si>
  <si>
    <r>
      <t>plot3d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Nm,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Vm,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Km3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</si>
  <si>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scf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</si>
  <si>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 xml:space="preserve">        </t>
    </r>
    <r>
      <rPr>
        <sz val="9"/>
        <color rgb="FF32B9B9"/>
        <rFont val="Monospaced"/>
      </rPr>
      <t>param3d</t>
    </r>
    <r>
      <rPr>
        <sz val="9"/>
        <color rgb="FF4A55DB"/>
        <rFont val="Monospaced"/>
      </rPr>
      <t>([</t>
    </r>
    <r>
      <rPr>
        <sz val="9"/>
        <color rgb="FF000000"/>
        <rFont val="Monospaced"/>
      </rPr>
      <t>Nm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Nm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Vm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p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Vm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p</t>
    </r>
    <r>
      <rPr>
        <sz val="9"/>
        <color rgb="FF4A55DB"/>
        <rFont val="Monospaced"/>
      </rPr>
      <t>)]</t>
    </r>
    <r>
      <rPr>
        <sz val="9"/>
        <color rgb="FF000000"/>
        <rFont val="Monospaced"/>
      </rPr>
      <t>,</t>
    </r>
    <r>
      <rPr>
        <sz val="9"/>
        <color theme="1"/>
        <rFont val="Monospaced"/>
      </rPr>
      <t xml:space="preserve"> </t>
    </r>
    <r>
      <rPr>
        <sz val="9"/>
        <color rgb="FF4A55DB"/>
        <rFont val="Monospaced"/>
      </rPr>
      <t>[</t>
    </r>
    <r>
      <rPr>
        <sz val="9"/>
        <color rgb="FF000000"/>
        <rFont val="Monospaced"/>
      </rPr>
      <t>Km3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m,p</t>
    </r>
    <r>
      <rPr>
        <sz val="9"/>
        <color rgb="FF4A55DB"/>
        <rFont val="Monospaced"/>
      </rPr>
      <t>)</t>
    </r>
    <r>
      <rPr>
        <sz val="9"/>
        <color theme="1"/>
        <rFont val="Monospaced"/>
      </rPr>
      <t xml:space="preserve"> </t>
    </r>
    <r>
      <rPr>
        <sz val="9"/>
        <color rgb="FF000000"/>
        <rFont val="Monospaced"/>
      </rPr>
      <t>kLa3m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m,p</t>
    </r>
    <r>
      <rPr>
        <sz val="9"/>
        <color rgb="FF4A55DB"/>
        <rFont val="Monospaced"/>
      </rPr>
      <t>)])</t>
    </r>
    <r>
      <rPr>
        <sz val="9"/>
        <color rgb="FF000000"/>
        <rFont val="Monospaced"/>
      </rPr>
      <t>;</t>
    </r>
  </si>
  <si>
    <t>//Report results of least squares regression</t>
  </si>
  <si>
    <t>//Single model</t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</si>
  <si>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'Single model for kLa at all volumes is'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</si>
  <si>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format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</si>
  <si>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'kLa =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'.(hLd/d^'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').(NRe^'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').(Nq^'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').(Np^'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').(NVs^'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</si>
  <si>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'R^2 coefficient of determination for combined model is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R2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</si>
  <si>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</si>
  <si>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'Model for kLa at 2L volume is'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</si>
  <si>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'kLa =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'.(hLd/d^'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').(NRe^'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').(Nq^'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').(Np^'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').(NVs^'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K2_2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</si>
  <si>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'R^2 coefficient of determination for 2L model is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R2_2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</si>
  <si>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'Model for kLa at 3L volume is'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</si>
  <si>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'kLa =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'.(hLd/d^'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2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').(NRe^'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3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').(Nq^'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4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').(Np^'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5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').(NVs^'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K3_2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6</t>
    </r>
    <r>
      <rPr>
        <sz val="9"/>
        <color rgb="FF4A55DB"/>
        <rFont val="Monospaced"/>
      </rPr>
      <t>))</t>
    </r>
    <r>
      <rPr>
        <sz val="9"/>
        <color rgb="FF5C5C5C"/>
        <rFont val="Monospaced"/>
      </rPr>
      <t>+</t>
    </r>
    <r>
      <rPr>
        <sz val="9"/>
        <color rgb="FFBC8F8F"/>
        <rFont val="Monospaced"/>
      </rPr>
      <t>')'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</si>
  <si>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r>
      <t>disp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'R^2 coefficient of determination for 3L model is '</t>
    </r>
    <r>
      <rPr>
        <sz val="9"/>
        <color rgb="FF5C5C5C"/>
        <rFont val="Monospaced"/>
      </rPr>
      <t>+</t>
    </r>
    <r>
      <rPr>
        <sz val="9"/>
        <color rgb="FF32B9B9"/>
        <rFont val="Monospaced"/>
      </rPr>
      <t>string</t>
    </r>
    <r>
      <rPr>
        <sz val="9"/>
        <color rgb="FF4A55DB"/>
        <rFont val="Monospaced"/>
      </rPr>
      <t>(</t>
    </r>
    <r>
      <rPr>
        <sz val="9"/>
        <color rgb="FF000000"/>
        <rFont val="Monospaced"/>
      </rPr>
      <t>R2_3</t>
    </r>
    <r>
      <rPr>
        <sz val="9"/>
        <color rgb="FF4A55DB"/>
        <rFont val="Monospaced"/>
      </rPr>
      <t>))</t>
    </r>
    <r>
      <rPr>
        <sz val="9"/>
        <color rgb="FF000000"/>
        <rFont val="Monospaced"/>
      </rPr>
      <t>;</t>
    </r>
  </si>
  <si>
    <r>
      <t>format</t>
    </r>
    <r>
      <rPr>
        <sz val="9"/>
        <color rgb="FF4A55DB"/>
        <rFont val="Monospaced"/>
      </rPr>
      <t>(</t>
    </r>
    <r>
      <rPr>
        <sz val="9"/>
        <color rgb="FFBC8F8F"/>
        <rFont val="Monospaced"/>
      </rPr>
      <t>12</t>
    </r>
    <r>
      <rPr>
        <sz val="9"/>
        <color rgb="FF4A55DB"/>
        <rFont val="Monospaced"/>
      </rPr>
      <t>)</t>
    </r>
    <r>
      <rPr>
        <sz val="9"/>
        <color rgb="FF000000"/>
        <rFont val="Monospaced"/>
      </rPr>
      <t>;</t>
    </r>
  </si>
  <si>
    <t> </t>
  </si>
  <si>
    <t>Table 4-2</t>
  </si>
  <si>
    <t>URS</t>
  </si>
  <si>
    <t>Design sheet and Users' requirement specifications (URS)</t>
  </si>
  <si>
    <t>Table 4-12</t>
  </si>
  <si>
    <t>Predicted values of power numbers and circulation flow numbers</t>
  </si>
  <si>
    <t xml:space="preserve">      model comparison to experimental values for 2 L (left), and 3 L (right) volumes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</si>
</sst>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0.0%"/>
    <numFmt numFmtId="170" formatCode="0.0000000000000"/>
    <numFmt numFmtId="171" formatCode="0.000000000000"/>
    <numFmt numFmtId="172" formatCode="0.000000000000000000"/>
    <numFmt numFmtId="173" formatCode="0.0000000"/>
    <numFmt numFmtId="174" formatCode="0.000E+00"/>
    <numFmt numFmtId="175" formatCode="0.0E+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0"/>
      <name val="Arial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8.5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8.199999999999999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.5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1"/>
      <color theme="1"/>
      <name val="Calibri"/>
      <family val="2"/>
    </font>
    <font>
      <sz val="7"/>
      <color rgb="FF000000"/>
      <name val="Calibri"/>
      <family val="2"/>
    </font>
    <font>
      <b/>
      <sz val="7"/>
      <name val="Arial"/>
      <family val="2"/>
    </font>
    <font>
      <vertAlign val="subscript"/>
      <sz val="7"/>
      <color rgb="FF000000"/>
      <name val="Arial"/>
      <family val="2"/>
    </font>
    <font>
      <sz val="7"/>
      <color rgb="FFFFFFFF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vertAlign val="subscript"/>
      <sz val="9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9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Calibri"/>
      <family val="2"/>
      <scheme val="minor"/>
    </font>
    <font>
      <sz val="9"/>
      <color theme="1"/>
      <name val="Monospaced"/>
    </font>
    <font>
      <i/>
      <sz val="9"/>
      <color rgb="FF64AE64"/>
      <name val="Monospaced"/>
    </font>
    <font>
      <sz val="9"/>
      <color rgb="FF32B9B9"/>
      <name val="Monospaced"/>
    </font>
    <font>
      <sz val="9"/>
      <color rgb="FF000000"/>
      <name val="Monospaced"/>
    </font>
    <font>
      <sz val="9"/>
      <color rgb="FF4A55DB"/>
      <name val="Monospaced"/>
    </font>
    <font>
      <sz val="9"/>
      <color rgb="FFBC8F8F"/>
      <name val="Monospaced"/>
    </font>
    <font>
      <sz val="9"/>
      <color rgb="FF5C5C5C"/>
      <name val="Monospaced"/>
    </font>
    <font>
      <sz val="9"/>
      <color rgb="FFB01813"/>
      <name val="Monospaced"/>
    </font>
    <font>
      <b/>
      <sz val="9"/>
      <color rgb="FF834310"/>
      <name val="Monospaced"/>
    </font>
    <font>
      <u/>
      <sz val="9"/>
      <color rgb="FF000000"/>
      <name val="Monospaced"/>
    </font>
    <font>
      <sz val="9"/>
      <color rgb="FFA020F0"/>
      <name val="Monospaced"/>
    </font>
    <font>
      <sz val="9"/>
      <color rgb="FFDA70D6"/>
      <name val="Monospaced"/>
    </font>
    <font>
      <sz val="9"/>
      <color rgb="FFFFAA00"/>
      <name val="Monospaced"/>
    </font>
    <font>
      <u/>
      <sz val="9"/>
      <color rgb="FFAE5CB0"/>
      <name val="Monospaced"/>
    </font>
    <font>
      <sz val="9"/>
      <color rgb="FFAAAAAA"/>
      <name val="Monospaced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2" fontId="2" fillId="0" borderId="2" xfId="0" applyNumberFormat="1" applyFont="1" applyBorder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/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left" vertical="center"/>
    </xf>
    <xf numFmtId="167" fontId="13" fillId="0" borderId="0" xfId="0" applyNumberFormat="1" applyFont="1" applyFill="1"/>
    <xf numFmtId="165" fontId="2" fillId="3" borderId="0" xfId="0" applyNumberFormat="1" applyFont="1" applyFill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1" fontId="2" fillId="3" borderId="0" xfId="0" applyNumberFormat="1" applyFont="1" applyFill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/>
    <xf numFmtId="0" fontId="5" fillId="5" borderId="0" xfId="0" applyFont="1" applyFill="1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Fill="1" applyBorder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9" fontId="2" fillId="4" borderId="0" xfId="1" applyFont="1" applyFill="1" applyAlignment="1">
      <alignment horizontal="center" vertical="center"/>
    </xf>
    <xf numFmtId="9" fontId="2" fillId="0" borderId="0" xfId="1" applyFont="1" applyAlignment="1">
      <alignment horizontal="center" vertical="center"/>
    </xf>
    <xf numFmtId="166" fontId="2" fillId="0" borderId="0" xfId="0" applyNumberFormat="1" applyFont="1"/>
    <xf numFmtId="9" fontId="2" fillId="0" borderId="0" xfId="1" applyFont="1" applyFill="1" applyBorder="1" applyAlignment="1">
      <alignment horizontal="center" vertical="center"/>
    </xf>
    <xf numFmtId="1" fontId="2" fillId="0" borderId="0" xfId="0" applyNumberFormat="1" applyFont="1"/>
    <xf numFmtId="2" fontId="2" fillId="0" borderId="0" xfId="1" applyNumberFormat="1" applyFont="1"/>
    <xf numFmtId="9" fontId="2" fillId="0" borderId="0" xfId="0" applyNumberFormat="1" applyFont="1"/>
    <xf numFmtId="9" fontId="2" fillId="4" borderId="1" xfId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166" fontId="2" fillId="0" borderId="0" xfId="0" applyNumberFormat="1" applyFont="1" applyBorder="1"/>
    <xf numFmtId="9" fontId="2" fillId="0" borderId="0" xfId="1" applyFont="1" applyFill="1" applyBorder="1"/>
    <xf numFmtId="0" fontId="2" fillId="0" borderId="0" xfId="0" applyFont="1" applyFill="1"/>
    <xf numFmtId="0" fontId="2" fillId="0" borderId="0" xfId="0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2" fontId="2" fillId="0" borderId="0" xfId="0" applyNumberFormat="1" applyFont="1"/>
    <xf numFmtId="1" fontId="2" fillId="0" borderId="0" xfId="1" applyNumberFormat="1" applyFont="1" applyFill="1" applyBorder="1"/>
    <xf numFmtId="164" fontId="2" fillId="0" borderId="0" xfId="0" applyNumberFormat="1" applyFont="1" applyFill="1" applyBorder="1"/>
    <xf numFmtId="1" fontId="2" fillId="5" borderId="0" xfId="0" applyNumberFormat="1" applyFont="1" applyFill="1" applyBorder="1"/>
    <xf numFmtId="2" fontId="2" fillId="5" borderId="0" xfId="0" applyNumberFormat="1" applyFont="1" applyFill="1" applyBorder="1"/>
    <xf numFmtId="9" fontId="2" fillId="5" borderId="0" xfId="1" applyFont="1" applyFill="1" applyBorder="1"/>
    <xf numFmtId="2" fontId="2" fillId="0" borderId="0" xfId="0" applyNumberFormat="1" applyFont="1" applyBorder="1"/>
    <xf numFmtId="0" fontId="2" fillId="0" borderId="2" xfId="0" applyFont="1" applyBorder="1"/>
    <xf numFmtId="166" fontId="2" fillId="0" borderId="2" xfId="0" applyNumberFormat="1" applyFont="1" applyBorder="1"/>
    <xf numFmtId="0" fontId="3" fillId="0" borderId="2" xfId="0" applyFont="1" applyBorder="1"/>
    <xf numFmtId="9" fontId="2" fillId="0" borderId="2" xfId="1" applyFont="1" applyFill="1" applyBorder="1" applyAlignment="1">
      <alignment horizontal="center" vertical="center"/>
    </xf>
    <xf numFmtId="1" fontId="2" fillId="0" borderId="2" xfId="0" applyNumberFormat="1" applyFont="1" applyBorder="1"/>
    <xf numFmtId="2" fontId="2" fillId="0" borderId="2" xfId="1" applyNumberFormat="1" applyFont="1" applyBorder="1"/>
    <xf numFmtId="9" fontId="2" fillId="0" borderId="2" xfId="0" applyNumberFormat="1" applyFont="1" applyBorder="1"/>
    <xf numFmtId="9" fontId="2" fillId="4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3" xfId="0" applyFont="1" applyBorder="1"/>
    <xf numFmtId="166" fontId="2" fillId="0" borderId="3" xfId="0" applyNumberFormat="1" applyFont="1" applyBorder="1"/>
    <xf numFmtId="9" fontId="2" fillId="4" borderId="13" xfId="1" applyFont="1" applyFill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2" xfId="1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1" fontId="2" fillId="0" borderId="2" xfId="1" applyNumberFormat="1" applyFont="1" applyFill="1" applyBorder="1"/>
    <xf numFmtId="0" fontId="3" fillId="0" borderId="16" xfId="0" applyFont="1" applyFill="1" applyBorder="1"/>
    <xf numFmtId="166" fontId="2" fillId="0" borderId="16" xfId="0" applyNumberFormat="1" applyFont="1" applyFill="1" applyBorder="1"/>
    <xf numFmtId="166" fontId="2" fillId="0" borderId="2" xfId="0" applyNumberFormat="1" applyFont="1" applyFill="1" applyBorder="1"/>
    <xf numFmtId="1" fontId="2" fillId="0" borderId="2" xfId="0" applyNumberFormat="1" applyFont="1" applyFill="1" applyBorder="1"/>
    <xf numFmtId="165" fontId="3" fillId="0" borderId="16" xfId="0" applyNumberFormat="1" applyFont="1" applyFill="1" applyBorder="1"/>
    <xf numFmtId="165" fontId="2" fillId="0" borderId="16" xfId="0" applyNumberFormat="1" applyFont="1" applyFill="1" applyBorder="1"/>
    <xf numFmtId="165" fontId="2" fillId="0" borderId="2" xfId="0" applyNumberFormat="1" applyFont="1" applyFill="1" applyBorder="1"/>
    <xf numFmtId="0" fontId="2" fillId="0" borderId="16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14" xfId="0" applyFont="1" applyBorder="1"/>
    <xf numFmtId="0" fontId="3" fillId="0" borderId="3" xfId="0" applyFont="1" applyBorder="1"/>
    <xf numFmtId="0" fontId="3" fillId="0" borderId="15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15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" fontId="2" fillId="0" borderId="2" xfId="1" applyNumberFormat="1" applyFont="1" applyBorder="1"/>
    <xf numFmtId="1" fontId="2" fillId="0" borderId="0" xfId="1" applyNumberFormat="1" applyFont="1"/>
    <xf numFmtId="1" fontId="2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Fill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166" fontId="2" fillId="0" borderId="0" xfId="1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/>
    <xf numFmtId="0" fontId="3" fillId="0" borderId="2" xfId="0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/>
    <xf numFmtId="1" fontId="2" fillId="0" borderId="2" xfId="0" applyNumberFormat="1" applyFont="1" applyFill="1" applyBorder="1" applyAlignment="1"/>
    <xf numFmtId="0" fontId="2" fillId="0" borderId="12" xfId="0" applyFont="1" applyFill="1" applyBorder="1"/>
    <xf numFmtId="0" fontId="3" fillId="0" borderId="12" xfId="0" applyFont="1" applyFill="1" applyBorder="1" applyAlignment="1"/>
    <xf numFmtId="9" fontId="2" fillId="0" borderId="0" xfId="1" applyFont="1" applyFill="1" applyBorder="1" applyAlignment="1"/>
    <xf numFmtId="9" fontId="2" fillId="0" borderId="2" xfId="1" applyFont="1" applyFill="1" applyBorder="1" applyAlignment="1"/>
    <xf numFmtId="9" fontId="2" fillId="0" borderId="0" xfId="1" applyFont="1" applyFill="1" applyBorder="1" applyAlignment="1">
      <alignment vertical="center"/>
    </xf>
    <xf numFmtId="166" fontId="2" fillId="0" borderId="0" xfId="0" applyNumberFormat="1" applyFont="1" applyFill="1"/>
    <xf numFmtId="0" fontId="2" fillId="0" borderId="12" xfId="0" applyFont="1" applyFill="1" applyBorder="1" applyAlignment="1"/>
    <xf numFmtId="0" fontId="20" fillId="0" borderId="0" xfId="0" applyFont="1"/>
    <xf numFmtId="0" fontId="20" fillId="0" borderId="0" xfId="0" applyFont="1" applyFill="1" applyBorder="1" applyAlignment="1"/>
    <xf numFmtId="0" fontId="21" fillId="0" borderId="0" xfId="0" applyFont="1" applyFill="1" applyBorder="1"/>
    <xf numFmtId="0" fontId="20" fillId="0" borderId="0" xfId="0" applyFont="1" applyFill="1" applyBorder="1"/>
    <xf numFmtId="1" fontId="20" fillId="0" borderId="0" xfId="1" applyNumberFormat="1" applyFont="1" applyFill="1" applyBorder="1"/>
    <xf numFmtId="1" fontId="20" fillId="0" borderId="0" xfId="0" applyNumberFormat="1" applyFont="1" applyFill="1" applyBorder="1"/>
    <xf numFmtId="0" fontId="22" fillId="0" borderId="0" xfId="0" applyFont="1" applyFill="1" applyBorder="1"/>
    <xf numFmtId="2" fontId="0" fillId="0" borderId="0" xfId="0" applyNumberFormat="1"/>
    <xf numFmtId="0" fontId="2" fillId="6" borderId="20" xfId="0" applyFont="1" applyFill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2" fillId="8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6" fontId="23" fillId="12" borderId="27" xfId="0" applyNumberFormat="1" applyFont="1" applyFill="1" applyBorder="1" applyAlignment="1">
      <alignment horizontal="center" vertical="center"/>
    </xf>
    <xf numFmtId="164" fontId="23" fillId="0" borderId="27" xfId="0" applyNumberFormat="1" applyFont="1" applyBorder="1" applyAlignment="1">
      <alignment horizontal="center" vertical="center"/>
    </xf>
    <xf numFmtId="166" fontId="23" fillId="12" borderId="24" xfId="0" applyNumberFormat="1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164" fontId="23" fillId="14" borderId="0" xfId="0" applyNumberFormat="1" applyFont="1" applyFill="1" applyAlignment="1">
      <alignment horizontal="center" vertical="center"/>
    </xf>
    <xf numFmtId="2" fontId="23" fillId="14" borderId="0" xfId="0" applyNumberFormat="1" applyFont="1" applyFill="1" applyAlignment="1">
      <alignment horizontal="center" vertical="center"/>
    </xf>
    <xf numFmtId="164" fontId="23" fillId="15" borderId="0" xfId="0" applyNumberFormat="1" applyFont="1" applyFill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6" fontId="23" fillId="0" borderId="27" xfId="0" applyNumberFormat="1" applyFont="1" applyBorder="1" applyAlignment="1">
      <alignment horizontal="center" vertical="center"/>
    </xf>
    <xf numFmtId="164" fontId="23" fillId="16" borderId="27" xfId="0" applyNumberFormat="1" applyFont="1" applyFill="1" applyBorder="1" applyAlignment="1">
      <alignment horizontal="center" vertical="center"/>
    </xf>
    <xf numFmtId="166" fontId="23" fillId="17" borderId="27" xfId="0" applyNumberFormat="1" applyFont="1" applyFill="1" applyBorder="1" applyAlignment="1">
      <alignment horizontal="center" vertical="center"/>
    </xf>
    <xf numFmtId="164" fontId="23" fillId="18" borderId="27" xfId="0" applyNumberFormat="1" applyFont="1" applyFill="1" applyBorder="1" applyAlignment="1">
      <alignment horizontal="center" vertical="center"/>
    </xf>
    <xf numFmtId="166" fontId="23" fillId="18" borderId="27" xfId="0" applyNumberFormat="1" applyFont="1" applyFill="1" applyBorder="1" applyAlignment="1">
      <alignment horizontal="center" vertical="center"/>
    </xf>
    <xf numFmtId="165" fontId="29" fillId="15" borderId="0" xfId="0" applyNumberFormat="1" applyFont="1" applyFill="1" applyAlignment="1">
      <alignment horizontal="center" vertical="center"/>
    </xf>
    <xf numFmtId="164" fontId="29" fillId="15" borderId="0" xfId="0" applyNumberFormat="1" applyFont="1" applyFill="1" applyAlignment="1">
      <alignment horizontal="center" vertical="center"/>
    </xf>
    <xf numFmtId="164" fontId="23" fillId="17" borderId="27" xfId="0" applyNumberFormat="1" applyFont="1" applyFill="1" applyBorder="1" applyAlignment="1">
      <alignment horizontal="center" vertical="center"/>
    </xf>
    <xf numFmtId="165" fontId="23" fillId="16" borderId="27" xfId="0" applyNumberFormat="1" applyFont="1" applyFill="1" applyBorder="1" applyAlignment="1">
      <alignment horizontal="center" vertical="center"/>
    </xf>
    <xf numFmtId="165" fontId="23" fillId="18" borderId="0" xfId="0" applyNumberFormat="1" applyFont="1" applyFill="1" applyAlignment="1">
      <alignment horizontal="center" vertical="center"/>
    </xf>
    <xf numFmtId="167" fontId="29" fillId="15" borderId="0" xfId="0" applyNumberFormat="1" applyFont="1" applyFill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164" fontId="23" fillId="19" borderId="0" xfId="0" applyNumberFormat="1" applyFont="1" applyFill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5" fontId="23" fillId="20" borderId="0" xfId="0" applyNumberFormat="1" applyFont="1" applyFill="1" applyAlignment="1">
      <alignment horizontal="center" vertical="center"/>
    </xf>
    <xf numFmtId="165" fontId="23" fillId="16" borderId="0" xfId="0" applyNumberFormat="1" applyFont="1" applyFill="1" applyAlignment="1">
      <alignment horizontal="center" vertical="center"/>
    </xf>
    <xf numFmtId="165" fontId="23" fillId="15" borderId="0" xfId="0" applyNumberFormat="1" applyFont="1" applyFill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2" fontId="23" fillId="17" borderId="27" xfId="0" applyNumberFormat="1" applyFont="1" applyFill="1" applyBorder="1" applyAlignment="1">
      <alignment horizontal="center" vertical="center"/>
    </xf>
    <xf numFmtId="168" fontId="29" fillId="15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4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8" fontId="29" fillId="16" borderId="0" xfId="0" applyNumberFormat="1" applyFont="1" applyFill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vertical="center" wrapText="1"/>
    </xf>
    <xf numFmtId="0" fontId="32" fillId="0" borderId="10" xfId="0" applyFont="1" applyBorder="1" applyAlignment="1">
      <alignment horizontal="left" vertical="top" wrapText="1"/>
    </xf>
    <xf numFmtId="1" fontId="30" fillId="0" borderId="0" xfId="0" applyNumberFormat="1" applyFont="1" applyAlignment="1">
      <alignment horizontal="left" vertical="center" wrapText="1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8" borderId="0" xfId="0" applyFont="1" applyFill="1" applyAlignment="1">
      <alignment vertical="center"/>
    </xf>
    <xf numFmtId="0" fontId="33" fillId="22" borderId="0" xfId="0" applyFont="1" applyFill="1"/>
    <xf numFmtId="0" fontId="33" fillId="23" borderId="0" xfId="0" applyFont="1" applyFill="1"/>
    <xf numFmtId="0" fontId="33" fillId="0" borderId="0" xfId="0" applyFont="1" applyFill="1"/>
    <xf numFmtId="1" fontId="33" fillId="0" borderId="0" xfId="0" applyNumberFormat="1" applyFont="1"/>
    <xf numFmtId="0" fontId="33" fillId="0" borderId="0" xfId="0" applyFont="1" applyFill="1" applyAlignment="1">
      <alignment vertical="center"/>
    </xf>
    <xf numFmtId="1" fontId="33" fillId="0" borderId="0" xfId="0" applyNumberFormat="1" applyFont="1" applyFill="1"/>
    <xf numFmtId="0" fontId="33" fillId="0" borderId="0" xfId="0" applyFont="1" applyFill="1" applyAlignment="1">
      <alignment horizontal="center" vertical="center"/>
    </xf>
    <xf numFmtId="0" fontId="33" fillId="0" borderId="24" xfId="0" applyFont="1" applyBorder="1"/>
    <xf numFmtId="2" fontId="33" fillId="0" borderId="37" xfId="0" applyNumberFormat="1" applyFont="1" applyBorder="1"/>
    <xf numFmtId="2" fontId="33" fillId="0" borderId="38" xfId="0" applyNumberFormat="1" applyFont="1" applyBorder="1"/>
    <xf numFmtId="2" fontId="33" fillId="0" borderId="39" xfId="0" applyNumberFormat="1" applyFont="1" applyBorder="1"/>
    <xf numFmtId="1" fontId="34" fillId="0" borderId="0" xfId="0" applyNumberFormat="1" applyFont="1" applyFill="1"/>
    <xf numFmtId="0" fontId="34" fillId="0" borderId="0" xfId="0" applyFont="1" applyFill="1" applyAlignment="1">
      <alignment horizontal="center" vertical="center"/>
    </xf>
    <xf numFmtId="0" fontId="34" fillId="0" borderId="0" xfId="0" applyFont="1" applyFill="1"/>
    <xf numFmtId="0" fontId="33" fillId="0" borderId="25" xfId="0" applyFont="1" applyBorder="1"/>
    <xf numFmtId="9" fontId="33" fillId="0" borderId="41" xfId="0" applyNumberFormat="1" applyFont="1" applyBorder="1"/>
    <xf numFmtId="1" fontId="33" fillId="0" borderId="42" xfId="0" applyNumberFormat="1" applyFont="1" applyBorder="1"/>
    <xf numFmtId="1" fontId="33" fillId="0" borderId="1" xfId="0" applyNumberFormat="1" applyFont="1" applyBorder="1"/>
    <xf numFmtId="1" fontId="33" fillId="0" borderId="44" xfId="0" applyNumberFormat="1" applyFont="1" applyBorder="1"/>
    <xf numFmtId="0" fontId="33" fillId="0" borderId="41" xfId="0" applyFont="1" applyBorder="1"/>
    <xf numFmtId="1" fontId="33" fillId="0" borderId="40" xfId="0" applyNumberFormat="1" applyFont="1" applyBorder="1"/>
    <xf numFmtId="1" fontId="33" fillId="0" borderId="45" xfId="0" applyNumberFormat="1" applyFont="1" applyBorder="1"/>
    <xf numFmtId="0" fontId="33" fillId="0" borderId="27" xfId="0" applyFont="1" applyBorder="1"/>
    <xf numFmtId="1" fontId="33" fillId="0" borderId="43" xfId="0" applyNumberFormat="1" applyFont="1" applyBorder="1"/>
    <xf numFmtId="1" fontId="33" fillId="0" borderId="46" xfId="0" applyNumberFormat="1" applyFont="1" applyBorder="1"/>
    <xf numFmtId="1" fontId="33" fillId="0" borderId="47" xfId="0" applyNumberFormat="1" applyFont="1" applyBorder="1"/>
    <xf numFmtId="0" fontId="34" fillId="0" borderId="2" xfId="0" applyFont="1" applyFill="1" applyBorder="1"/>
    <xf numFmtId="0" fontId="33" fillId="0" borderId="2" xfId="0" applyFont="1" applyBorder="1"/>
    <xf numFmtId="0" fontId="33" fillId="0" borderId="17" xfId="0" applyFont="1" applyBorder="1"/>
    <xf numFmtId="164" fontId="33" fillId="0" borderId="0" xfId="0" applyNumberFormat="1" applyFont="1"/>
    <xf numFmtId="0" fontId="33" fillId="0" borderId="18" xfId="0" applyFont="1" applyBorder="1"/>
    <xf numFmtId="0" fontId="36" fillId="0" borderId="0" xfId="0" applyFont="1" applyFill="1"/>
    <xf numFmtId="0" fontId="35" fillId="24" borderId="24" xfId="0" applyFont="1" applyFill="1" applyBorder="1"/>
    <xf numFmtId="2" fontId="33" fillId="0" borderId="24" xfId="0" applyNumberFormat="1" applyFont="1" applyBorder="1"/>
    <xf numFmtId="0" fontId="37" fillId="0" borderId="0" xfId="0" applyFont="1"/>
    <xf numFmtId="0" fontId="33" fillId="0" borderId="37" xfId="0" applyFont="1" applyBorder="1"/>
    <xf numFmtId="0" fontId="33" fillId="0" borderId="40" xfId="0" applyFont="1" applyBorder="1"/>
    <xf numFmtId="2" fontId="33" fillId="0" borderId="42" xfId="0" applyNumberFormat="1" applyFont="1" applyBorder="1"/>
    <xf numFmtId="0" fontId="33" fillId="0" borderId="43" xfId="0" applyFont="1" applyBorder="1"/>
    <xf numFmtId="1" fontId="33" fillId="0" borderId="24" xfId="0" applyNumberFormat="1" applyFont="1" applyBorder="1"/>
    <xf numFmtId="0" fontId="37" fillId="0" borderId="0" xfId="0" applyFont="1" applyAlignment="1"/>
    <xf numFmtId="0" fontId="33" fillId="0" borderId="46" xfId="0" applyFont="1" applyBorder="1"/>
    <xf numFmtId="9" fontId="33" fillId="0" borderId="42" xfId="1" applyNumberFormat="1" applyFont="1" applyBorder="1"/>
    <xf numFmtId="9" fontId="33" fillId="0" borderId="25" xfId="1" applyNumberFormat="1" applyFont="1" applyBorder="1"/>
    <xf numFmtId="9" fontId="33" fillId="0" borderId="43" xfId="0" applyNumberFormat="1" applyFont="1" applyBorder="1"/>
    <xf numFmtId="9" fontId="33" fillId="0" borderId="46" xfId="0" applyNumberFormat="1" applyFont="1" applyBorder="1"/>
    <xf numFmtId="9" fontId="33" fillId="0" borderId="24" xfId="1" applyNumberFormat="1" applyFont="1" applyBorder="1"/>
    <xf numFmtId="9" fontId="33" fillId="0" borderId="24" xfId="1" applyFont="1" applyBorder="1"/>
    <xf numFmtId="0" fontId="35" fillId="0" borderId="37" xfId="0" applyFont="1" applyBorder="1"/>
    <xf numFmtId="0" fontId="33" fillId="0" borderId="38" xfId="0" applyFont="1" applyBorder="1"/>
    <xf numFmtId="0" fontId="33" fillId="0" borderId="39" xfId="0" applyFont="1" applyBorder="1"/>
    <xf numFmtId="0" fontId="33" fillId="0" borderId="45" xfId="0" applyFont="1" applyBorder="1"/>
    <xf numFmtId="2" fontId="33" fillId="0" borderId="0" xfId="0" applyNumberFormat="1" applyFont="1"/>
    <xf numFmtId="0" fontId="33" fillId="2" borderId="0" xfId="0" applyFont="1" applyFill="1"/>
    <xf numFmtId="164" fontId="33" fillId="2" borderId="45" xfId="0" applyNumberFormat="1" applyFont="1" applyFill="1" applyBorder="1"/>
    <xf numFmtId="0" fontId="33" fillId="2" borderId="46" xfId="0" applyFont="1" applyFill="1" applyBorder="1"/>
    <xf numFmtId="164" fontId="33" fillId="2" borderId="47" xfId="0" applyNumberFormat="1" applyFont="1" applyFill="1" applyBorder="1"/>
    <xf numFmtId="170" fontId="33" fillId="0" borderId="0" xfId="0" applyNumberFormat="1" applyFont="1"/>
    <xf numFmtId="171" fontId="33" fillId="0" borderId="0" xfId="0" applyNumberFormat="1" applyFont="1"/>
    <xf numFmtId="167" fontId="33" fillId="0" borderId="45" xfId="0" applyNumberFormat="1" applyFont="1" applyBorder="1"/>
    <xf numFmtId="165" fontId="33" fillId="0" borderId="45" xfId="0" applyNumberFormat="1" applyFont="1" applyBorder="1"/>
    <xf numFmtId="164" fontId="33" fillId="0" borderId="45" xfId="0" applyNumberFormat="1" applyFont="1" applyBorder="1"/>
    <xf numFmtId="2" fontId="33" fillId="0" borderId="45" xfId="0" applyNumberFormat="1" applyFont="1" applyBorder="1"/>
    <xf numFmtId="2" fontId="33" fillId="2" borderId="45" xfId="0" applyNumberFormat="1" applyFont="1" applyFill="1" applyBorder="1"/>
    <xf numFmtId="2" fontId="33" fillId="2" borderId="47" xfId="0" applyNumberFormat="1" applyFont="1" applyFill="1" applyBorder="1"/>
    <xf numFmtId="1" fontId="33" fillId="2" borderId="0" xfId="0" applyNumberFormat="1" applyFont="1" applyFill="1"/>
    <xf numFmtId="0" fontId="35" fillId="0" borderId="38" xfId="0" applyFont="1" applyBorder="1"/>
    <xf numFmtId="0" fontId="35" fillId="0" borderId="39" xfId="0" applyFont="1" applyBorder="1"/>
    <xf numFmtId="1" fontId="33" fillId="0" borderId="25" xfId="0" applyNumberFormat="1" applyFont="1" applyBorder="1"/>
    <xf numFmtId="0" fontId="33" fillId="0" borderId="0" xfId="0" applyFont="1" applyBorder="1"/>
    <xf numFmtId="0" fontId="33" fillId="0" borderId="48" xfId="0" applyFont="1" applyBorder="1"/>
    <xf numFmtId="2" fontId="33" fillId="0" borderId="1" xfId="0" applyNumberFormat="1" applyFont="1" applyBorder="1"/>
    <xf numFmtId="166" fontId="33" fillId="0" borderId="24" xfId="0" applyNumberFormat="1" applyFont="1" applyBorder="1"/>
    <xf numFmtId="2" fontId="33" fillId="0" borderId="25" xfId="0" applyNumberFormat="1" applyFont="1" applyBorder="1"/>
    <xf numFmtId="2" fontId="33" fillId="0" borderId="44" xfId="0" applyNumberFormat="1" applyFont="1" applyBorder="1"/>
    <xf numFmtId="169" fontId="33" fillId="0" borderId="42" xfId="1" applyNumberFormat="1" applyFont="1" applyBorder="1"/>
    <xf numFmtId="10" fontId="33" fillId="0" borderId="43" xfId="0" applyNumberFormat="1" applyFont="1" applyBorder="1"/>
    <xf numFmtId="10" fontId="33" fillId="0" borderId="46" xfId="0" applyNumberFormat="1" applyFont="1" applyBorder="1"/>
    <xf numFmtId="10" fontId="33" fillId="0" borderId="24" xfId="1" applyNumberFormat="1" applyFont="1" applyBorder="1"/>
    <xf numFmtId="172" fontId="33" fillId="0" borderId="0" xfId="0" applyNumberFormat="1" applyFont="1"/>
    <xf numFmtId="0" fontId="33" fillId="0" borderId="37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2" fontId="33" fillId="0" borderId="27" xfId="0" applyNumberFormat="1" applyFont="1" applyBorder="1"/>
    <xf numFmtId="0" fontId="33" fillId="0" borderId="24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8" fillId="0" borderId="0" xfId="0" applyFont="1"/>
    <xf numFmtId="0" fontId="33" fillId="0" borderId="4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2" fontId="33" fillId="0" borderId="47" xfId="0" applyNumberFormat="1" applyFont="1" applyBorder="1"/>
    <xf numFmtId="0" fontId="39" fillId="0" borderId="0" xfId="0" applyFont="1"/>
    <xf numFmtId="164" fontId="33" fillId="0" borderId="24" xfId="0" applyNumberFormat="1" applyFont="1" applyBorder="1"/>
    <xf numFmtId="0" fontId="35" fillId="0" borderId="0" xfId="0" applyFont="1"/>
    <xf numFmtId="0" fontId="41" fillId="0" borderId="24" xfId="0" applyFont="1" applyBorder="1"/>
    <xf numFmtId="0" fontId="41" fillId="0" borderId="24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42" fillId="0" borderId="49" xfId="0" applyFont="1" applyFill="1" applyBorder="1" applyAlignment="1">
      <alignment horizontal="right"/>
    </xf>
    <xf numFmtId="0" fontId="0" fillId="0" borderId="10" xfId="0" applyFill="1" applyBorder="1" applyAlignment="1"/>
    <xf numFmtId="0" fontId="43" fillId="0" borderId="50" xfId="0" applyFont="1" applyFill="1" applyBorder="1" applyAlignment="1">
      <alignment horizontal="center"/>
    </xf>
    <xf numFmtId="0" fontId="0" fillId="0" borderId="0" xfId="0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9" fontId="33" fillId="0" borderId="0" xfId="1" applyFont="1" applyBorder="1"/>
    <xf numFmtId="1" fontId="33" fillId="0" borderId="0" xfId="0" applyNumberFormat="1" applyFont="1" applyBorder="1"/>
    <xf numFmtId="166" fontId="33" fillId="0" borderId="0" xfId="0" applyNumberFormat="1" applyFont="1" applyBorder="1"/>
    <xf numFmtId="0" fontId="41" fillId="0" borderId="0" xfId="0" applyFont="1" applyBorder="1" applyAlignment="1">
      <alignment horizontal="center" vertical="center" wrapText="1"/>
    </xf>
    <xf numFmtId="1" fontId="41" fillId="0" borderId="24" xfId="0" applyNumberFormat="1" applyFont="1" applyBorder="1"/>
    <xf numFmtId="11" fontId="0" fillId="0" borderId="0" xfId="0" applyNumberFormat="1" applyFill="1" applyBorder="1" applyAlignment="1"/>
    <xf numFmtId="1" fontId="0" fillId="0" borderId="0" xfId="0" applyNumberFormat="1" applyFill="1" applyBorder="1" applyAlignment="1"/>
    <xf numFmtId="1" fontId="0" fillId="0" borderId="10" xfId="0" applyNumberFormat="1" applyFill="1" applyBorder="1" applyAlignment="1"/>
    <xf numFmtId="1" fontId="36" fillId="0" borderId="0" xfId="0" applyNumberFormat="1" applyFont="1" applyFill="1"/>
    <xf numFmtId="1" fontId="45" fillId="0" borderId="0" xfId="0" applyNumberFormat="1" applyFont="1" applyFill="1"/>
    <xf numFmtId="1" fontId="35" fillId="0" borderId="0" xfId="0" applyNumberFormat="1" applyFont="1" applyBorder="1"/>
    <xf numFmtId="2" fontId="33" fillId="0" borderId="0" xfId="0" applyNumberFormat="1" applyFont="1" applyBorder="1"/>
    <xf numFmtId="169" fontId="33" fillId="0" borderId="0" xfId="1" applyNumberFormat="1" applyFont="1" applyBorder="1"/>
    <xf numFmtId="10" fontId="33" fillId="0" borderId="0" xfId="1" applyNumberFormat="1" applyFont="1" applyBorder="1"/>
    <xf numFmtId="9" fontId="33" fillId="0" borderId="0" xfId="0" applyNumberFormat="1" applyFont="1"/>
    <xf numFmtId="0" fontId="46" fillId="0" borderId="0" xfId="0" applyFont="1"/>
    <xf numFmtId="166" fontId="0" fillId="0" borderId="0" xfId="0" applyNumberFormat="1"/>
    <xf numFmtId="0" fontId="45" fillId="0" borderId="0" xfId="0" applyFont="1"/>
    <xf numFmtId="0" fontId="36" fillId="0" borderId="0" xfId="0" applyFont="1"/>
    <xf numFmtId="0" fontId="48" fillId="0" borderId="0" xfId="0" applyFont="1"/>
    <xf numFmtId="166" fontId="36" fillId="0" borderId="0" xfId="0" applyNumberFormat="1" applyFont="1"/>
    <xf numFmtId="164" fontId="36" fillId="0" borderId="0" xfId="0" applyNumberFormat="1" applyFont="1"/>
    <xf numFmtId="2" fontId="36" fillId="0" borderId="0" xfId="0" applyNumberFormat="1" applyFont="1"/>
    <xf numFmtId="0" fontId="4" fillId="0" borderId="0" xfId="0" applyFont="1"/>
    <xf numFmtId="0" fontId="50" fillId="0" borderId="0" xfId="0" applyFont="1"/>
    <xf numFmtId="0" fontId="50" fillId="0" borderId="24" xfId="0" applyFont="1" applyBorder="1"/>
    <xf numFmtId="166" fontId="50" fillId="0" borderId="0" xfId="0" applyNumberFormat="1" applyFont="1"/>
    <xf numFmtId="0" fontId="36" fillId="0" borderId="18" xfId="0" applyFont="1" applyBorder="1"/>
    <xf numFmtId="166" fontId="36" fillId="0" borderId="18" xfId="0" applyNumberFormat="1" applyFont="1" applyBorder="1"/>
    <xf numFmtId="173" fontId="0" fillId="0" borderId="0" xfId="0" applyNumberFormat="1"/>
    <xf numFmtId="0" fontId="33" fillId="32" borderId="0" xfId="0" applyFont="1" applyFill="1" applyBorder="1"/>
    <xf numFmtId="2" fontId="33" fillId="32" borderId="0" xfId="0" applyNumberFormat="1" applyFont="1" applyFill="1" applyBorder="1"/>
    <xf numFmtId="2" fontId="33" fillId="32" borderId="20" xfId="0" applyNumberFormat="1" applyFont="1" applyFill="1" applyBorder="1"/>
    <xf numFmtId="0" fontId="33" fillId="33" borderId="0" xfId="0" applyFont="1" applyFill="1" applyBorder="1"/>
    <xf numFmtId="2" fontId="33" fillId="33" borderId="0" xfId="0" applyNumberFormat="1" applyFont="1" applyFill="1" applyBorder="1"/>
    <xf numFmtId="2" fontId="33" fillId="33" borderId="20" xfId="0" applyNumberFormat="1" applyFont="1" applyFill="1" applyBorder="1"/>
    <xf numFmtId="0" fontId="33" fillId="30" borderId="0" xfId="0" applyFont="1" applyFill="1" applyBorder="1"/>
    <xf numFmtId="2" fontId="33" fillId="30" borderId="0" xfId="0" applyNumberFormat="1" applyFont="1" applyFill="1" applyBorder="1"/>
    <xf numFmtId="2" fontId="33" fillId="30" borderId="20" xfId="0" applyNumberFormat="1" applyFont="1" applyFill="1" applyBorder="1"/>
    <xf numFmtId="0" fontId="33" fillId="30" borderId="2" xfId="0" applyFont="1" applyFill="1" applyBorder="1"/>
    <xf numFmtId="2" fontId="33" fillId="30" borderId="2" xfId="0" applyNumberFormat="1" applyFont="1" applyFill="1" applyBorder="1"/>
    <xf numFmtId="0" fontId="33" fillId="0" borderId="2" xfId="0" applyFont="1" applyBorder="1" applyAlignment="1">
      <alignment vertical="center"/>
    </xf>
    <xf numFmtId="1" fontId="36" fillId="0" borderId="0" xfId="0" applyNumberFormat="1" applyFont="1"/>
    <xf numFmtId="0" fontId="52" fillId="0" borderId="24" xfId="0" applyFont="1" applyBorder="1" applyAlignment="1">
      <alignment horizontal="center" vertical="center"/>
    </xf>
    <xf numFmtId="164" fontId="52" fillId="0" borderId="24" xfId="0" applyNumberFormat="1" applyFont="1" applyBorder="1" applyAlignment="1">
      <alignment horizontal="center" vertical="center"/>
    </xf>
    <xf numFmtId="2" fontId="52" fillId="0" borderId="24" xfId="0" applyNumberFormat="1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4" xfId="0" applyFont="1" applyBorder="1"/>
    <xf numFmtId="0" fontId="52" fillId="0" borderId="24" xfId="0" applyFont="1" applyBorder="1"/>
    <xf numFmtId="0" fontId="52" fillId="0" borderId="55" xfId="0" applyFont="1" applyBorder="1"/>
    <xf numFmtId="0" fontId="52" fillId="0" borderId="56" xfId="0" applyFont="1" applyBorder="1"/>
    <xf numFmtId="0" fontId="52" fillId="0" borderId="57" xfId="0" applyFont="1" applyBorder="1"/>
    <xf numFmtId="0" fontId="52" fillId="0" borderId="58" xfId="0" applyFont="1" applyBorder="1"/>
    <xf numFmtId="11" fontId="33" fillId="0" borderId="0" xfId="0" applyNumberFormat="1" applyFont="1"/>
    <xf numFmtId="0" fontId="49" fillId="0" borderId="0" xfId="0" applyFont="1"/>
    <xf numFmtId="0" fontId="33" fillId="4" borderId="0" xfId="0" applyFont="1" applyFill="1" applyBorder="1"/>
    <xf numFmtId="0" fontId="56" fillId="0" borderId="0" xfId="0" applyFont="1"/>
    <xf numFmtId="165" fontId="46" fillId="0" borderId="0" xfId="0" applyNumberFormat="1" applyFont="1"/>
    <xf numFmtId="174" fontId="46" fillId="0" borderId="0" xfId="0" applyNumberFormat="1" applyFont="1"/>
    <xf numFmtId="2" fontId="46" fillId="0" borderId="0" xfId="0" applyNumberFormat="1" applyFont="1"/>
    <xf numFmtId="167" fontId="33" fillId="0" borderId="0" xfId="0" applyNumberFormat="1" applyFont="1"/>
    <xf numFmtId="165" fontId="35" fillId="0" borderId="0" xfId="0" applyNumberFormat="1" applyFont="1"/>
    <xf numFmtId="11" fontId="35" fillId="0" borderId="0" xfId="0" applyNumberFormat="1" applyFont="1"/>
    <xf numFmtId="175" fontId="46" fillId="0" borderId="0" xfId="0" applyNumberFormat="1" applyFont="1"/>
    <xf numFmtId="0" fontId="25" fillId="0" borderId="11" xfId="0" applyFont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3" fillId="0" borderId="0" xfId="0" applyFont="1" applyFill="1" applyBorder="1"/>
    <xf numFmtId="0" fontId="52" fillId="0" borderId="0" xfId="0" applyFont="1" applyFill="1" applyBorder="1"/>
    <xf numFmtId="0" fontId="36" fillId="0" borderId="0" xfId="0" applyFont="1" applyFill="1" applyBorder="1" applyAlignment="1">
      <alignment vertical="center" wrapText="1"/>
    </xf>
    <xf numFmtId="2" fontId="35" fillId="0" borderId="0" xfId="0" applyNumberFormat="1" applyFont="1"/>
    <xf numFmtId="2" fontId="35" fillId="0" borderId="20" xfId="0" applyNumberFormat="1" applyFont="1" applyBorder="1"/>
    <xf numFmtId="0" fontId="35" fillId="0" borderId="20" xfId="0" applyFont="1" applyBorder="1"/>
    <xf numFmtId="0" fontId="33" fillId="0" borderId="20" xfId="0" applyFont="1" applyBorder="1"/>
    <xf numFmtId="2" fontId="33" fillId="0" borderId="20" xfId="0" applyNumberFormat="1" applyFont="1" applyBorder="1"/>
    <xf numFmtId="0" fontId="37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57" fillId="0" borderId="20" xfId="0" applyFont="1" applyBorder="1"/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58" fillId="0" borderId="0" xfId="0" applyFont="1"/>
    <xf numFmtId="0" fontId="35" fillId="0" borderId="5" xfId="0" applyFont="1" applyBorder="1"/>
    <xf numFmtId="0" fontId="35" fillId="0" borderId="10" xfId="0" applyFont="1" applyBorder="1"/>
    <xf numFmtId="0" fontId="33" fillId="0" borderId="10" xfId="0" applyFont="1" applyBorder="1"/>
    <xf numFmtId="0" fontId="35" fillId="0" borderId="22" xfId="0" applyFont="1" applyBorder="1"/>
    <xf numFmtId="2" fontId="35" fillId="0" borderId="22" xfId="0" applyNumberFormat="1" applyFont="1" applyBorder="1"/>
    <xf numFmtId="0" fontId="54" fillId="0" borderId="10" xfId="0" applyFont="1" applyBorder="1"/>
    <xf numFmtId="0" fontId="35" fillId="0" borderId="20" xfId="0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center" vertical="center"/>
    </xf>
    <xf numFmtId="0" fontId="35" fillId="0" borderId="24" xfId="0" applyFont="1" applyBorder="1"/>
    <xf numFmtId="0" fontId="35" fillId="0" borderId="24" xfId="0" applyFont="1" applyBorder="1" applyAlignment="1">
      <alignment horizontal="center" vertical="center"/>
    </xf>
    <xf numFmtId="0" fontId="35" fillId="5" borderId="24" xfId="0" applyFont="1" applyFill="1" applyBorder="1"/>
    <xf numFmtId="0" fontId="33" fillId="4" borderId="24" xfId="0" applyFont="1" applyFill="1" applyBorder="1"/>
    <xf numFmtId="2" fontId="35" fillId="0" borderId="24" xfId="0" applyNumberFormat="1" applyFont="1" applyBorder="1"/>
    <xf numFmtId="2" fontId="35" fillId="8" borderId="24" xfId="0" applyNumberFormat="1" applyFont="1" applyFill="1" applyBorder="1"/>
    <xf numFmtId="2" fontId="33" fillId="5" borderId="20" xfId="0" applyNumberFormat="1" applyFont="1" applyFill="1" applyBorder="1"/>
    <xf numFmtId="0" fontId="33" fillId="5" borderId="20" xfId="0" applyFont="1" applyFill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vertical="center"/>
    </xf>
    <xf numFmtId="21" fontId="33" fillId="0" borderId="0" xfId="0" applyNumberFormat="1" applyFont="1"/>
    <xf numFmtId="0" fontId="60" fillId="0" borderId="0" xfId="0" applyFont="1"/>
    <xf numFmtId="2" fontId="33" fillId="28" borderId="0" xfId="0" applyNumberFormat="1" applyFont="1" applyFill="1"/>
    <xf numFmtId="21" fontId="33" fillId="8" borderId="0" xfId="0" applyNumberFormat="1" applyFont="1" applyFill="1"/>
    <xf numFmtId="0" fontId="33" fillId="8" borderId="0" xfId="0" applyFont="1" applyFill="1"/>
    <xf numFmtId="0" fontId="33" fillId="5" borderId="0" xfId="0" applyFont="1" applyFill="1"/>
    <xf numFmtId="165" fontId="33" fillId="0" borderId="0" xfId="0" applyNumberFormat="1" applyFont="1"/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horizontal="left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62" fillId="0" borderId="0" xfId="0" applyFont="1"/>
    <xf numFmtId="166" fontId="33" fillId="32" borderId="0" xfId="0" applyNumberFormat="1" applyFont="1" applyFill="1" applyBorder="1"/>
    <xf numFmtId="166" fontId="33" fillId="33" borderId="0" xfId="0" applyNumberFormat="1" applyFont="1" applyFill="1" applyBorder="1"/>
    <xf numFmtId="1" fontId="33" fillId="33" borderId="0" xfId="0" applyNumberFormat="1" applyFont="1" applyFill="1" applyBorder="1"/>
    <xf numFmtId="0" fontId="61" fillId="0" borderId="0" xfId="0" applyFont="1"/>
    <xf numFmtId="166" fontId="33" fillId="0" borderId="0" xfId="0" applyNumberFormat="1" applyFont="1"/>
    <xf numFmtId="166" fontId="33" fillId="0" borderId="0" xfId="0" applyNumberFormat="1" applyFont="1" applyFill="1"/>
    <xf numFmtId="164" fontId="36" fillId="4" borderId="0" xfId="0" applyNumberFormat="1" applyFont="1" applyFill="1"/>
    <xf numFmtId="164" fontId="36" fillId="23" borderId="0" xfId="0" applyNumberFormat="1" applyFont="1" applyFill="1"/>
    <xf numFmtId="164" fontId="36" fillId="31" borderId="20" xfId="0" applyNumberFormat="1" applyFont="1" applyFill="1" applyBorder="1"/>
    <xf numFmtId="0" fontId="33" fillId="7" borderId="24" xfId="0" applyFont="1" applyFill="1" applyBorder="1"/>
    <xf numFmtId="0" fontId="33" fillId="23" borderId="24" xfId="0" applyFont="1" applyFill="1" applyBorder="1"/>
    <xf numFmtId="0" fontId="33" fillId="0" borderId="0" xfId="0" applyFont="1" applyAlignment="1">
      <alignment vertical="top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6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top"/>
    </xf>
    <xf numFmtId="0" fontId="24" fillId="9" borderId="0" xfId="0" applyFont="1" applyFill="1" applyAlignment="1">
      <alignment horizontal="center" vertical="center"/>
    </xf>
    <xf numFmtId="164" fontId="24" fillId="10" borderId="0" xfId="0" applyNumberFormat="1" applyFont="1" applyFill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13" borderId="0" xfId="0" applyFont="1" applyFill="1" applyAlignment="1">
      <alignment horizontal="center" vertical="center"/>
    </xf>
    <xf numFmtId="49" fontId="23" fillId="11" borderId="35" xfId="0" applyNumberFormat="1" applyFont="1" applyFill="1" applyBorder="1" applyAlignment="1">
      <alignment horizontal="center" vertical="center"/>
    </xf>
    <xf numFmtId="49" fontId="23" fillId="11" borderId="28" xfId="0" applyNumberFormat="1" applyFont="1" applyFill="1" applyBorder="1" applyAlignment="1">
      <alignment horizontal="center" vertical="center"/>
    </xf>
    <xf numFmtId="49" fontId="23" fillId="11" borderId="36" xfId="0" applyNumberFormat="1" applyFont="1" applyFill="1" applyBorder="1" applyAlignment="1">
      <alignment horizontal="center" vertical="center"/>
    </xf>
    <xf numFmtId="0" fontId="24" fillId="12" borderId="29" xfId="0" applyFont="1" applyFill="1" applyBorder="1" applyAlignment="1">
      <alignment horizontal="center" vertical="center"/>
    </xf>
    <xf numFmtId="0" fontId="24" fillId="12" borderId="30" xfId="0" applyFont="1" applyFill="1" applyBorder="1" applyAlignment="1">
      <alignment horizontal="center" vertical="center"/>
    </xf>
    <xf numFmtId="49" fontId="23" fillId="11" borderId="2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1" fontId="30" fillId="0" borderId="0" xfId="0" applyNumberFormat="1" applyFont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5" fillId="27" borderId="0" xfId="0" applyFont="1" applyFill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 vertical="top" wrapText="1"/>
    </xf>
    <xf numFmtId="0" fontId="35" fillId="29" borderId="0" xfId="0" applyFont="1" applyFill="1" applyAlignment="1">
      <alignment horizontal="center"/>
    </xf>
    <xf numFmtId="0" fontId="35" fillId="26" borderId="0" xfId="0" applyFont="1" applyFill="1" applyAlignment="1">
      <alignment horizontal="center" vertical="center"/>
    </xf>
    <xf numFmtId="0" fontId="35" fillId="3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" fontId="33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3" fillId="22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 wrapText="1"/>
    </xf>
    <xf numFmtId="0" fontId="33" fillId="26" borderId="0" xfId="0" applyFont="1" applyFill="1" applyAlignment="1">
      <alignment horizontal="center" vertical="center" wrapText="1"/>
    </xf>
    <xf numFmtId="0" fontId="33" fillId="27" borderId="0" xfId="0" applyFont="1" applyFill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9" fontId="41" fillId="0" borderId="25" xfId="1" applyFont="1" applyBorder="1" applyAlignment="1">
      <alignment horizontal="center" vertical="center" wrapText="1"/>
    </xf>
    <xf numFmtId="9" fontId="41" fillId="0" borderId="41" xfId="1" applyFont="1" applyBorder="1" applyAlignment="1">
      <alignment horizontal="center" vertical="center" wrapText="1"/>
    </xf>
    <xf numFmtId="9" fontId="41" fillId="0" borderId="27" xfId="1" applyFont="1" applyBorder="1" applyAlignment="1">
      <alignment horizontal="center" vertical="center" wrapText="1"/>
    </xf>
    <xf numFmtId="9" fontId="41" fillId="0" borderId="47" xfId="1" applyFont="1" applyBorder="1" applyAlignment="1">
      <alignment horizontal="center" vertical="center" wrapText="1"/>
    </xf>
    <xf numFmtId="9" fontId="41" fillId="0" borderId="44" xfId="1" applyFont="1" applyBorder="1" applyAlignment="1">
      <alignment horizontal="center" vertical="center" wrapText="1"/>
    </xf>
    <xf numFmtId="9" fontId="41" fillId="0" borderId="45" xfId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23" borderId="0" xfId="0" applyFont="1" applyFill="1" applyAlignment="1">
      <alignment horizontal="center" vertical="center"/>
    </xf>
    <xf numFmtId="9" fontId="33" fillId="0" borderId="0" xfId="0" applyNumberFormat="1" applyFont="1" applyAlignment="1">
      <alignment horizontal="center"/>
    </xf>
    <xf numFmtId="0" fontId="33" fillId="21" borderId="0" xfId="0" applyFont="1" applyFill="1" applyAlignment="1">
      <alignment horizontal="center" vertical="center"/>
    </xf>
    <xf numFmtId="0" fontId="33" fillId="22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35" fillId="0" borderId="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64" fontId="33" fillId="0" borderId="5" xfId="0" applyNumberFormat="1" applyFont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66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66" fontId="36" fillId="0" borderId="1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14" borderId="37" xfId="0" applyFont="1" applyFill="1" applyBorder="1" applyAlignment="1">
      <alignment horizontal="center" vertical="center"/>
    </xf>
    <xf numFmtId="0" fontId="52" fillId="14" borderId="38" xfId="0" applyFont="1" applyFill="1" applyBorder="1" applyAlignment="1">
      <alignment horizontal="center" vertical="center"/>
    </xf>
    <xf numFmtId="0" fontId="52" fillId="14" borderId="39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27" borderId="51" xfId="0" applyFont="1" applyFill="1" applyBorder="1" applyAlignment="1">
      <alignment horizontal="center" vertical="center"/>
    </xf>
    <xf numFmtId="0" fontId="51" fillId="27" borderId="52" xfId="0" applyFont="1" applyFill="1" applyBorder="1" applyAlignment="1">
      <alignment horizontal="center" vertical="center"/>
    </xf>
    <xf numFmtId="0" fontId="51" fillId="27" borderId="53" xfId="0" applyFont="1" applyFill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1" fillId="34" borderId="1" xfId="0" applyFont="1" applyFill="1" applyBorder="1" applyAlignment="1">
      <alignment horizontal="center" vertical="center"/>
    </xf>
    <xf numFmtId="0" fontId="51" fillId="34" borderId="44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51" fillId="34" borderId="46" xfId="0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30" borderId="0" xfId="0" applyFont="1" applyFill="1" applyBorder="1" applyAlignment="1">
      <alignment horizontal="center" vertical="center"/>
    </xf>
    <xf numFmtId="0" fontId="33" fillId="30" borderId="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9" fontId="36" fillId="0" borderId="0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33" fillId="32" borderId="0" xfId="0" applyFont="1" applyFill="1" applyBorder="1" applyAlignment="1">
      <alignment horizontal="center" vertical="center"/>
    </xf>
    <xf numFmtId="0" fontId="33" fillId="5" borderId="41" xfId="0" applyFont="1" applyFill="1" applyBorder="1"/>
    <xf numFmtId="2" fontId="33" fillId="5" borderId="42" xfId="0" applyNumberFormat="1" applyFont="1" applyFill="1" applyBorder="1"/>
    <xf numFmtId="0" fontId="33" fillId="5" borderId="40" xfId="0" applyFont="1" applyFill="1" applyBorder="1"/>
    <xf numFmtId="164" fontId="33" fillId="5" borderId="24" xfId="0" applyNumberFormat="1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'3'!$X$4</c:f>
              <c:strCache>
                <c:ptCount val="1"/>
                <c:pt idx="0">
                  <c:v>F(t)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'3'!$P$5:$P$968</c:f>
              <c:numCache>
                <c:formatCode>General</c:formatCode>
                <c:ptCount val="9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</c:numCache>
            </c:numRef>
          </c:xVal>
          <c:yVal>
            <c:numRef>
              <c:f>'3'!$X$5:$X$968</c:f>
              <c:numCache>
                <c:formatCode>0.000</c:formatCode>
                <c:ptCount val="964"/>
                <c:pt idx="0">
                  <c:v>0</c:v>
                </c:pt>
                <c:pt idx="1">
                  <c:v>1.5452538631346563E-3</c:v>
                </c:pt>
                <c:pt idx="2">
                  <c:v>0</c:v>
                </c:pt>
                <c:pt idx="3">
                  <c:v>1.4716703458425313E-3</c:v>
                </c:pt>
                <c:pt idx="4">
                  <c:v>-1.4716703458425313E-3</c:v>
                </c:pt>
                <c:pt idx="5">
                  <c:v>1.5452538631346563E-3</c:v>
                </c:pt>
                <c:pt idx="6">
                  <c:v>-6.6225165562914059E-4</c:v>
                </c:pt>
                <c:pt idx="7">
                  <c:v>2.9433406916850625E-3</c:v>
                </c:pt>
                <c:pt idx="8">
                  <c:v>0</c:v>
                </c:pt>
                <c:pt idx="9">
                  <c:v>1.5452538631346563E-3</c:v>
                </c:pt>
                <c:pt idx="10">
                  <c:v>0</c:v>
                </c:pt>
                <c:pt idx="11">
                  <c:v>1.4716703458425313E-3</c:v>
                </c:pt>
                <c:pt idx="12">
                  <c:v>7.3583517292125005E-5</c:v>
                </c:pt>
                <c:pt idx="13">
                  <c:v>1.4716703458425313E-3</c:v>
                </c:pt>
                <c:pt idx="14">
                  <c:v>7.3583517292126564E-4</c:v>
                </c:pt>
                <c:pt idx="15">
                  <c:v>2.2075055187637969E-3</c:v>
                </c:pt>
                <c:pt idx="16">
                  <c:v>1.4716703458425313E-3</c:v>
                </c:pt>
                <c:pt idx="17">
                  <c:v>2.2075055187637969E-3</c:v>
                </c:pt>
                <c:pt idx="18">
                  <c:v>2.2075055187637969E-3</c:v>
                </c:pt>
                <c:pt idx="19">
                  <c:v>2.2075055187637969E-3</c:v>
                </c:pt>
                <c:pt idx="20">
                  <c:v>2.2075055187637969E-3</c:v>
                </c:pt>
                <c:pt idx="21">
                  <c:v>0</c:v>
                </c:pt>
                <c:pt idx="22">
                  <c:v>0</c:v>
                </c:pt>
                <c:pt idx="23">
                  <c:v>2.2075055187637969E-3</c:v>
                </c:pt>
                <c:pt idx="24">
                  <c:v>1.4716703458425313E-3</c:v>
                </c:pt>
                <c:pt idx="25">
                  <c:v>2.2075055187637969E-3</c:v>
                </c:pt>
                <c:pt idx="26">
                  <c:v>1.4716703458425313E-3</c:v>
                </c:pt>
                <c:pt idx="27">
                  <c:v>2.2075055187637969E-3</c:v>
                </c:pt>
                <c:pt idx="28">
                  <c:v>2.2075055187637969E-3</c:v>
                </c:pt>
                <c:pt idx="29">
                  <c:v>3.0169242089771878E-3</c:v>
                </c:pt>
                <c:pt idx="30">
                  <c:v>3.0169242089771878E-3</c:v>
                </c:pt>
                <c:pt idx="31">
                  <c:v>2.2810890360559217E-3</c:v>
                </c:pt>
                <c:pt idx="32">
                  <c:v>2.2810890360559217E-3</c:v>
                </c:pt>
                <c:pt idx="33">
                  <c:v>3.0169242089771878E-3</c:v>
                </c:pt>
                <c:pt idx="34">
                  <c:v>3.6791758646063282E-3</c:v>
                </c:pt>
                <c:pt idx="35">
                  <c:v>1.5452538631346563E-3</c:v>
                </c:pt>
                <c:pt idx="36">
                  <c:v>2.2810890360559217E-3</c:v>
                </c:pt>
                <c:pt idx="37">
                  <c:v>3.752759381898453E-3</c:v>
                </c:pt>
                <c:pt idx="38">
                  <c:v>4.4885945548197191E-3</c:v>
                </c:pt>
                <c:pt idx="39">
                  <c:v>3.752759381898453E-3</c:v>
                </c:pt>
                <c:pt idx="40">
                  <c:v>4.5621780721118461E-3</c:v>
                </c:pt>
                <c:pt idx="41">
                  <c:v>5.2980132450331126E-3</c:v>
                </c:pt>
                <c:pt idx="42">
                  <c:v>6.769683590875643E-3</c:v>
                </c:pt>
                <c:pt idx="43">
                  <c:v>6.8432671081677708E-3</c:v>
                </c:pt>
                <c:pt idx="44">
                  <c:v>8.3885209713024274E-3</c:v>
                </c:pt>
                <c:pt idx="45">
                  <c:v>8.4621044885945552E-3</c:v>
                </c:pt>
                <c:pt idx="46">
                  <c:v>9.1979396615158217E-3</c:v>
                </c:pt>
                <c:pt idx="47">
                  <c:v>1.2214863870493007E-2</c:v>
                </c:pt>
                <c:pt idx="48">
                  <c:v>1.4643119941133185E-2</c:v>
                </c:pt>
                <c:pt idx="49">
                  <c:v>1.5452538631346579E-2</c:v>
                </c:pt>
                <c:pt idx="50">
                  <c:v>1.6997792494481235E-2</c:v>
                </c:pt>
                <c:pt idx="51">
                  <c:v>1.9352465047829288E-2</c:v>
                </c:pt>
                <c:pt idx="52">
                  <c:v>1.8763796909492272E-2</c:v>
                </c:pt>
                <c:pt idx="53">
                  <c:v>1.7365710080941867E-2</c:v>
                </c:pt>
                <c:pt idx="54">
                  <c:v>1.8322295805739512E-2</c:v>
                </c:pt>
                <c:pt idx="55">
                  <c:v>2.1412803532008827E-2</c:v>
                </c:pt>
                <c:pt idx="56">
                  <c:v>2.3841059602649005E-2</c:v>
                </c:pt>
                <c:pt idx="57">
                  <c:v>2.4871228844738778E-2</c:v>
                </c:pt>
                <c:pt idx="58">
                  <c:v>2.7446651949963204E-2</c:v>
                </c:pt>
                <c:pt idx="59">
                  <c:v>2.8329654157468728E-2</c:v>
                </c:pt>
                <c:pt idx="60">
                  <c:v>3.1420161883738043E-2</c:v>
                </c:pt>
                <c:pt idx="61">
                  <c:v>3.3259749816041212E-2</c:v>
                </c:pt>
                <c:pt idx="62">
                  <c:v>3.5614422369389255E-2</c:v>
                </c:pt>
                <c:pt idx="63">
                  <c:v>3.5246504782928623E-2</c:v>
                </c:pt>
                <c:pt idx="64">
                  <c:v>3.9514348785871969E-2</c:v>
                </c:pt>
                <c:pt idx="65">
                  <c:v>4.1648270787343629E-2</c:v>
                </c:pt>
                <c:pt idx="66">
                  <c:v>4.5621780721118471E-2</c:v>
                </c:pt>
                <c:pt idx="67">
                  <c:v>4.2825607064017668E-2</c:v>
                </c:pt>
                <c:pt idx="68">
                  <c:v>4.4885945548197199E-2</c:v>
                </c:pt>
                <c:pt idx="69">
                  <c:v>4.5989698307579097E-2</c:v>
                </c:pt>
                <c:pt idx="70">
                  <c:v>4.7755702722590145E-2</c:v>
                </c:pt>
                <c:pt idx="71">
                  <c:v>5.091979396615158E-2</c:v>
                </c:pt>
                <c:pt idx="72">
                  <c:v>5.364238410596027E-2</c:v>
                </c:pt>
                <c:pt idx="73">
                  <c:v>5.5334805003679176E-2</c:v>
                </c:pt>
                <c:pt idx="74">
                  <c:v>5.7395143487858721E-2</c:v>
                </c:pt>
                <c:pt idx="75">
                  <c:v>6.2545989698307575E-2</c:v>
                </c:pt>
                <c:pt idx="76">
                  <c:v>6.3502575423105223E-2</c:v>
                </c:pt>
                <c:pt idx="77">
                  <c:v>6.2913907284768214E-2</c:v>
                </c:pt>
                <c:pt idx="78">
                  <c:v>6.8359087564385579E-2</c:v>
                </c:pt>
                <c:pt idx="79">
                  <c:v>6.9610007358351725E-2</c:v>
                </c:pt>
                <c:pt idx="80">
                  <c:v>7.1596762325239136E-2</c:v>
                </c:pt>
                <c:pt idx="81">
                  <c:v>7.1596762325239136E-2</c:v>
                </c:pt>
                <c:pt idx="82">
                  <c:v>7.6453274466519505E-2</c:v>
                </c:pt>
                <c:pt idx="83">
                  <c:v>8.0573951434878582E-2</c:v>
                </c:pt>
                <c:pt idx="84">
                  <c:v>8.2707873436350263E-2</c:v>
                </c:pt>
                <c:pt idx="85">
                  <c:v>8.7196467991169979E-2</c:v>
                </c:pt>
                <c:pt idx="86">
                  <c:v>8.4621044885945559E-2</c:v>
                </c:pt>
                <c:pt idx="87">
                  <c:v>8.8594554819720381E-2</c:v>
                </c:pt>
                <c:pt idx="88">
                  <c:v>9.0507726269315678E-2</c:v>
                </c:pt>
                <c:pt idx="89">
                  <c:v>9.5879323031640915E-2</c:v>
                </c:pt>
                <c:pt idx="90">
                  <c:v>9.9116997792494471E-2</c:v>
                </c:pt>
                <c:pt idx="91">
                  <c:v>9.8013245033112581E-2</c:v>
                </c:pt>
                <c:pt idx="92">
                  <c:v>9.7277409860191302E-2</c:v>
                </c:pt>
                <c:pt idx="93">
                  <c:v>0.1027961736571008</c:v>
                </c:pt>
                <c:pt idx="94">
                  <c:v>0.10323767476085358</c:v>
                </c:pt>
                <c:pt idx="95">
                  <c:v>0.11059602649006622</c:v>
                </c:pt>
                <c:pt idx="96">
                  <c:v>0.11169977924944813</c:v>
                </c:pt>
                <c:pt idx="97">
                  <c:v>0.11427520235467256</c:v>
                </c:pt>
                <c:pt idx="98">
                  <c:v>0.1177336276674025</c:v>
                </c:pt>
                <c:pt idx="99">
                  <c:v>0.11699779249448124</c:v>
                </c:pt>
                <c:pt idx="100">
                  <c:v>0.11604120676968359</c:v>
                </c:pt>
                <c:pt idx="101">
                  <c:v>0.11817512877115527</c:v>
                </c:pt>
                <c:pt idx="102">
                  <c:v>0.12266372332597497</c:v>
                </c:pt>
                <c:pt idx="103">
                  <c:v>0.12590139808682857</c:v>
                </c:pt>
                <c:pt idx="104">
                  <c:v>0.12501839587932304</c:v>
                </c:pt>
                <c:pt idx="105">
                  <c:v>0.12685798381162619</c:v>
                </c:pt>
                <c:pt idx="106">
                  <c:v>0.12641648270787345</c:v>
                </c:pt>
                <c:pt idx="107">
                  <c:v>0.1318616629874908</c:v>
                </c:pt>
                <c:pt idx="108">
                  <c:v>0.13038999264164827</c:v>
                </c:pt>
                <c:pt idx="109">
                  <c:v>0.13532008830022077</c:v>
                </c:pt>
                <c:pt idx="110">
                  <c:v>0.13841059602649008</c:v>
                </c:pt>
                <c:pt idx="111">
                  <c:v>0.14400294334069169</c:v>
                </c:pt>
                <c:pt idx="112">
                  <c:v>0.14444444444444446</c:v>
                </c:pt>
                <c:pt idx="113">
                  <c:v>0.1498160412067697</c:v>
                </c:pt>
                <c:pt idx="114">
                  <c:v>0.14996320824135395</c:v>
                </c:pt>
                <c:pt idx="115">
                  <c:v>0.15275938189845475</c:v>
                </c:pt>
                <c:pt idx="116">
                  <c:v>0.15621780721118469</c:v>
                </c:pt>
                <c:pt idx="117">
                  <c:v>0.15776306107431937</c:v>
                </c:pt>
                <c:pt idx="118">
                  <c:v>0.16254598969830758</c:v>
                </c:pt>
                <c:pt idx="119">
                  <c:v>0.16467991169977927</c:v>
                </c:pt>
                <c:pt idx="120">
                  <c:v>0.16571008094186901</c:v>
                </c:pt>
                <c:pt idx="121">
                  <c:v>0.17049300956585725</c:v>
                </c:pt>
                <c:pt idx="122">
                  <c:v>0.1712288447387785</c:v>
                </c:pt>
                <c:pt idx="123">
                  <c:v>0.17645327446651951</c:v>
                </c:pt>
                <c:pt idx="124">
                  <c:v>0.1806475349521707</c:v>
                </c:pt>
                <c:pt idx="125">
                  <c:v>0.17983811626195734</c:v>
                </c:pt>
                <c:pt idx="126">
                  <c:v>0.18506254598969829</c:v>
                </c:pt>
                <c:pt idx="127">
                  <c:v>0.19072847682119204</c:v>
                </c:pt>
                <c:pt idx="128">
                  <c:v>0.19271523178807948</c:v>
                </c:pt>
                <c:pt idx="129">
                  <c:v>0.19352465047829287</c:v>
                </c:pt>
                <c:pt idx="130">
                  <c:v>0.19506990434142754</c:v>
                </c:pt>
                <c:pt idx="131">
                  <c:v>0.19867549668874171</c:v>
                </c:pt>
                <c:pt idx="132">
                  <c:v>0.19896983075791022</c:v>
                </c:pt>
                <c:pt idx="133">
                  <c:v>0.19757174392935983</c:v>
                </c:pt>
                <c:pt idx="134">
                  <c:v>0.20176600441501102</c:v>
                </c:pt>
                <c:pt idx="135">
                  <c:v>0.20338484179543781</c:v>
                </c:pt>
                <c:pt idx="136">
                  <c:v>0.20478292862398823</c:v>
                </c:pt>
                <c:pt idx="137">
                  <c:v>0.2089036055923473</c:v>
                </c:pt>
                <c:pt idx="138">
                  <c:v>0.21118469462840325</c:v>
                </c:pt>
                <c:pt idx="139">
                  <c:v>0.21280353200883001</c:v>
                </c:pt>
                <c:pt idx="140">
                  <c:v>0.2132450331125828</c:v>
                </c:pt>
                <c:pt idx="141">
                  <c:v>0.20897718910963944</c:v>
                </c:pt>
                <c:pt idx="142">
                  <c:v>0.2149374540103017</c:v>
                </c:pt>
                <c:pt idx="143">
                  <c:v>0.22052980132450328</c:v>
                </c:pt>
                <c:pt idx="144">
                  <c:v>0.22428256070640179</c:v>
                </c:pt>
                <c:pt idx="145">
                  <c:v>0.22376747608535691</c:v>
                </c:pt>
                <c:pt idx="146">
                  <c:v>0.22671081677704194</c:v>
                </c:pt>
                <c:pt idx="147">
                  <c:v>0.22788815305371596</c:v>
                </c:pt>
                <c:pt idx="148">
                  <c:v>0.22700515084621045</c:v>
                </c:pt>
                <c:pt idx="149">
                  <c:v>0.2324503311258278</c:v>
                </c:pt>
                <c:pt idx="150">
                  <c:v>0.23509933774834438</c:v>
                </c:pt>
                <c:pt idx="151">
                  <c:v>0.23384841795437822</c:v>
                </c:pt>
                <c:pt idx="152">
                  <c:v>0.23568800588668137</c:v>
                </c:pt>
                <c:pt idx="153">
                  <c:v>0.24584253127299488</c:v>
                </c:pt>
                <c:pt idx="154">
                  <c:v>0.24687270051508461</c:v>
                </c:pt>
                <c:pt idx="155">
                  <c:v>0.24444444444444444</c:v>
                </c:pt>
                <c:pt idx="156">
                  <c:v>0.24621044885945551</c:v>
                </c:pt>
                <c:pt idx="157">
                  <c:v>0.25305371596762322</c:v>
                </c:pt>
                <c:pt idx="158">
                  <c:v>0.25886681383370119</c:v>
                </c:pt>
                <c:pt idx="159">
                  <c:v>0.25658572479764535</c:v>
                </c:pt>
                <c:pt idx="160">
                  <c:v>0.25724797645327452</c:v>
                </c:pt>
                <c:pt idx="161">
                  <c:v>0.25901398086828548</c:v>
                </c:pt>
                <c:pt idx="162">
                  <c:v>0.26041206769683589</c:v>
                </c:pt>
                <c:pt idx="163">
                  <c:v>0.26835908756438559</c:v>
                </c:pt>
                <c:pt idx="164">
                  <c:v>0.26593083149374536</c:v>
                </c:pt>
                <c:pt idx="165">
                  <c:v>0.27041942604856511</c:v>
                </c:pt>
                <c:pt idx="166">
                  <c:v>0.27159676232523916</c:v>
                </c:pt>
                <c:pt idx="167">
                  <c:v>0.27947019867549666</c:v>
                </c:pt>
                <c:pt idx="168">
                  <c:v>0.28086828550404708</c:v>
                </c:pt>
                <c:pt idx="169">
                  <c:v>0.28793230316409119</c:v>
                </c:pt>
                <c:pt idx="170">
                  <c:v>0.28984547461368648</c:v>
                </c:pt>
                <c:pt idx="171">
                  <c:v>0.29345106696100071</c:v>
                </c:pt>
                <c:pt idx="172">
                  <c:v>0.29455481972038255</c:v>
                </c:pt>
                <c:pt idx="173">
                  <c:v>0.29610007358351725</c:v>
                </c:pt>
                <c:pt idx="174">
                  <c:v>0.29705665930831493</c:v>
                </c:pt>
                <c:pt idx="175">
                  <c:v>0.30080941869021338</c:v>
                </c:pt>
                <c:pt idx="176">
                  <c:v>0.30272259013980868</c:v>
                </c:pt>
                <c:pt idx="177">
                  <c:v>0.30971302428256064</c:v>
                </c:pt>
                <c:pt idx="178">
                  <c:v>0.30765268579838118</c:v>
                </c:pt>
                <c:pt idx="179">
                  <c:v>0.30684326710816778</c:v>
                </c:pt>
                <c:pt idx="180">
                  <c:v>0.30699043414275201</c:v>
                </c:pt>
                <c:pt idx="181">
                  <c:v>0.31604120676968356</c:v>
                </c:pt>
                <c:pt idx="182">
                  <c:v>0.31648270787343635</c:v>
                </c:pt>
                <c:pt idx="183">
                  <c:v>0.32097130242825606</c:v>
                </c:pt>
                <c:pt idx="184">
                  <c:v>0.32259013980868284</c:v>
                </c:pt>
                <c:pt idx="185">
                  <c:v>0.33112582781456956</c:v>
                </c:pt>
                <c:pt idx="186">
                  <c:v>0.3383370125091979</c:v>
                </c:pt>
                <c:pt idx="187">
                  <c:v>0.33914643119941129</c:v>
                </c:pt>
                <c:pt idx="188">
                  <c:v>0.33958793230316409</c:v>
                </c:pt>
                <c:pt idx="189">
                  <c:v>0.33885209713024284</c:v>
                </c:pt>
                <c:pt idx="190">
                  <c:v>0.34348785871964677</c:v>
                </c:pt>
                <c:pt idx="191">
                  <c:v>0.34334069168506254</c:v>
                </c:pt>
                <c:pt idx="192">
                  <c:v>0.34370860927152319</c:v>
                </c:pt>
                <c:pt idx="193">
                  <c:v>0.34503311258278141</c:v>
                </c:pt>
                <c:pt idx="194">
                  <c:v>0.34569536423841057</c:v>
                </c:pt>
                <c:pt idx="195">
                  <c:v>0.35047829286239879</c:v>
                </c:pt>
                <c:pt idx="196">
                  <c:v>0.35386313465783659</c:v>
                </c:pt>
                <c:pt idx="197">
                  <c:v>0.35445180279617367</c:v>
                </c:pt>
                <c:pt idx="198">
                  <c:v>0.35584988962472408</c:v>
                </c:pt>
                <c:pt idx="199">
                  <c:v>0.35952906548933039</c:v>
                </c:pt>
                <c:pt idx="200">
                  <c:v>0.36041206769683587</c:v>
                </c:pt>
                <c:pt idx="201">
                  <c:v>0.36092715231788081</c:v>
                </c:pt>
                <c:pt idx="202">
                  <c:v>0.36460632818248712</c:v>
                </c:pt>
                <c:pt idx="203">
                  <c:v>0.36541574687270051</c:v>
                </c:pt>
                <c:pt idx="204">
                  <c:v>0.37137601177336271</c:v>
                </c:pt>
                <c:pt idx="205">
                  <c:v>0.37358351729212652</c:v>
                </c:pt>
                <c:pt idx="206">
                  <c:v>0.37726269315673289</c:v>
                </c:pt>
                <c:pt idx="207">
                  <c:v>0.380206033848418</c:v>
                </c:pt>
                <c:pt idx="208">
                  <c:v>0.38462104488594556</c:v>
                </c:pt>
                <c:pt idx="209">
                  <c:v>0.38609271523178812</c:v>
                </c:pt>
                <c:pt idx="210">
                  <c:v>0.38903605592347318</c:v>
                </c:pt>
                <c:pt idx="211">
                  <c:v>0.39124356144223699</c:v>
                </c:pt>
                <c:pt idx="212">
                  <c:v>0.39271523178807949</c:v>
                </c:pt>
                <c:pt idx="213">
                  <c:v>0.39271523178807949</c:v>
                </c:pt>
                <c:pt idx="214">
                  <c:v>0.3949227373068433</c:v>
                </c:pt>
                <c:pt idx="215">
                  <c:v>0.39639440765268585</c:v>
                </c:pt>
                <c:pt idx="216">
                  <c:v>0.39639440765268585</c:v>
                </c:pt>
                <c:pt idx="217">
                  <c:v>0.40228108903605597</c:v>
                </c:pt>
                <c:pt idx="218">
                  <c:v>0.40301692420897722</c:v>
                </c:pt>
                <c:pt idx="219">
                  <c:v>0.40743193524650484</c:v>
                </c:pt>
                <c:pt idx="220">
                  <c:v>0.40890360559234734</c:v>
                </c:pt>
                <c:pt idx="221">
                  <c:v>0.41331861662987496</c:v>
                </c:pt>
                <c:pt idx="222">
                  <c:v>0.41479028697571746</c:v>
                </c:pt>
                <c:pt idx="223">
                  <c:v>0.41846946284032382</c:v>
                </c:pt>
                <c:pt idx="224">
                  <c:v>0.42141280353200883</c:v>
                </c:pt>
                <c:pt idx="225">
                  <c:v>0.42214863870493013</c:v>
                </c:pt>
                <c:pt idx="226">
                  <c:v>0.42362030905077264</c:v>
                </c:pt>
                <c:pt idx="227">
                  <c:v>0.427299484915379</c:v>
                </c:pt>
                <c:pt idx="228">
                  <c:v>0.42803532008830025</c:v>
                </c:pt>
                <c:pt idx="229">
                  <c:v>0.4287711552612215</c:v>
                </c:pt>
                <c:pt idx="230">
                  <c:v>0.4287711552612215</c:v>
                </c:pt>
                <c:pt idx="231">
                  <c:v>0.43392200147167043</c:v>
                </c:pt>
                <c:pt idx="232">
                  <c:v>0.43171449595290662</c:v>
                </c:pt>
                <c:pt idx="233">
                  <c:v>0.43686534216335543</c:v>
                </c:pt>
                <c:pt idx="234">
                  <c:v>0.43686534216335543</c:v>
                </c:pt>
                <c:pt idx="235">
                  <c:v>0.4420161883738043</c:v>
                </c:pt>
                <c:pt idx="236">
                  <c:v>0.4434878587196468</c:v>
                </c:pt>
                <c:pt idx="237">
                  <c:v>0.44863870493009567</c:v>
                </c:pt>
                <c:pt idx="238">
                  <c:v>0.45011037527593822</c:v>
                </c:pt>
                <c:pt idx="239">
                  <c:v>0.45084621044885947</c:v>
                </c:pt>
                <c:pt idx="240">
                  <c:v>0.45231788079470198</c:v>
                </c:pt>
                <c:pt idx="241">
                  <c:v>0.45378955114054459</c:v>
                </c:pt>
                <c:pt idx="242">
                  <c:v>0.45599705665930834</c:v>
                </c:pt>
                <c:pt idx="243">
                  <c:v>0.4574687270051509</c:v>
                </c:pt>
                <c:pt idx="244">
                  <c:v>0.45967623252391465</c:v>
                </c:pt>
                <c:pt idx="245">
                  <c:v>0.46261957321559977</c:v>
                </c:pt>
                <c:pt idx="246">
                  <c:v>0.46556291390728477</c:v>
                </c:pt>
                <c:pt idx="247">
                  <c:v>0.46924208977189114</c:v>
                </c:pt>
                <c:pt idx="248">
                  <c:v>0.46850625459896988</c:v>
                </c:pt>
                <c:pt idx="249">
                  <c:v>0.47365710080941875</c:v>
                </c:pt>
                <c:pt idx="250">
                  <c:v>0.47512877115526125</c:v>
                </c:pt>
                <c:pt idx="251">
                  <c:v>0.47733627667402506</c:v>
                </c:pt>
                <c:pt idx="252">
                  <c:v>0.47880794701986756</c:v>
                </c:pt>
                <c:pt idx="253">
                  <c:v>0.48101545253863137</c:v>
                </c:pt>
                <c:pt idx="254">
                  <c:v>0.48322295805739518</c:v>
                </c:pt>
                <c:pt idx="255">
                  <c:v>0.48248712288447393</c:v>
                </c:pt>
                <c:pt idx="256">
                  <c:v>0.48616629874908024</c:v>
                </c:pt>
                <c:pt idx="257">
                  <c:v>0.48248712288447393</c:v>
                </c:pt>
                <c:pt idx="258">
                  <c:v>0.48616629874908024</c:v>
                </c:pt>
                <c:pt idx="259">
                  <c:v>0.48984547461368655</c:v>
                </c:pt>
                <c:pt idx="260">
                  <c:v>0.49352465047829291</c:v>
                </c:pt>
                <c:pt idx="261">
                  <c:v>0.49499632082413542</c:v>
                </c:pt>
                <c:pt idx="262">
                  <c:v>0.49720382634289922</c:v>
                </c:pt>
                <c:pt idx="263">
                  <c:v>0.50014716703458428</c:v>
                </c:pt>
                <c:pt idx="264">
                  <c:v>0.49941133186166303</c:v>
                </c:pt>
                <c:pt idx="265">
                  <c:v>0.50382634289919059</c:v>
                </c:pt>
                <c:pt idx="266">
                  <c:v>0.50309050772626929</c:v>
                </c:pt>
                <c:pt idx="267">
                  <c:v>0.5075055187637969</c:v>
                </c:pt>
                <c:pt idx="268">
                  <c:v>0.50897718910963952</c:v>
                </c:pt>
                <c:pt idx="269">
                  <c:v>0.51192052980132452</c:v>
                </c:pt>
                <c:pt idx="270">
                  <c:v>0.51118469462840332</c:v>
                </c:pt>
                <c:pt idx="271">
                  <c:v>0.51044885945548202</c:v>
                </c:pt>
                <c:pt idx="272">
                  <c:v>0.51118469462840332</c:v>
                </c:pt>
                <c:pt idx="273">
                  <c:v>0.51486387049300963</c:v>
                </c:pt>
                <c:pt idx="274">
                  <c:v>0.51780721118469464</c:v>
                </c:pt>
                <c:pt idx="275">
                  <c:v>0.51927888153053714</c:v>
                </c:pt>
                <c:pt idx="276">
                  <c:v>0.51927888153053714</c:v>
                </c:pt>
                <c:pt idx="277">
                  <c:v>0.52737306843267107</c:v>
                </c:pt>
                <c:pt idx="278">
                  <c:v>0.52516556291390726</c:v>
                </c:pt>
                <c:pt idx="279">
                  <c:v>0.52810890360559237</c:v>
                </c:pt>
                <c:pt idx="280">
                  <c:v>0.52958057395143487</c:v>
                </c:pt>
                <c:pt idx="281">
                  <c:v>0.53178807947019868</c:v>
                </c:pt>
                <c:pt idx="282">
                  <c:v>0.53105224429727749</c:v>
                </c:pt>
                <c:pt idx="283">
                  <c:v>0.53693892568064761</c:v>
                </c:pt>
                <c:pt idx="284">
                  <c:v>0.5376747608535688</c:v>
                </c:pt>
                <c:pt idx="285">
                  <c:v>0.54208977189109642</c:v>
                </c:pt>
                <c:pt idx="286">
                  <c:v>0.54503311258278142</c:v>
                </c:pt>
                <c:pt idx="287">
                  <c:v>0.54797645327446654</c:v>
                </c:pt>
                <c:pt idx="288">
                  <c:v>0.54944812362030904</c:v>
                </c:pt>
                <c:pt idx="289">
                  <c:v>0.54797645327446654</c:v>
                </c:pt>
                <c:pt idx="290">
                  <c:v>0.55091979396615165</c:v>
                </c:pt>
                <c:pt idx="291">
                  <c:v>0.55091979396615165</c:v>
                </c:pt>
                <c:pt idx="292">
                  <c:v>0.55312729948491546</c:v>
                </c:pt>
                <c:pt idx="293">
                  <c:v>0.55533480500367927</c:v>
                </c:pt>
                <c:pt idx="294">
                  <c:v>0.55607064017660046</c:v>
                </c:pt>
                <c:pt idx="295">
                  <c:v>0.55680647534952177</c:v>
                </c:pt>
                <c:pt idx="296">
                  <c:v>0.55974981604120677</c:v>
                </c:pt>
                <c:pt idx="297">
                  <c:v>0.55901398086828558</c:v>
                </c:pt>
                <c:pt idx="298">
                  <c:v>0.56122148638704938</c:v>
                </c:pt>
                <c:pt idx="299">
                  <c:v>0.56048565121412808</c:v>
                </c:pt>
                <c:pt idx="300">
                  <c:v>0.56048565121412808</c:v>
                </c:pt>
                <c:pt idx="301">
                  <c:v>0.56342899190581308</c:v>
                </c:pt>
                <c:pt idx="302">
                  <c:v>0.56490066225165569</c:v>
                </c:pt>
                <c:pt idx="303">
                  <c:v>0.5663723325974982</c:v>
                </c:pt>
                <c:pt idx="304">
                  <c:v>0.568579838116262</c:v>
                </c:pt>
                <c:pt idx="305">
                  <c:v>0.57225901398086831</c:v>
                </c:pt>
                <c:pt idx="306">
                  <c:v>0.57373068432671093</c:v>
                </c:pt>
                <c:pt idx="307">
                  <c:v>0.57520235467255332</c:v>
                </c:pt>
                <c:pt idx="308">
                  <c:v>0.57593818984547474</c:v>
                </c:pt>
                <c:pt idx="309">
                  <c:v>0.57520235467255332</c:v>
                </c:pt>
                <c:pt idx="310">
                  <c:v>0.57593818984547474</c:v>
                </c:pt>
                <c:pt idx="311">
                  <c:v>0.57888153053715974</c:v>
                </c:pt>
                <c:pt idx="312">
                  <c:v>0.58108903605592355</c:v>
                </c:pt>
                <c:pt idx="313">
                  <c:v>0.58550404709345105</c:v>
                </c:pt>
                <c:pt idx="314">
                  <c:v>0.58771155261221486</c:v>
                </c:pt>
                <c:pt idx="315">
                  <c:v>0.59212656364974248</c:v>
                </c:pt>
                <c:pt idx="316">
                  <c:v>0.59212656364974248</c:v>
                </c:pt>
                <c:pt idx="317">
                  <c:v>0.5958057395143489</c:v>
                </c:pt>
                <c:pt idx="318">
                  <c:v>0.59359823399558509</c:v>
                </c:pt>
                <c:pt idx="319">
                  <c:v>0.60095658572479771</c:v>
                </c:pt>
                <c:pt idx="320">
                  <c:v>0.5994849153789551</c:v>
                </c:pt>
                <c:pt idx="321">
                  <c:v>0.60316409124356152</c:v>
                </c:pt>
                <c:pt idx="322">
                  <c:v>0.60316409124356152</c:v>
                </c:pt>
                <c:pt idx="323">
                  <c:v>0.60537159676232533</c:v>
                </c:pt>
                <c:pt idx="324">
                  <c:v>0.60610743193524652</c:v>
                </c:pt>
                <c:pt idx="325">
                  <c:v>0.60831493745401033</c:v>
                </c:pt>
                <c:pt idx="326">
                  <c:v>0.60978660779985283</c:v>
                </c:pt>
                <c:pt idx="327">
                  <c:v>0.60978660779985283</c:v>
                </c:pt>
                <c:pt idx="328">
                  <c:v>0.61272994849153783</c:v>
                </c:pt>
                <c:pt idx="329">
                  <c:v>0.61567328918322306</c:v>
                </c:pt>
                <c:pt idx="330">
                  <c:v>0.61640912435614426</c:v>
                </c:pt>
                <c:pt idx="331">
                  <c:v>0.61861662987490806</c:v>
                </c:pt>
                <c:pt idx="332">
                  <c:v>0.62082413539367187</c:v>
                </c:pt>
                <c:pt idx="333">
                  <c:v>0.62229580573951437</c:v>
                </c:pt>
                <c:pt idx="334">
                  <c:v>0.62303164091243568</c:v>
                </c:pt>
                <c:pt idx="335">
                  <c:v>0.62450331125827818</c:v>
                </c:pt>
                <c:pt idx="336">
                  <c:v>0.62450331125827818</c:v>
                </c:pt>
                <c:pt idx="337">
                  <c:v>0.62671081677704199</c:v>
                </c:pt>
                <c:pt idx="338">
                  <c:v>0.6289183222958058</c:v>
                </c:pt>
                <c:pt idx="339">
                  <c:v>0.6318616629874908</c:v>
                </c:pt>
                <c:pt idx="340">
                  <c:v>0.63480500367917581</c:v>
                </c:pt>
                <c:pt idx="341">
                  <c:v>0.63480500367917581</c:v>
                </c:pt>
                <c:pt idx="342">
                  <c:v>0.63627667402501842</c:v>
                </c:pt>
                <c:pt idx="343">
                  <c:v>0.63922001471670342</c:v>
                </c:pt>
                <c:pt idx="344">
                  <c:v>0.64069168506254603</c:v>
                </c:pt>
                <c:pt idx="345">
                  <c:v>0.64363502575423104</c:v>
                </c:pt>
                <c:pt idx="346">
                  <c:v>0.64805003679175865</c:v>
                </c:pt>
                <c:pt idx="347">
                  <c:v>0.65025754231052246</c:v>
                </c:pt>
                <c:pt idx="348">
                  <c:v>0.65099337748344377</c:v>
                </c:pt>
                <c:pt idx="349">
                  <c:v>0.65393671817512877</c:v>
                </c:pt>
                <c:pt idx="350">
                  <c:v>0.65246504782928627</c:v>
                </c:pt>
                <c:pt idx="351">
                  <c:v>0.65246504782928627</c:v>
                </c:pt>
                <c:pt idx="352">
                  <c:v>0.65467255334805008</c:v>
                </c:pt>
                <c:pt idx="353">
                  <c:v>0.65835172921265639</c:v>
                </c:pt>
                <c:pt idx="354">
                  <c:v>0.65835172921265639</c:v>
                </c:pt>
                <c:pt idx="355">
                  <c:v>0.66203090507726281</c:v>
                </c:pt>
                <c:pt idx="356">
                  <c:v>0.65908756438557758</c:v>
                </c:pt>
                <c:pt idx="357">
                  <c:v>0.66571008094186901</c:v>
                </c:pt>
                <c:pt idx="358">
                  <c:v>0.66497424576894781</c:v>
                </c:pt>
                <c:pt idx="359">
                  <c:v>0.66718175128771162</c:v>
                </c:pt>
                <c:pt idx="360">
                  <c:v>0.66718175128771162</c:v>
                </c:pt>
                <c:pt idx="361">
                  <c:v>0.67086092715231793</c:v>
                </c:pt>
                <c:pt idx="362">
                  <c:v>0.67159676232523913</c:v>
                </c:pt>
                <c:pt idx="363">
                  <c:v>0.67527593818984555</c:v>
                </c:pt>
                <c:pt idx="364">
                  <c:v>0.67674760853568805</c:v>
                </c:pt>
                <c:pt idx="365">
                  <c:v>0.67527593818984555</c:v>
                </c:pt>
                <c:pt idx="366">
                  <c:v>0.67821927888153055</c:v>
                </c:pt>
                <c:pt idx="367">
                  <c:v>0.67821927888153055</c:v>
                </c:pt>
                <c:pt idx="368">
                  <c:v>0.67969094922737316</c:v>
                </c:pt>
                <c:pt idx="369">
                  <c:v>0.67969094922737316</c:v>
                </c:pt>
                <c:pt idx="370">
                  <c:v>0.67969094922737316</c:v>
                </c:pt>
                <c:pt idx="371">
                  <c:v>0.68263428991905817</c:v>
                </c:pt>
                <c:pt idx="372">
                  <c:v>0.68484179543782198</c:v>
                </c:pt>
                <c:pt idx="373">
                  <c:v>0.68631346578366459</c:v>
                </c:pt>
                <c:pt idx="374">
                  <c:v>0.68704930095658578</c:v>
                </c:pt>
                <c:pt idx="375">
                  <c:v>0.68778513612950698</c:v>
                </c:pt>
                <c:pt idx="376">
                  <c:v>0.68925680647534959</c:v>
                </c:pt>
                <c:pt idx="377">
                  <c:v>0.68852097130242829</c:v>
                </c:pt>
                <c:pt idx="378">
                  <c:v>0.69072847682119209</c:v>
                </c:pt>
                <c:pt idx="379">
                  <c:v>0.69072847682119209</c:v>
                </c:pt>
                <c:pt idx="380">
                  <c:v>0.6929359823399559</c:v>
                </c:pt>
                <c:pt idx="381">
                  <c:v>0.69735099337748352</c:v>
                </c:pt>
                <c:pt idx="382">
                  <c:v>0.69882266372332602</c:v>
                </c:pt>
                <c:pt idx="383">
                  <c:v>0.69882266372332602</c:v>
                </c:pt>
                <c:pt idx="384">
                  <c:v>0.69882266372332602</c:v>
                </c:pt>
                <c:pt idx="385">
                  <c:v>0.70176600441501114</c:v>
                </c:pt>
                <c:pt idx="386">
                  <c:v>0.70397350993377494</c:v>
                </c:pt>
                <c:pt idx="387">
                  <c:v>0.70618101545253875</c:v>
                </c:pt>
                <c:pt idx="388">
                  <c:v>0.70691685062545995</c:v>
                </c:pt>
                <c:pt idx="389">
                  <c:v>0.70986019131714495</c:v>
                </c:pt>
                <c:pt idx="390">
                  <c:v>0.71059602649006626</c:v>
                </c:pt>
                <c:pt idx="391">
                  <c:v>0.71353936718175137</c:v>
                </c:pt>
                <c:pt idx="392">
                  <c:v>0.71206769683590876</c:v>
                </c:pt>
                <c:pt idx="393">
                  <c:v>0.71648270787343638</c:v>
                </c:pt>
                <c:pt idx="394">
                  <c:v>0.71427520235467257</c:v>
                </c:pt>
                <c:pt idx="395">
                  <c:v>0.71869021339220018</c:v>
                </c:pt>
                <c:pt idx="396">
                  <c:v>0.71721854304635768</c:v>
                </c:pt>
                <c:pt idx="397">
                  <c:v>0.71795437821927888</c:v>
                </c:pt>
                <c:pt idx="398">
                  <c:v>0.71869021339220018</c:v>
                </c:pt>
                <c:pt idx="399">
                  <c:v>0.7216335540838853</c:v>
                </c:pt>
                <c:pt idx="400">
                  <c:v>0.7216335540838853</c:v>
                </c:pt>
                <c:pt idx="401">
                  <c:v>0.72236938925680649</c:v>
                </c:pt>
                <c:pt idx="402">
                  <c:v>0.72310522442972769</c:v>
                </c:pt>
                <c:pt idx="403">
                  <c:v>0.72310522442972769</c:v>
                </c:pt>
                <c:pt idx="404">
                  <c:v>0.72310522442972769</c:v>
                </c:pt>
                <c:pt idx="405">
                  <c:v>0.7245768947755703</c:v>
                </c:pt>
                <c:pt idx="406">
                  <c:v>0.72604856512141291</c:v>
                </c:pt>
                <c:pt idx="407">
                  <c:v>0.72678440029433411</c:v>
                </c:pt>
                <c:pt idx="408">
                  <c:v>0.72899190581309792</c:v>
                </c:pt>
                <c:pt idx="409">
                  <c:v>0.73193524650478292</c:v>
                </c:pt>
                <c:pt idx="410">
                  <c:v>0.73340691685062553</c:v>
                </c:pt>
                <c:pt idx="411">
                  <c:v>0.73267108167770423</c:v>
                </c:pt>
                <c:pt idx="412">
                  <c:v>0.73487858719646804</c:v>
                </c:pt>
                <c:pt idx="413">
                  <c:v>0.73635025754231054</c:v>
                </c:pt>
                <c:pt idx="414">
                  <c:v>0.73635025754231054</c:v>
                </c:pt>
                <c:pt idx="415">
                  <c:v>0.73855776306107435</c:v>
                </c:pt>
                <c:pt idx="416">
                  <c:v>0.73708609271523184</c:v>
                </c:pt>
                <c:pt idx="417">
                  <c:v>0.73929359823399565</c:v>
                </c:pt>
                <c:pt idx="418">
                  <c:v>0.73782192788815304</c:v>
                </c:pt>
                <c:pt idx="419">
                  <c:v>0.74150110375275946</c:v>
                </c:pt>
                <c:pt idx="420">
                  <c:v>0.74223693892568066</c:v>
                </c:pt>
                <c:pt idx="421">
                  <c:v>0.74370860927152327</c:v>
                </c:pt>
                <c:pt idx="422">
                  <c:v>0.74370860927152327</c:v>
                </c:pt>
                <c:pt idx="423">
                  <c:v>0.74812362030905089</c:v>
                </c:pt>
                <c:pt idx="424">
                  <c:v>0.74812362030905089</c:v>
                </c:pt>
                <c:pt idx="425">
                  <c:v>0.75033112582781469</c:v>
                </c:pt>
                <c:pt idx="426">
                  <c:v>0.75033112582781469</c:v>
                </c:pt>
                <c:pt idx="427">
                  <c:v>0.75253863134657839</c:v>
                </c:pt>
                <c:pt idx="428">
                  <c:v>0.75401030169242089</c:v>
                </c:pt>
                <c:pt idx="429">
                  <c:v>0.7547461368653422</c:v>
                </c:pt>
                <c:pt idx="430">
                  <c:v>0.7547461368653422</c:v>
                </c:pt>
                <c:pt idx="431">
                  <c:v>0.7562178072111847</c:v>
                </c:pt>
                <c:pt idx="432">
                  <c:v>0.75768947755702731</c:v>
                </c:pt>
                <c:pt idx="433">
                  <c:v>0.75842531272994851</c:v>
                </c:pt>
                <c:pt idx="434">
                  <c:v>0.75989698307579101</c:v>
                </c:pt>
                <c:pt idx="435">
                  <c:v>0.76063281824871232</c:v>
                </c:pt>
                <c:pt idx="436">
                  <c:v>0.76136865342163362</c:v>
                </c:pt>
                <c:pt idx="437">
                  <c:v>0.76578366445916124</c:v>
                </c:pt>
                <c:pt idx="438">
                  <c:v>0.76504782928623982</c:v>
                </c:pt>
                <c:pt idx="439">
                  <c:v>0.76651949963208243</c:v>
                </c:pt>
                <c:pt idx="440">
                  <c:v>0.76725533480500363</c:v>
                </c:pt>
                <c:pt idx="441">
                  <c:v>0.76725533480500363</c:v>
                </c:pt>
                <c:pt idx="442">
                  <c:v>0.77019867549668886</c:v>
                </c:pt>
                <c:pt idx="443">
                  <c:v>0.76946284032376744</c:v>
                </c:pt>
                <c:pt idx="444">
                  <c:v>0.77019867549668886</c:v>
                </c:pt>
                <c:pt idx="445">
                  <c:v>0.77167034584253125</c:v>
                </c:pt>
                <c:pt idx="446">
                  <c:v>0.77240618101545266</c:v>
                </c:pt>
                <c:pt idx="447">
                  <c:v>0.77240618101545266</c:v>
                </c:pt>
                <c:pt idx="448">
                  <c:v>0.77682119205298017</c:v>
                </c:pt>
                <c:pt idx="449">
                  <c:v>0.77461368653421636</c:v>
                </c:pt>
                <c:pt idx="450">
                  <c:v>0.77608535688005886</c:v>
                </c:pt>
                <c:pt idx="451">
                  <c:v>0.77682119205298017</c:v>
                </c:pt>
                <c:pt idx="452">
                  <c:v>0.77829286239882267</c:v>
                </c:pt>
                <c:pt idx="453">
                  <c:v>0.77976453274466517</c:v>
                </c:pt>
                <c:pt idx="454">
                  <c:v>0.78123620309050779</c:v>
                </c:pt>
                <c:pt idx="455">
                  <c:v>0.78197203826342898</c:v>
                </c:pt>
                <c:pt idx="456">
                  <c:v>0.78270787343635029</c:v>
                </c:pt>
                <c:pt idx="457">
                  <c:v>0.78417954378219279</c:v>
                </c:pt>
                <c:pt idx="458">
                  <c:v>0.7856512141280354</c:v>
                </c:pt>
                <c:pt idx="459">
                  <c:v>0.78785871964679921</c:v>
                </c:pt>
                <c:pt idx="460">
                  <c:v>0.7856512141280354</c:v>
                </c:pt>
                <c:pt idx="461">
                  <c:v>0.78785871964679921</c:v>
                </c:pt>
                <c:pt idx="462">
                  <c:v>0.79006622516556302</c:v>
                </c:pt>
                <c:pt idx="463">
                  <c:v>0.79006622516556302</c:v>
                </c:pt>
                <c:pt idx="464">
                  <c:v>0.79227373068432683</c:v>
                </c:pt>
                <c:pt idx="465">
                  <c:v>0.79300956585724802</c:v>
                </c:pt>
                <c:pt idx="466">
                  <c:v>0.79521707137601183</c:v>
                </c:pt>
                <c:pt idx="467">
                  <c:v>0.79595290654893303</c:v>
                </c:pt>
                <c:pt idx="468">
                  <c:v>0.79668874172185433</c:v>
                </c:pt>
                <c:pt idx="469">
                  <c:v>0.79742457689477564</c:v>
                </c:pt>
                <c:pt idx="470">
                  <c:v>0.80036791758646064</c:v>
                </c:pt>
                <c:pt idx="471">
                  <c:v>0.79742457689477564</c:v>
                </c:pt>
                <c:pt idx="472">
                  <c:v>0.80183958793230314</c:v>
                </c:pt>
                <c:pt idx="473">
                  <c:v>0.79889624724061814</c:v>
                </c:pt>
                <c:pt idx="474">
                  <c:v>0.79889624724061814</c:v>
                </c:pt>
                <c:pt idx="475">
                  <c:v>0.79963208241353945</c:v>
                </c:pt>
                <c:pt idx="476">
                  <c:v>0.80183958793230314</c:v>
                </c:pt>
                <c:pt idx="477">
                  <c:v>0.80183958793230314</c:v>
                </c:pt>
                <c:pt idx="478">
                  <c:v>0.80404709345106695</c:v>
                </c:pt>
                <c:pt idx="479">
                  <c:v>0.80404709345106695</c:v>
                </c:pt>
                <c:pt idx="480">
                  <c:v>0.80551876379690956</c:v>
                </c:pt>
                <c:pt idx="481">
                  <c:v>0.80625459896983076</c:v>
                </c:pt>
                <c:pt idx="482">
                  <c:v>0.80772626931567337</c:v>
                </c:pt>
                <c:pt idx="483">
                  <c:v>0.80993377483443718</c:v>
                </c:pt>
                <c:pt idx="484">
                  <c:v>0.80919793966151576</c:v>
                </c:pt>
                <c:pt idx="485">
                  <c:v>0.81140544518027957</c:v>
                </c:pt>
                <c:pt idx="486">
                  <c:v>0.81287711552612218</c:v>
                </c:pt>
                <c:pt idx="487">
                  <c:v>0.81508462104488599</c:v>
                </c:pt>
                <c:pt idx="488">
                  <c:v>0.81287711552612218</c:v>
                </c:pt>
                <c:pt idx="489">
                  <c:v>0.81361295069904338</c:v>
                </c:pt>
                <c:pt idx="490">
                  <c:v>0.81582045621780719</c:v>
                </c:pt>
                <c:pt idx="491">
                  <c:v>0.8172921265636498</c:v>
                </c:pt>
                <c:pt idx="492">
                  <c:v>0.8172921265636498</c:v>
                </c:pt>
                <c:pt idx="493">
                  <c:v>0.8172921265636498</c:v>
                </c:pt>
                <c:pt idx="494">
                  <c:v>0.81949963208241361</c:v>
                </c:pt>
                <c:pt idx="495">
                  <c:v>0.818027961736571</c:v>
                </c:pt>
                <c:pt idx="496">
                  <c:v>0.82170713760117742</c:v>
                </c:pt>
                <c:pt idx="497">
                  <c:v>0.82097130242825611</c:v>
                </c:pt>
                <c:pt idx="498">
                  <c:v>0.82244297277409861</c:v>
                </c:pt>
                <c:pt idx="499">
                  <c:v>0.82170713760117742</c:v>
                </c:pt>
                <c:pt idx="500">
                  <c:v>0.82391464311994111</c:v>
                </c:pt>
                <c:pt idx="501">
                  <c:v>0.82244297277409861</c:v>
                </c:pt>
                <c:pt idx="502">
                  <c:v>0.82538631346578373</c:v>
                </c:pt>
                <c:pt idx="503">
                  <c:v>0.82465047829286242</c:v>
                </c:pt>
                <c:pt idx="504">
                  <c:v>0.82685798381162623</c:v>
                </c:pt>
                <c:pt idx="505">
                  <c:v>0.82685798381162623</c:v>
                </c:pt>
                <c:pt idx="506">
                  <c:v>0.82832965415746873</c:v>
                </c:pt>
                <c:pt idx="507">
                  <c:v>0.83053715967623254</c:v>
                </c:pt>
                <c:pt idx="508">
                  <c:v>0.82832965415746873</c:v>
                </c:pt>
                <c:pt idx="509">
                  <c:v>0.83127299484915373</c:v>
                </c:pt>
                <c:pt idx="510">
                  <c:v>0.83053715967623254</c:v>
                </c:pt>
                <c:pt idx="511">
                  <c:v>0.82980132450331134</c:v>
                </c:pt>
                <c:pt idx="512">
                  <c:v>0.83348050036791754</c:v>
                </c:pt>
                <c:pt idx="513">
                  <c:v>0.83495217071376016</c:v>
                </c:pt>
                <c:pt idx="514">
                  <c:v>0.83274466519499635</c:v>
                </c:pt>
                <c:pt idx="515">
                  <c:v>0.83568800588668135</c:v>
                </c:pt>
                <c:pt idx="516">
                  <c:v>0.83421633554083896</c:v>
                </c:pt>
                <c:pt idx="517">
                  <c:v>0.83715967623252396</c:v>
                </c:pt>
                <c:pt idx="518">
                  <c:v>0.83789551140544516</c:v>
                </c:pt>
                <c:pt idx="519">
                  <c:v>0.83863134657836658</c:v>
                </c:pt>
                <c:pt idx="520">
                  <c:v>0.84010301692420897</c:v>
                </c:pt>
                <c:pt idx="521">
                  <c:v>0.84010301692420897</c:v>
                </c:pt>
                <c:pt idx="522">
                  <c:v>0.84231052244297278</c:v>
                </c:pt>
                <c:pt idx="523">
                  <c:v>0.84010301692420897</c:v>
                </c:pt>
                <c:pt idx="524">
                  <c:v>0.84083885209713027</c:v>
                </c:pt>
                <c:pt idx="525">
                  <c:v>0.84231052244297278</c:v>
                </c:pt>
                <c:pt idx="526">
                  <c:v>0.84378219278881539</c:v>
                </c:pt>
                <c:pt idx="527">
                  <c:v>0.84157468727005158</c:v>
                </c:pt>
                <c:pt idx="528">
                  <c:v>0.84525386313465789</c:v>
                </c:pt>
                <c:pt idx="529">
                  <c:v>0.84451802796173658</c:v>
                </c:pt>
                <c:pt idx="530">
                  <c:v>0.84525386313465789</c:v>
                </c:pt>
                <c:pt idx="531">
                  <c:v>0.8474613686534217</c:v>
                </c:pt>
                <c:pt idx="532">
                  <c:v>0.84819720382634289</c:v>
                </c:pt>
                <c:pt idx="533">
                  <c:v>0.8489330389992642</c:v>
                </c:pt>
                <c:pt idx="534">
                  <c:v>0.8474613686534217</c:v>
                </c:pt>
                <c:pt idx="535">
                  <c:v>0.85114054451802801</c:v>
                </c:pt>
                <c:pt idx="536">
                  <c:v>0.8504047093451067</c:v>
                </c:pt>
                <c:pt idx="537">
                  <c:v>0.8489330389992642</c:v>
                </c:pt>
                <c:pt idx="538">
                  <c:v>0.84966887417218551</c:v>
                </c:pt>
                <c:pt idx="539">
                  <c:v>0.85261221486387051</c:v>
                </c:pt>
                <c:pt idx="540">
                  <c:v>0.85187637969094931</c:v>
                </c:pt>
                <c:pt idx="541">
                  <c:v>0.85408388520971312</c:v>
                </c:pt>
                <c:pt idx="542">
                  <c:v>0.85187637969094931</c:v>
                </c:pt>
                <c:pt idx="543">
                  <c:v>0.85408388520971312</c:v>
                </c:pt>
                <c:pt idx="544">
                  <c:v>0.85334805003679171</c:v>
                </c:pt>
                <c:pt idx="545">
                  <c:v>0.85629139072847693</c:v>
                </c:pt>
                <c:pt idx="546">
                  <c:v>0.85776306107431932</c:v>
                </c:pt>
                <c:pt idx="547">
                  <c:v>0.85776306107431932</c:v>
                </c:pt>
                <c:pt idx="548">
                  <c:v>0.86070640176600444</c:v>
                </c:pt>
                <c:pt idx="549">
                  <c:v>0.86144223693892574</c:v>
                </c:pt>
                <c:pt idx="550">
                  <c:v>0.86217807211184694</c:v>
                </c:pt>
                <c:pt idx="551">
                  <c:v>0.86291390728476824</c:v>
                </c:pt>
                <c:pt idx="552">
                  <c:v>0.86291390728476824</c:v>
                </c:pt>
                <c:pt idx="553">
                  <c:v>0.86364974245768955</c:v>
                </c:pt>
                <c:pt idx="554">
                  <c:v>0.86585724797645336</c:v>
                </c:pt>
                <c:pt idx="555">
                  <c:v>0.86364974245768955</c:v>
                </c:pt>
                <c:pt idx="556">
                  <c:v>0.86512141280353205</c:v>
                </c:pt>
                <c:pt idx="557">
                  <c:v>0.86438557763061075</c:v>
                </c:pt>
                <c:pt idx="558">
                  <c:v>0.86585724797645336</c:v>
                </c:pt>
                <c:pt idx="559">
                  <c:v>0.86732891832229586</c:v>
                </c:pt>
                <c:pt idx="560">
                  <c:v>0.86659308314937455</c:v>
                </c:pt>
                <c:pt idx="561">
                  <c:v>0.86732891832229586</c:v>
                </c:pt>
                <c:pt idx="562">
                  <c:v>0.86512141280353205</c:v>
                </c:pt>
                <c:pt idx="563">
                  <c:v>0.86953642384105967</c:v>
                </c:pt>
                <c:pt idx="564">
                  <c:v>0.87027225901398086</c:v>
                </c:pt>
                <c:pt idx="565">
                  <c:v>0.87027225901398086</c:v>
                </c:pt>
                <c:pt idx="566">
                  <c:v>0.87027225901398086</c:v>
                </c:pt>
                <c:pt idx="567">
                  <c:v>0.87174392935982348</c:v>
                </c:pt>
                <c:pt idx="568">
                  <c:v>0.86880058866813836</c:v>
                </c:pt>
                <c:pt idx="569">
                  <c:v>0.87100809418690217</c:v>
                </c:pt>
                <c:pt idx="570">
                  <c:v>0.87100809418690217</c:v>
                </c:pt>
                <c:pt idx="571">
                  <c:v>0.87247976453274467</c:v>
                </c:pt>
                <c:pt idx="572">
                  <c:v>0.87321559970566587</c:v>
                </c:pt>
                <c:pt idx="573">
                  <c:v>0.87542310522442968</c:v>
                </c:pt>
                <c:pt idx="574">
                  <c:v>0.87763061074319348</c:v>
                </c:pt>
                <c:pt idx="575">
                  <c:v>0.87321559970566587</c:v>
                </c:pt>
                <c:pt idx="576">
                  <c:v>0.87542310522442968</c:v>
                </c:pt>
                <c:pt idx="577">
                  <c:v>0.87542310522442968</c:v>
                </c:pt>
                <c:pt idx="578">
                  <c:v>0.87689477557027229</c:v>
                </c:pt>
                <c:pt idx="579">
                  <c:v>0.87615894039735109</c:v>
                </c:pt>
                <c:pt idx="580">
                  <c:v>0.8783664459161149</c:v>
                </c:pt>
                <c:pt idx="581">
                  <c:v>0.87763061074319348</c:v>
                </c:pt>
                <c:pt idx="582">
                  <c:v>0.87983811626195729</c:v>
                </c:pt>
                <c:pt idx="583">
                  <c:v>0.8791022810890361</c:v>
                </c:pt>
                <c:pt idx="584">
                  <c:v>0.88057395143487871</c:v>
                </c:pt>
                <c:pt idx="585">
                  <c:v>0.88057395143487871</c:v>
                </c:pt>
                <c:pt idx="586">
                  <c:v>0.88057395143487871</c:v>
                </c:pt>
                <c:pt idx="587">
                  <c:v>0.88498896247240622</c:v>
                </c:pt>
                <c:pt idx="588">
                  <c:v>0.88425312729948491</c:v>
                </c:pt>
                <c:pt idx="589">
                  <c:v>0.88498896247240622</c:v>
                </c:pt>
                <c:pt idx="590">
                  <c:v>0.88351729212656371</c:v>
                </c:pt>
                <c:pt idx="591">
                  <c:v>0.88646063281824872</c:v>
                </c:pt>
                <c:pt idx="592">
                  <c:v>0.88425312729948491</c:v>
                </c:pt>
                <c:pt idx="593">
                  <c:v>0.88646063281824872</c:v>
                </c:pt>
                <c:pt idx="594">
                  <c:v>0.88646063281824872</c:v>
                </c:pt>
                <c:pt idx="595">
                  <c:v>0.88719646799117002</c:v>
                </c:pt>
                <c:pt idx="596">
                  <c:v>0.88646063281824872</c:v>
                </c:pt>
                <c:pt idx="597">
                  <c:v>0.88719646799117002</c:v>
                </c:pt>
                <c:pt idx="598">
                  <c:v>0.88646063281824872</c:v>
                </c:pt>
                <c:pt idx="599">
                  <c:v>0.88572479764532752</c:v>
                </c:pt>
                <c:pt idx="600">
                  <c:v>0.88646063281824872</c:v>
                </c:pt>
                <c:pt idx="601">
                  <c:v>0.88866813833701253</c:v>
                </c:pt>
                <c:pt idx="602">
                  <c:v>0.89013980868285503</c:v>
                </c:pt>
                <c:pt idx="603">
                  <c:v>0.88940397350993383</c:v>
                </c:pt>
                <c:pt idx="604">
                  <c:v>0.89234731420161884</c:v>
                </c:pt>
                <c:pt idx="605">
                  <c:v>0.88866813833701253</c:v>
                </c:pt>
                <c:pt idx="606">
                  <c:v>0.89161147902869764</c:v>
                </c:pt>
                <c:pt idx="607">
                  <c:v>0.89161147902869764</c:v>
                </c:pt>
                <c:pt idx="608">
                  <c:v>0.89308314937454014</c:v>
                </c:pt>
                <c:pt idx="609">
                  <c:v>0.89234731420161884</c:v>
                </c:pt>
                <c:pt idx="610">
                  <c:v>0.89308314937454014</c:v>
                </c:pt>
                <c:pt idx="611">
                  <c:v>0.89381898454746145</c:v>
                </c:pt>
                <c:pt idx="612">
                  <c:v>0.89381898454746145</c:v>
                </c:pt>
                <c:pt idx="613">
                  <c:v>0.89087564385577633</c:v>
                </c:pt>
                <c:pt idx="614">
                  <c:v>0.89161147902869764</c:v>
                </c:pt>
                <c:pt idx="615">
                  <c:v>0.89455481972038264</c:v>
                </c:pt>
                <c:pt idx="616">
                  <c:v>0.89308314937454014</c:v>
                </c:pt>
                <c:pt idx="617">
                  <c:v>0.89676232523914645</c:v>
                </c:pt>
                <c:pt idx="618">
                  <c:v>0.89455481972038264</c:v>
                </c:pt>
                <c:pt idx="619">
                  <c:v>0.89749816041206765</c:v>
                </c:pt>
                <c:pt idx="620">
                  <c:v>0.89529065489330384</c:v>
                </c:pt>
                <c:pt idx="621">
                  <c:v>0.89896983075791026</c:v>
                </c:pt>
                <c:pt idx="622">
                  <c:v>0.89749816041206765</c:v>
                </c:pt>
                <c:pt idx="623">
                  <c:v>0.89896983075791026</c:v>
                </c:pt>
                <c:pt idx="624">
                  <c:v>0.89970566593083146</c:v>
                </c:pt>
                <c:pt idx="625">
                  <c:v>0.90117733627667407</c:v>
                </c:pt>
                <c:pt idx="626">
                  <c:v>0.90264900662251668</c:v>
                </c:pt>
                <c:pt idx="627">
                  <c:v>0.90117733627667407</c:v>
                </c:pt>
                <c:pt idx="628">
                  <c:v>0.90191317144959526</c:v>
                </c:pt>
                <c:pt idx="629">
                  <c:v>0.90117733627667407</c:v>
                </c:pt>
                <c:pt idx="630">
                  <c:v>0.90264900662251668</c:v>
                </c:pt>
                <c:pt idx="631">
                  <c:v>0.90191317144959526</c:v>
                </c:pt>
                <c:pt idx="632">
                  <c:v>0.90338484179543788</c:v>
                </c:pt>
                <c:pt idx="633">
                  <c:v>0.90264900662251668</c:v>
                </c:pt>
                <c:pt idx="634">
                  <c:v>0.90412067696835907</c:v>
                </c:pt>
                <c:pt idx="635">
                  <c:v>0.90412067696835907</c:v>
                </c:pt>
                <c:pt idx="636">
                  <c:v>0.90485651214128038</c:v>
                </c:pt>
                <c:pt idx="637">
                  <c:v>0.90632818248712288</c:v>
                </c:pt>
                <c:pt idx="638">
                  <c:v>0.90779985283296549</c:v>
                </c:pt>
                <c:pt idx="639">
                  <c:v>0.90853568800588669</c:v>
                </c:pt>
                <c:pt idx="640">
                  <c:v>0.90779985283296549</c:v>
                </c:pt>
                <c:pt idx="641">
                  <c:v>0.9107431935246505</c:v>
                </c:pt>
                <c:pt idx="642">
                  <c:v>0.9100073583517293</c:v>
                </c:pt>
                <c:pt idx="643">
                  <c:v>0.9107431935246505</c:v>
                </c:pt>
                <c:pt idx="644">
                  <c:v>0.9114790286975718</c:v>
                </c:pt>
                <c:pt idx="645">
                  <c:v>0.9114790286975718</c:v>
                </c:pt>
                <c:pt idx="646">
                  <c:v>0.9129506990434143</c:v>
                </c:pt>
                <c:pt idx="647">
                  <c:v>0.9107431935246505</c:v>
                </c:pt>
                <c:pt idx="648">
                  <c:v>0.9107431935246505</c:v>
                </c:pt>
                <c:pt idx="649">
                  <c:v>0.9129506990434143</c:v>
                </c:pt>
                <c:pt idx="650">
                  <c:v>0.912214863870493</c:v>
                </c:pt>
                <c:pt idx="651">
                  <c:v>0.9114790286975718</c:v>
                </c:pt>
                <c:pt idx="652">
                  <c:v>0.912214863870493</c:v>
                </c:pt>
                <c:pt idx="653">
                  <c:v>0.912214863870493</c:v>
                </c:pt>
                <c:pt idx="654">
                  <c:v>0.9114790286975718</c:v>
                </c:pt>
                <c:pt idx="655">
                  <c:v>0.91368653421633561</c:v>
                </c:pt>
                <c:pt idx="656">
                  <c:v>0.91368653421633561</c:v>
                </c:pt>
                <c:pt idx="657">
                  <c:v>0.91442236938925681</c:v>
                </c:pt>
                <c:pt idx="658">
                  <c:v>0.91515820456217811</c:v>
                </c:pt>
                <c:pt idx="659">
                  <c:v>0.91662987490802061</c:v>
                </c:pt>
                <c:pt idx="660">
                  <c:v>0.91589403973509942</c:v>
                </c:pt>
                <c:pt idx="661">
                  <c:v>0.91736571008094181</c:v>
                </c:pt>
                <c:pt idx="662">
                  <c:v>0.91515820456217811</c:v>
                </c:pt>
                <c:pt idx="663">
                  <c:v>0.91883738042678442</c:v>
                </c:pt>
                <c:pt idx="664">
                  <c:v>0.91736571008094181</c:v>
                </c:pt>
                <c:pt idx="665">
                  <c:v>0.91957321559970562</c:v>
                </c:pt>
                <c:pt idx="666">
                  <c:v>0.91957321559970562</c:v>
                </c:pt>
                <c:pt idx="667">
                  <c:v>0.92030905077262704</c:v>
                </c:pt>
                <c:pt idx="668">
                  <c:v>0.92104488594554823</c:v>
                </c:pt>
                <c:pt idx="669">
                  <c:v>0.92104488594554823</c:v>
                </c:pt>
                <c:pt idx="670">
                  <c:v>0.92251655629139084</c:v>
                </c:pt>
                <c:pt idx="671">
                  <c:v>0.92030905077262704</c:v>
                </c:pt>
                <c:pt idx="672">
                  <c:v>0.92178072111846943</c:v>
                </c:pt>
                <c:pt idx="673">
                  <c:v>0.92251655629139084</c:v>
                </c:pt>
                <c:pt idx="674">
                  <c:v>0.92545989698307585</c:v>
                </c:pt>
                <c:pt idx="675">
                  <c:v>0.92325239146431204</c:v>
                </c:pt>
                <c:pt idx="676">
                  <c:v>0.92472406181015465</c:v>
                </c:pt>
                <c:pt idx="677">
                  <c:v>0.92472406181015465</c:v>
                </c:pt>
                <c:pt idx="678">
                  <c:v>0.92545989698307585</c:v>
                </c:pt>
                <c:pt idx="679">
                  <c:v>0.92545989698307585</c:v>
                </c:pt>
                <c:pt idx="680">
                  <c:v>0.92619573215599704</c:v>
                </c:pt>
                <c:pt idx="681">
                  <c:v>0.92619573215599704</c:v>
                </c:pt>
                <c:pt idx="682">
                  <c:v>0.92619573215599704</c:v>
                </c:pt>
                <c:pt idx="683">
                  <c:v>0.92766740250183966</c:v>
                </c:pt>
                <c:pt idx="684">
                  <c:v>0.92619573215599704</c:v>
                </c:pt>
                <c:pt idx="685">
                  <c:v>0.92766740250183966</c:v>
                </c:pt>
                <c:pt idx="686">
                  <c:v>0.92545989698307585</c:v>
                </c:pt>
                <c:pt idx="687">
                  <c:v>0.92766740250183966</c:v>
                </c:pt>
                <c:pt idx="688">
                  <c:v>0.92545989698307585</c:v>
                </c:pt>
                <c:pt idx="689">
                  <c:v>0.92840323767476085</c:v>
                </c:pt>
                <c:pt idx="690">
                  <c:v>0.92766740250183966</c:v>
                </c:pt>
                <c:pt idx="691">
                  <c:v>0.92766740250183966</c:v>
                </c:pt>
                <c:pt idx="692">
                  <c:v>0.92840323767476085</c:v>
                </c:pt>
                <c:pt idx="693">
                  <c:v>0.92913907284768216</c:v>
                </c:pt>
                <c:pt idx="694">
                  <c:v>0.92987490802060346</c:v>
                </c:pt>
                <c:pt idx="695">
                  <c:v>0.92913907284768216</c:v>
                </c:pt>
                <c:pt idx="696">
                  <c:v>0.92987490802060346</c:v>
                </c:pt>
                <c:pt idx="697">
                  <c:v>0.93061074319352466</c:v>
                </c:pt>
                <c:pt idx="698">
                  <c:v>0.93061074319352466</c:v>
                </c:pt>
                <c:pt idx="699">
                  <c:v>0.93134657836644597</c:v>
                </c:pt>
                <c:pt idx="700">
                  <c:v>0.93208241353936716</c:v>
                </c:pt>
                <c:pt idx="701">
                  <c:v>0.93281824871228847</c:v>
                </c:pt>
                <c:pt idx="702">
                  <c:v>0.93208241353936716</c:v>
                </c:pt>
                <c:pt idx="703">
                  <c:v>0.93355408388520977</c:v>
                </c:pt>
                <c:pt idx="704">
                  <c:v>0.93428991905813097</c:v>
                </c:pt>
                <c:pt idx="705">
                  <c:v>0.93281824871228847</c:v>
                </c:pt>
                <c:pt idx="706">
                  <c:v>0.93355408388520977</c:v>
                </c:pt>
                <c:pt idx="707">
                  <c:v>0.93428991905813097</c:v>
                </c:pt>
                <c:pt idx="708">
                  <c:v>0.93428991905813097</c:v>
                </c:pt>
                <c:pt idx="709">
                  <c:v>0.93134657836644597</c:v>
                </c:pt>
                <c:pt idx="710">
                  <c:v>0.93134657836644597</c:v>
                </c:pt>
                <c:pt idx="711">
                  <c:v>0.93355408388520977</c:v>
                </c:pt>
                <c:pt idx="712">
                  <c:v>0.93355408388520977</c:v>
                </c:pt>
                <c:pt idx="713">
                  <c:v>0.93428991905813097</c:v>
                </c:pt>
                <c:pt idx="714">
                  <c:v>0.93502575423105228</c:v>
                </c:pt>
                <c:pt idx="715">
                  <c:v>0.93502575423105228</c:v>
                </c:pt>
                <c:pt idx="716">
                  <c:v>0.93576158940397358</c:v>
                </c:pt>
                <c:pt idx="717">
                  <c:v>0.93502575423105228</c:v>
                </c:pt>
                <c:pt idx="718">
                  <c:v>0.93723325974981608</c:v>
                </c:pt>
                <c:pt idx="719">
                  <c:v>0.93502575423105228</c:v>
                </c:pt>
                <c:pt idx="720">
                  <c:v>0.93649742457689478</c:v>
                </c:pt>
                <c:pt idx="721">
                  <c:v>0.93870493009565859</c:v>
                </c:pt>
                <c:pt idx="722">
                  <c:v>0.93944076526857978</c:v>
                </c:pt>
                <c:pt idx="723">
                  <c:v>0.93944076526857978</c:v>
                </c:pt>
                <c:pt idx="724">
                  <c:v>0.93870493009565859</c:v>
                </c:pt>
                <c:pt idx="725">
                  <c:v>0.94091243561442239</c:v>
                </c:pt>
                <c:pt idx="726">
                  <c:v>0.93944076526857978</c:v>
                </c:pt>
                <c:pt idx="727">
                  <c:v>0.94238410596026501</c:v>
                </c:pt>
                <c:pt idx="728">
                  <c:v>0.93870493009565859</c:v>
                </c:pt>
                <c:pt idx="729">
                  <c:v>0.94091243561442239</c:v>
                </c:pt>
                <c:pt idx="730">
                  <c:v>0.93944076526857978</c:v>
                </c:pt>
                <c:pt idx="731">
                  <c:v>0.94164827078734359</c:v>
                </c:pt>
                <c:pt idx="732">
                  <c:v>0.94164827078734359</c:v>
                </c:pt>
                <c:pt idx="733">
                  <c:v>0.93944076526857978</c:v>
                </c:pt>
                <c:pt idx="734">
                  <c:v>0.94091243561442239</c:v>
                </c:pt>
                <c:pt idx="735">
                  <c:v>0.94164827078734359</c:v>
                </c:pt>
                <c:pt idx="736">
                  <c:v>0.94164827078734359</c:v>
                </c:pt>
                <c:pt idx="737">
                  <c:v>0.94238410596026501</c:v>
                </c:pt>
                <c:pt idx="738">
                  <c:v>0.94238410596026501</c:v>
                </c:pt>
                <c:pt idx="739">
                  <c:v>0.94238410596026501</c:v>
                </c:pt>
                <c:pt idx="740">
                  <c:v>0.94238410596026501</c:v>
                </c:pt>
                <c:pt idx="741">
                  <c:v>0.9438557763061074</c:v>
                </c:pt>
                <c:pt idx="742">
                  <c:v>0.94459161147902881</c:v>
                </c:pt>
                <c:pt idx="743">
                  <c:v>0.94532744665195001</c:v>
                </c:pt>
                <c:pt idx="744">
                  <c:v>0.94459161147902881</c:v>
                </c:pt>
                <c:pt idx="745">
                  <c:v>0.94753495217071382</c:v>
                </c:pt>
                <c:pt idx="746">
                  <c:v>0.94827078734363501</c:v>
                </c:pt>
                <c:pt idx="747">
                  <c:v>0.94606328182487121</c:v>
                </c:pt>
                <c:pt idx="748">
                  <c:v>0.94679911699779262</c:v>
                </c:pt>
                <c:pt idx="749">
                  <c:v>0.94679911699779262</c:v>
                </c:pt>
                <c:pt idx="750">
                  <c:v>0.94679911699779262</c:v>
                </c:pt>
                <c:pt idx="751">
                  <c:v>0.94679911699779262</c:v>
                </c:pt>
                <c:pt idx="752">
                  <c:v>0.94753495217071382</c:v>
                </c:pt>
                <c:pt idx="753">
                  <c:v>0.94753495217071382</c:v>
                </c:pt>
                <c:pt idx="754">
                  <c:v>0.94827078734363501</c:v>
                </c:pt>
                <c:pt idx="755">
                  <c:v>0.94900662251655632</c:v>
                </c:pt>
                <c:pt idx="756">
                  <c:v>0.94900662251655632</c:v>
                </c:pt>
                <c:pt idx="757">
                  <c:v>0.94679911699779262</c:v>
                </c:pt>
                <c:pt idx="758">
                  <c:v>0.94827078734363501</c:v>
                </c:pt>
                <c:pt idx="759">
                  <c:v>0.94679911699779262</c:v>
                </c:pt>
                <c:pt idx="760">
                  <c:v>0.94900662251655632</c:v>
                </c:pt>
                <c:pt idx="761">
                  <c:v>0.94753495217071382</c:v>
                </c:pt>
                <c:pt idx="762">
                  <c:v>0.94900662251655632</c:v>
                </c:pt>
                <c:pt idx="763">
                  <c:v>0.94974245768947763</c:v>
                </c:pt>
                <c:pt idx="764">
                  <c:v>0.95047829286239882</c:v>
                </c:pt>
                <c:pt idx="765">
                  <c:v>0.95121412803532013</c:v>
                </c:pt>
                <c:pt idx="766">
                  <c:v>0.95121412803532013</c:v>
                </c:pt>
                <c:pt idx="767">
                  <c:v>0.95342163355408394</c:v>
                </c:pt>
                <c:pt idx="768">
                  <c:v>0.95194996320824143</c:v>
                </c:pt>
                <c:pt idx="769">
                  <c:v>0.95268579838116263</c:v>
                </c:pt>
                <c:pt idx="770">
                  <c:v>0.94974245768947763</c:v>
                </c:pt>
                <c:pt idx="771">
                  <c:v>0.95342163355408394</c:v>
                </c:pt>
                <c:pt idx="772">
                  <c:v>0.95194996320824143</c:v>
                </c:pt>
                <c:pt idx="773">
                  <c:v>0.95415746872700513</c:v>
                </c:pt>
                <c:pt idx="774">
                  <c:v>0.95268579838116263</c:v>
                </c:pt>
                <c:pt idx="775">
                  <c:v>0.95194996320824143</c:v>
                </c:pt>
                <c:pt idx="776">
                  <c:v>0.95194996320824143</c:v>
                </c:pt>
                <c:pt idx="777">
                  <c:v>0.95342163355408394</c:v>
                </c:pt>
                <c:pt idx="778">
                  <c:v>0.95562913907284774</c:v>
                </c:pt>
                <c:pt idx="779">
                  <c:v>0.95194996320824143</c:v>
                </c:pt>
                <c:pt idx="780">
                  <c:v>0.95268579838116263</c:v>
                </c:pt>
                <c:pt idx="781">
                  <c:v>0.95415746872700513</c:v>
                </c:pt>
                <c:pt idx="782">
                  <c:v>0.95415746872700513</c:v>
                </c:pt>
                <c:pt idx="783">
                  <c:v>0.95489330389992644</c:v>
                </c:pt>
                <c:pt idx="784">
                  <c:v>0.95415746872700513</c:v>
                </c:pt>
                <c:pt idx="785">
                  <c:v>0.95636497424576894</c:v>
                </c:pt>
                <c:pt idx="786">
                  <c:v>0.95562913907284774</c:v>
                </c:pt>
                <c:pt idx="787">
                  <c:v>0.95636497424576894</c:v>
                </c:pt>
                <c:pt idx="788">
                  <c:v>0.95489330389992644</c:v>
                </c:pt>
                <c:pt idx="789">
                  <c:v>0.95783664459161155</c:v>
                </c:pt>
                <c:pt idx="790">
                  <c:v>0.95636497424576894</c:v>
                </c:pt>
                <c:pt idx="791">
                  <c:v>0.95930831493745405</c:v>
                </c:pt>
                <c:pt idx="792">
                  <c:v>0.95930831493745405</c:v>
                </c:pt>
                <c:pt idx="793">
                  <c:v>0.95783664459161155</c:v>
                </c:pt>
                <c:pt idx="794">
                  <c:v>0.95930831493745405</c:v>
                </c:pt>
                <c:pt idx="795">
                  <c:v>0.95930831493745405</c:v>
                </c:pt>
                <c:pt idx="796">
                  <c:v>0.96077998528329656</c:v>
                </c:pt>
                <c:pt idx="797">
                  <c:v>0.95783664459161155</c:v>
                </c:pt>
                <c:pt idx="798">
                  <c:v>0.96077998528329656</c:v>
                </c:pt>
                <c:pt idx="799">
                  <c:v>0.95710080941869025</c:v>
                </c:pt>
                <c:pt idx="800">
                  <c:v>0.95930831493745405</c:v>
                </c:pt>
                <c:pt idx="801">
                  <c:v>0.96004415011037536</c:v>
                </c:pt>
                <c:pt idx="802">
                  <c:v>0.96077998528329656</c:v>
                </c:pt>
                <c:pt idx="803">
                  <c:v>0.95930831493745405</c:v>
                </c:pt>
                <c:pt idx="804">
                  <c:v>0.95857247976453275</c:v>
                </c:pt>
                <c:pt idx="805">
                  <c:v>0.96077998528329656</c:v>
                </c:pt>
                <c:pt idx="806">
                  <c:v>0.96077998528329656</c:v>
                </c:pt>
                <c:pt idx="807">
                  <c:v>0.96151582045621775</c:v>
                </c:pt>
                <c:pt idx="808">
                  <c:v>0.95930831493745405</c:v>
                </c:pt>
                <c:pt idx="809">
                  <c:v>0.96298749080206036</c:v>
                </c:pt>
                <c:pt idx="810">
                  <c:v>0.96225165562913917</c:v>
                </c:pt>
                <c:pt idx="811">
                  <c:v>0.96298749080206036</c:v>
                </c:pt>
                <c:pt idx="812">
                  <c:v>0.96298749080206036</c:v>
                </c:pt>
                <c:pt idx="813">
                  <c:v>0.96298749080206036</c:v>
                </c:pt>
                <c:pt idx="814">
                  <c:v>0.96372332597498156</c:v>
                </c:pt>
                <c:pt idx="815">
                  <c:v>0.96666666666666679</c:v>
                </c:pt>
                <c:pt idx="816">
                  <c:v>0.96593083149374537</c:v>
                </c:pt>
                <c:pt idx="817">
                  <c:v>0.96519499632082417</c:v>
                </c:pt>
                <c:pt idx="818">
                  <c:v>0.96593083149374537</c:v>
                </c:pt>
                <c:pt idx="819">
                  <c:v>0.96519499632082417</c:v>
                </c:pt>
                <c:pt idx="820">
                  <c:v>0.96519499632082417</c:v>
                </c:pt>
                <c:pt idx="821">
                  <c:v>0.96593083149374537</c:v>
                </c:pt>
                <c:pt idx="822">
                  <c:v>0.96519499632082417</c:v>
                </c:pt>
                <c:pt idx="823">
                  <c:v>0.96593083149374537</c:v>
                </c:pt>
                <c:pt idx="824">
                  <c:v>0.96372332597498156</c:v>
                </c:pt>
                <c:pt idx="825">
                  <c:v>0.96666666666666679</c:v>
                </c:pt>
                <c:pt idx="826">
                  <c:v>0.96445916114790298</c:v>
                </c:pt>
                <c:pt idx="827">
                  <c:v>0.96519499632082417</c:v>
                </c:pt>
                <c:pt idx="828">
                  <c:v>0.96298749080206036</c:v>
                </c:pt>
                <c:pt idx="829">
                  <c:v>0.96666666666666679</c:v>
                </c:pt>
                <c:pt idx="830">
                  <c:v>0.96593083149374537</c:v>
                </c:pt>
                <c:pt idx="831">
                  <c:v>0.96740250183958798</c:v>
                </c:pt>
                <c:pt idx="832">
                  <c:v>0.96740250183958798</c:v>
                </c:pt>
                <c:pt idx="833">
                  <c:v>0.96666666666666679</c:v>
                </c:pt>
                <c:pt idx="834">
                  <c:v>0.96740250183958798</c:v>
                </c:pt>
                <c:pt idx="835">
                  <c:v>0.96887417218543059</c:v>
                </c:pt>
                <c:pt idx="836">
                  <c:v>0.96961000735835179</c:v>
                </c:pt>
                <c:pt idx="837">
                  <c:v>0.96740250183958798</c:v>
                </c:pt>
                <c:pt idx="838">
                  <c:v>0.96813833701250918</c:v>
                </c:pt>
                <c:pt idx="839">
                  <c:v>0.96961000735835179</c:v>
                </c:pt>
                <c:pt idx="840">
                  <c:v>0.97034584253127298</c:v>
                </c:pt>
                <c:pt idx="841">
                  <c:v>0.96961000735835179</c:v>
                </c:pt>
                <c:pt idx="842">
                  <c:v>0.96961000735835179</c:v>
                </c:pt>
                <c:pt idx="843">
                  <c:v>0.97034584253127298</c:v>
                </c:pt>
                <c:pt idx="844">
                  <c:v>0.97108167770419429</c:v>
                </c:pt>
                <c:pt idx="845">
                  <c:v>0.97108167770419429</c:v>
                </c:pt>
                <c:pt idx="846">
                  <c:v>0.96961000735835179</c:v>
                </c:pt>
                <c:pt idx="847">
                  <c:v>0.97034584253127298</c:v>
                </c:pt>
                <c:pt idx="848">
                  <c:v>0.97108167770419429</c:v>
                </c:pt>
                <c:pt idx="849">
                  <c:v>0.9718175128771156</c:v>
                </c:pt>
                <c:pt idx="850">
                  <c:v>0.9718175128771156</c:v>
                </c:pt>
                <c:pt idx="851">
                  <c:v>0.96887417218543059</c:v>
                </c:pt>
                <c:pt idx="852">
                  <c:v>0.97108167770419429</c:v>
                </c:pt>
                <c:pt idx="853">
                  <c:v>0.97034584253127298</c:v>
                </c:pt>
                <c:pt idx="854">
                  <c:v>0.9718175128771156</c:v>
                </c:pt>
                <c:pt idx="855">
                  <c:v>0.96961000735835179</c:v>
                </c:pt>
                <c:pt idx="856">
                  <c:v>0.97255334805003679</c:v>
                </c:pt>
                <c:pt idx="857">
                  <c:v>0.97571743929359822</c:v>
                </c:pt>
                <c:pt idx="858">
                  <c:v>0.97682119205298013</c:v>
                </c:pt>
                <c:pt idx="859">
                  <c:v>0.97682119205298013</c:v>
                </c:pt>
                <c:pt idx="860">
                  <c:v>0.97682119205298013</c:v>
                </c:pt>
                <c:pt idx="861">
                  <c:v>0.97792494481236203</c:v>
                </c:pt>
                <c:pt idx="862">
                  <c:v>0.97792494481236203</c:v>
                </c:pt>
                <c:pt idx="863">
                  <c:v>0.98123620309050774</c:v>
                </c:pt>
                <c:pt idx="864">
                  <c:v>0.97902869757174393</c:v>
                </c:pt>
                <c:pt idx="865">
                  <c:v>0.98123620309050774</c:v>
                </c:pt>
                <c:pt idx="866">
                  <c:v>0.97902869757174393</c:v>
                </c:pt>
                <c:pt idx="867">
                  <c:v>0.98123620309050774</c:v>
                </c:pt>
                <c:pt idx="868">
                  <c:v>0.98123620309050774</c:v>
                </c:pt>
                <c:pt idx="869">
                  <c:v>0.98233995584988965</c:v>
                </c:pt>
                <c:pt idx="870">
                  <c:v>0.98233995584988965</c:v>
                </c:pt>
                <c:pt idx="871">
                  <c:v>0.98233995584988965</c:v>
                </c:pt>
                <c:pt idx="872">
                  <c:v>0.98233995584988965</c:v>
                </c:pt>
                <c:pt idx="873">
                  <c:v>0.98233995584988965</c:v>
                </c:pt>
                <c:pt idx="874">
                  <c:v>0.98454746136865345</c:v>
                </c:pt>
                <c:pt idx="875">
                  <c:v>0.98013245033112584</c:v>
                </c:pt>
                <c:pt idx="876">
                  <c:v>0.98123620309050774</c:v>
                </c:pt>
                <c:pt idx="877">
                  <c:v>0.98454746136865345</c:v>
                </c:pt>
                <c:pt idx="878">
                  <c:v>0.98454746136865345</c:v>
                </c:pt>
                <c:pt idx="879">
                  <c:v>0.98565121412803536</c:v>
                </c:pt>
                <c:pt idx="880">
                  <c:v>0.98454746136865345</c:v>
                </c:pt>
                <c:pt idx="881">
                  <c:v>0.98565121412803536</c:v>
                </c:pt>
                <c:pt idx="882">
                  <c:v>0.98454746136865345</c:v>
                </c:pt>
                <c:pt idx="883">
                  <c:v>0.98785871964679917</c:v>
                </c:pt>
                <c:pt idx="884">
                  <c:v>0.98565121412803536</c:v>
                </c:pt>
                <c:pt idx="885">
                  <c:v>0.98565121412803536</c:v>
                </c:pt>
                <c:pt idx="886">
                  <c:v>0.98565121412803536</c:v>
                </c:pt>
                <c:pt idx="887">
                  <c:v>0.98785871964679917</c:v>
                </c:pt>
                <c:pt idx="888">
                  <c:v>0.98896247240618107</c:v>
                </c:pt>
                <c:pt idx="889">
                  <c:v>0.98785871964679917</c:v>
                </c:pt>
                <c:pt idx="890">
                  <c:v>0.98896247240618107</c:v>
                </c:pt>
                <c:pt idx="891">
                  <c:v>0.98785871964679917</c:v>
                </c:pt>
                <c:pt idx="892">
                  <c:v>0.99006622516556286</c:v>
                </c:pt>
                <c:pt idx="893">
                  <c:v>0.98896247240618107</c:v>
                </c:pt>
                <c:pt idx="894">
                  <c:v>0.99116997792494477</c:v>
                </c:pt>
                <c:pt idx="895">
                  <c:v>0.99006622516556286</c:v>
                </c:pt>
                <c:pt idx="896">
                  <c:v>0.98785871964679917</c:v>
                </c:pt>
                <c:pt idx="897">
                  <c:v>0.98896247240618107</c:v>
                </c:pt>
                <c:pt idx="898">
                  <c:v>0.99006622516556286</c:v>
                </c:pt>
                <c:pt idx="899">
                  <c:v>0.99006622516556286</c:v>
                </c:pt>
                <c:pt idx="900">
                  <c:v>0.98785871964679917</c:v>
                </c:pt>
                <c:pt idx="901">
                  <c:v>0.99006622516556286</c:v>
                </c:pt>
                <c:pt idx="902">
                  <c:v>0.98896247240618107</c:v>
                </c:pt>
                <c:pt idx="903">
                  <c:v>0.99006622516556286</c:v>
                </c:pt>
                <c:pt idx="904">
                  <c:v>0.98233995584988965</c:v>
                </c:pt>
                <c:pt idx="905">
                  <c:v>0.98233995584988965</c:v>
                </c:pt>
                <c:pt idx="906">
                  <c:v>0.97792494481236203</c:v>
                </c:pt>
                <c:pt idx="907">
                  <c:v>0.97792494481236203</c:v>
                </c:pt>
                <c:pt idx="908">
                  <c:v>0.98454746136865345</c:v>
                </c:pt>
                <c:pt idx="909">
                  <c:v>0.98454746136865345</c:v>
                </c:pt>
                <c:pt idx="910">
                  <c:v>0.98454746136865345</c:v>
                </c:pt>
                <c:pt idx="911">
                  <c:v>0.98454746136865345</c:v>
                </c:pt>
                <c:pt idx="912">
                  <c:v>0.98675496688741726</c:v>
                </c:pt>
                <c:pt idx="913">
                  <c:v>0.98675496688741726</c:v>
                </c:pt>
                <c:pt idx="914">
                  <c:v>0.98896247240618107</c:v>
                </c:pt>
                <c:pt idx="915">
                  <c:v>0.98896247240618107</c:v>
                </c:pt>
                <c:pt idx="916">
                  <c:v>0.98896247240618107</c:v>
                </c:pt>
                <c:pt idx="917">
                  <c:v>0.98896247240618107</c:v>
                </c:pt>
                <c:pt idx="918">
                  <c:v>0.99337748344370858</c:v>
                </c:pt>
                <c:pt idx="919">
                  <c:v>0.99337748344370858</c:v>
                </c:pt>
                <c:pt idx="920">
                  <c:v>0.98896247240618107</c:v>
                </c:pt>
                <c:pt idx="921">
                  <c:v>0.98896247240618107</c:v>
                </c:pt>
                <c:pt idx="922">
                  <c:v>0.99116997792494477</c:v>
                </c:pt>
                <c:pt idx="923">
                  <c:v>0.99116997792494477</c:v>
                </c:pt>
                <c:pt idx="924">
                  <c:v>0.99116997792494477</c:v>
                </c:pt>
                <c:pt idx="925">
                  <c:v>0.99116997792494477</c:v>
                </c:pt>
                <c:pt idx="926">
                  <c:v>0.98896247240618107</c:v>
                </c:pt>
                <c:pt idx="927">
                  <c:v>0.98896247240618107</c:v>
                </c:pt>
                <c:pt idx="928">
                  <c:v>0.99116997792494477</c:v>
                </c:pt>
                <c:pt idx="929">
                  <c:v>0.99116997792494477</c:v>
                </c:pt>
                <c:pt idx="930">
                  <c:v>0.98454746136865345</c:v>
                </c:pt>
                <c:pt idx="931">
                  <c:v>0.98454746136865345</c:v>
                </c:pt>
                <c:pt idx="932">
                  <c:v>0.98896247240618107</c:v>
                </c:pt>
                <c:pt idx="933">
                  <c:v>0.98896247240618107</c:v>
                </c:pt>
                <c:pt idx="934">
                  <c:v>0.98896247240618107</c:v>
                </c:pt>
                <c:pt idx="935">
                  <c:v>0.98896247240618107</c:v>
                </c:pt>
                <c:pt idx="936">
                  <c:v>0.99116997792494477</c:v>
                </c:pt>
                <c:pt idx="937">
                  <c:v>0.99116997792494477</c:v>
                </c:pt>
                <c:pt idx="938">
                  <c:v>0.99337748344370858</c:v>
                </c:pt>
                <c:pt idx="939">
                  <c:v>0.99337748344370858</c:v>
                </c:pt>
                <c:pt idx="940">
                  <c:v>0.99337748344370858</c:v>
                </c:pt>
                <c:pt idx="941">
                  <c:v>0.99337748344370858</c:v>
                </c:pt>
                <c:pt idx="942">
                  <c:v>0.99779249448123619</c:v>
                </c:pt>
                <c:pt idx="943">
                  <c:v>0.99779249448123619</c:v>
                </c:pt>
                <c:pt idx="944">
                  <c:v>0.99558498896247238</c:v>
                </c:pt>
                <c:pt idx="945">
                  <c:v>0.99558498896247238</c:v>
                </c:pt>
                <c:pt idx="946">
                  <c:v>0.99779249448123619</c:v>
                </c:pt>
                <c:pt idx="947">
                  <c:v>0.99779249448123619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1.0022075055187638</c:v>
                </c:pt>
                <c:pt idx="953">
                  <c:v>1.0022075055187638</c:v>
                </c:pt>
                <c:pt idx="954">
                  <c:v>0.99779249448123619</c:v>
                </c:pt>
                <c:pt idx="955">
                  <c:v>0.99779249448123619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0.99779249448123619</c:v>
                </c:pt>
                <c:pt idx="961">
                  <c:v>0.99779249448123619</c:v>
                </c:pt>
                <c:pt idx="962">
                  <c:v>1</c:v>
                </c:pt>
                <c:pt idx="96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91E-498D-A48D-2DE7435D7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351064"/>
        <c:axId val="640352048"/>
      </c:scatterChart>
      <c:valAx>
        <c:axId val="64035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352048"/>
        <c:crosses val="autoZero"/>
        <c:crossBetween val="midCat"/>
      </c:valAx>
      <c:valAx>
        <c:axId val="640352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0351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 b="1" i="0" baseline="0">
                <a:effectLst/>
              </a:rPr>
              <a:t>Relationship between mixing time w.r.t. impeller immersions at different impeller speed </a:t>
            </a:r>
            <a:endParaRPr lang="en-ZA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'4'!$J$63</c:f>
              <c:strCache>
                <c:ptCount val="1"/>
                <c:pt idx="0">
                  <c:v>4%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'4'!$K$61:$O$61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'4'!$K$63:$O$63</c:f>
              <c:numCache>
                <c:formatCode>0.0</c:formatCode>
                <c:ptCount val="5"/>
                <c:pt idx="0">
                  <c:v>-4.0124851747123103E-3</c:v>
                </c:pt>
                <c:pt idx="1">
                  <c:v>1.5871911876075728E-2</c:v>
                </c:pt>
                <c:pt idx="2">
                  <c:v>2.1708296919314307E-2</c:v>
                </c:pt>
                <c:pt idx="3">
                  <c:v>1.7104730074549934E-2</c:v>
                </c:pt>
                <c:pt idx="4">
                  <c:v>1.9234015615012368E-2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DF-4240-AD49-269C6CF1A613}"/>
            </c:ext>
          </c:extLst>
        </c:ser>
        <c:ser>
          <c:idx val="1"/>
          <c:order val="1"/>
          <c:tx>
            <c:strRef>
              <c:f>'4'!$J$64</c:f>
              <c:strCache>
                <c:ptCount val="1"/>
                <c:pt idx="0">
                  <c:v>42%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'4'!$K$61:$O$61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'4'!$K$64:$O$64</c:f>
              <c:numCache>
                <c:formatCode>0.0</c:formatCode>
                <c:ptCount val="5"/>
                <c:pt idx="0">
                  <c:v>-0.43936845540545733</c:v>
                </c:pt>
                <c:pt idx="1">
                  <c:v>-0.24790265374331</c:v>
                </c:pt>
                <c:pt idx="2">
                  <c:v>-0.16424060366408355</c:v>
                </c:pt>
                <c:pt idx="3">
                  <c:v>-0.1217878592896291</c:v>
                </c:pt>
                <c:pt idx="4">
                  <c:v>-0.11913833867821921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DF-4240-AD49-269C6CF1A613}"/>
            </c:ext>
          </c:extLst>
        </c:ser>
        <c:ser>
          <c:idx val="2"/>
          <c:order val="2"/>
          <c:tx>
            <c:strRef>
              <c:f>'4'!$J$65</c:f>
              <c:strCache>
                <c:ptCount val="1"/>
                <c:pt idx="0">
                  <c:v>79%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'4'!$K$61:$O$61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'4'!$K$65:$O$65</c:f>
              <c:numCache>
                <c:formatCode>0.0</c:formatCode>
                <c:ptCount val="5"/>
                <c:pt idx="0">
                  <c:v>1.0239733368787114</c:v>
                </c:pt>
                <c:pt idx="1">
                  <c:v>0.35995427022456639</c:v>
                </c:pt>
                <c:pt idx="2">
                  <c:v>0.28817025412364572</c:v>
                </c:pt>
                <c:pt idx="3">
                  <c:v>0.25961664811205765</c:v>
                </c:pt>
                <c:pt idx="4">
                  <c:v>0.24056208009758251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DF-4240-AD49-269C6CF1A613}"/>
            </c:ext>
          </c:extLst>
        </c:ser>
        <c:ser>
          <c:idx val="3"/>
          <c:order val="3"/>
          <c:tx>
            <c:strRef>
              <c:f>'4'!$J$66</c:f>
              <c:strCache>
                <c:ptCount val="1"/>
                <c:pt idx="0">
                  <c:v>121%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'4'!$K$61:$O$61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'4'!$K$66:$O$66</c:f>
              <c:numCache>
                <c:formatCode>0.0</c:formatCode>
                <c:ptCount val="5"/>
                <c:pt idx="0">
                  <c:v>-0.24264143478455935</c:v>
                </c:pt>
                <c:pt idx="1">
                  <c:v>-0.11595538351285484</c:v>
                </c:pt>
                <c:pt idx="2">
                  <c:v>-7.4873990423647285E-2</c:v>
                </c:pt>
                <c:pt idx="3">
                  <c:v>-5.5983373866340003E-2</c:v>
                </c:pt>
                <c:pt idx="4">
                  <c:v>-5.1696035791103156E-2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DF-4240-AD49-269C6CF1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95520"/>
        <c:axId val="85678200"/>
      </c:scatterChart>
      <c:valAx>
        <c:axId val="73899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8200"/>
        <c:crosses val="autoZero"/>
        <c:crossBetween val="midCat"/>
      </c:valAx>
      <c:valAx>
        <c:axId val="85678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Residual mixing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9955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 b="1" i="0" baseline="0">
                <a:effectLst/>
              </a:rPr>
              <a:t>Relationship between mixing time and impeller speed at different impeller immersions</a:t>
            </a:r>
            <a:endParaRPr lang="en-ZA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'4'!$S$70:$S$73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'4'!$T$70:$T$73</c:f>
              <c:numCache>
                <c:formatCode>0.0</c:formatCode>
                <c:ptCount val="4"/>
                <c:pt idx="0">
                  <c:v>-1.4857751124934566</c:v>
                </c:pt>
                <c:pt idx="1">
                  <c:v>-8.5253236791738942</c:v>
                </c:pt>
                <c:pt idx="2">
                  <c:v>2.129053098688928</c:v>
                </c:pt>
                <c:pt idx="3">
                  <c:v>7.2422687132706471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CF-40A1-8BE1-56F93F993263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'4'!$S$70:$S$73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'4'!$U$70:$U$73</c:f>
              <c:numCache>
                <c:formatCode>0.0</c:formatCode>
                <c:ptCount val="4"/>
                <c:pt idx="0">
                  <c:v>8.9289222695400952</c:v>
                </c:pt>
                <c:pt idx="1">
                  <c:v>-7.4291061939645999</c:v>
                </c:pt>
                <c:pt idx="2">
                  <c:v>1.039627098479162</c:v>
                </c:pt>
                <c:pt idx="3">
                  <c:v>1.222143353849404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CF-40A1-8BE1-56F93F993263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'4'!$S$70:$S$73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'4'!$V$70:$V$73</c:f>
              <c:numCache>
                <c:formatCode>0.0</c:formatCode>
                <c:ptCount val="4"/>
                <c:pt idx="0">
                  <c:v>0.68184658364538109</c:v>
                </c:pt>
                <c:pt idx="1">
                  <c:v>-5.6675263676127194</c:v>
                </c:pt>
                <c:pt idx="2">
                  <c:v>-2.2744599151977241E-2</c:v>
                </c:pt>
                <c:pt idx="3">
                  <c:v>-0.14808885752155732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CF-40A1-8BE1-56F93F993263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'4'!$S$70:$S$73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'4'!$W$70:$W$73</c:f>
              <c:numCache>
                <c:formatCode>0.0</c:formatCode>
                <c:ptCount val="4"/>
                <c:pt idx="0">
                  <c:v>1.3217756199540247</c:v>
                </c:pt>
                <c:pt idx="1">
                  <c:v>-4.5855071610566469</c:v>
                </c:pt>
                <c:pt idx="2">
                  <c:v>-0.71376342774826895</c:v>
                </c:pt>
                <c:pt idx="3">
                  <c:v>-0.74771075540258636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CF-40A1-8BE1-56F93F993263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'4'!$S$70:$S$73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'4'!$X$70:$X$73</c:f>
              <c:numCache>
                <c:formatCode>0.0</c:formatCode>
                <c:ptCount val="4"/>
                <c:pt idx="0">
                  <c:v>-1.6769453975905577</c:v>
                </c:pt>
                <c:pt idx="1">
                  <c:v>-5.4914682556372654</c:v>
                </c:pt>
                <c:pt idx="2">
                  <c:v>-1.185279259720236</c:v>
                </c:pt>
                <c:pt idx="3">
                  <c:v>-1.8517372774623269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CF-40A1-8BE1-56F93F993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47176"/>
        <c:axId val="513647504"/>
      </c:scatterChart>
      <c:valAx>
        <c:axId val="513647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ZA"/>
                  <a:t>Impeller</a:t>
                </a:r>
                <a:r>
                  <a:rPr lang="en-ZA" baseline="0"/>
                  <a:t> immersion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647504"/>
        <c:crosses val="autoZero"/>
        <c:crossBetween val="midCat"/>
      </c:valAx>
      <c:valAx>
        <c:axId val="5136475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ZA"/>
                  <a:t>Residual mixing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6471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 b="1" i="0" baseline="0">
                <a:effectLst/>
              </a:rPr>
              <a:t>Relationship between mixing time w.r.t. impeller immersions at different impeller speed </a:t>
            </a:r>
            <a:endParaRPr lang="en-ZA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'4'!$S$70</c:f>
              <c:strCache>
                <c:ptCount val="1"/>
                <c:pt idx="0">
                  <c:v>4%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'4'!$T$68:$X$68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'4'!$T$70:$X$70</c:f>
              <c:numCache>
                <c:formatCode>0.0</c:formatCode>
                <c:ptCount val="5"/>
                <c:pt idx="0">
                  <c:v>-1.4857751124934566</c:v>
                </c:pt>
                <c:pt idx="1">
                  <c:v>8.9289222695400952</c:v>
                </c:pt>
                <c:pt idx="2">
                  <c:v>0.68184658364538109</c:v>
                </c:pt>
                <c:pt idx="3">
                  <c:v>1.3217756199540247</c:v>
                </c:pt>
                <c:pt idx="4">
                  <c:v>-1.6769453975905577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44-4570-9181-44A249859859}"/>
            </c:ext>
          </c:extLst>
        </c:ser>
        <c:ser>
          <c:idx val="1"/>
          <c:order val="1"/>
          <c:tx>
            <c:strRef>
              <c:f>'4'!$S$71</c:f>
              <c:strCache>
                <c:ptCount val="1"/>
                <c:pt idx="0">
                  <c:v>42%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'4'!$T$68:$X$68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'4'!$T$71:$X$71</c:f>
              <c:numCache>
                <c:formatCode>0.0</c:formatCode>
                <c:ptCount val="5"/>
                <c:pt idx="0">
                  <c:v>-8.5253236791738942</c:v>
                </c:pt>
                <c:pt idx="1">
                  <c:v>-7.4291061939645999</c:v>
                </c:pt>
                <c:pt idx="2">
                  <c:v>-5.6675263676127194</c:v>
                </c:pt>
                <c:pt idx="3">
                  <c:v>-4.5855071610566469</c:v>
                </c:pt>
                <c:pt idx="4">
                  <c:v>-5.4914682556372654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44-4570-9181-44A249859859}"/>
            </c:ext>
          </c:extLst>
        </c:ser>
        <c:ser>
          <c:idx val="2"/>
          <c:order val="2"/>
          <c:tx>
            <c:strRef>
              <c:f>'4'!$S$72</c:f>
              <c:strCache>
                <c:ptCount val="1"/>
                <c:pt idx="0">
                  <c:v>79%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'4'!$T$68:$X$68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'4'!$T$72:$X$72</c:f>
              <c:numCache>
                <c:formatCode>0.0</c:formatCode>
                <c:ptCount val="5"/>
                <c:pt idx="0">
                  <c:v>2.129053098688928</c:v>
                </c:pt>
                <c:pt idx="1">
                  <c:v>1.039627098479162</c:v>
                </c:pt>
                <c:pt idx="2">
                  <c:v>-2.2744599151977241E-2</c:v>
                </c:pt>
                <c:pt idx="3">
                  <c:v>-0.71376342774826895</c:v>
                </c:pt>
                <c:pt idx="4">
                  <c:v>-1.185279259720236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44-4570-9181-44A249859859}"/>
            </c:ext>
          </c:extLst>
        </c:ser>
        <c:ser>
          <c:idx val="3"/>
          <c:order val="3"/>
          <c:tx>
            <c:strRef>
              <c:f>'4'!$S$73</c:f>
              <c:strCache>
                <c:ptCount val="1"/>
                <c:pt idx="0">
                  <c:v>121%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'4'!$T$68:$X$68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'4'!$T$73:$X$73</c:f>
              <c:numCache>
                <c:formatCode>0.0</c:formatCode>
                <c:ptCount val="5"/>
                <c:pt idx="0">
                  <c:v>7.2422687132706471</c:v>
                </c:pt>
                <c:pt idx="1">
                  <c:v>1.222143353849404</c:v>
                </c:pt>
                <c:pt idx="2">
                  <c:v>-0.14808885752155732</c:v>
                </c:pt>
                <c:pt idx="3">
                  <c:v>-0.74771075540258636</c:v>
                </c:pt>
                <c:pt idx="4">
                  <c:v>-1.8517372774623269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44-4570-9181-44A24985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617568"/>
        <c:axId val="630616912"/>
      </c:scatterChart>
      <c:valAx>
        <c:axId val="630617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16912"/>
        <c:crosses val="autoZero"/>
        <c:crossBetween val="midCat"/>
      </c:valAx>
      <c:valAx>
        <c:axId val="630616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Residual mixing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1756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'4'!$B$13</c:f>
              <c:strCache>
                <c:ptCount val="1"/>
                <c:pt idx="0">
                  <c:v>4%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5046894138232722"/>
                  <c:y val="-0.6387153689122193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'4'!$B$5:$B$9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'4'!$C$13:$G$13</c:f>
              <c:numCache>
                <c:formatCode>0</c:formatCode>
                <c:ptCount val="5"/>
                <c:pt idx="0">
                  <c:v>659.33333333333337</c:v>
                </c:pt>
                <c:pt idx="1">
                  <c:v>162</c:v>
                </c:pt>
                <c:pt idx="2">
                  <c:v>136.66666666666666</c:v>
                </c:pt>
                <c:pt idx="3">
                  <c:v>84.666666666666671</c:v>
                </c:pt>
                <c:pt idx="4">
                  <c:v>81.666666666666671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84-4EEC-BE74-7AEA89217C57}"/>
            </c:ext>
          </c:extLst>
        </c:ser>
        <c:ser>
          <c:idx val="1"/>
          <c:order val="1"/>
          <c:tx>
            <c:strRef>
              <c:f>'4'!$B$14</c:f>
              <c:strCache>
                <c:ptCount val="1"/>
                <c:pt idx="0">
                  <c:v>42%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5032720909886263"/>
                  <c:y val="-0.47238626421697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'4'!$B$5:$B$9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'4'!$C$14:$G$14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284-4EEC-BE74-7AEA89217C57}"/>
            </c:ext>
          </c:extLst>
        </c:ser>
        <c:ser>
          <c:idx val="2"/>
          <c:order val="2"/>
          <c:tx>
            <c:strRef>
              <c:f>'4'!$B$15</c:f>
              <c:strCache>
                <c:ptCount val="1"/>
                <c:pt idx="0">
                  <c:v>79%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5310498687664043"/>
                  <c:y val="-0.34738626421697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'4'!$B$5:$B$9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'4'!$C$15:$G$15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284-4EEC-BE74-7AEA89217C57}"/>
            </c:ext>
          </c:extLst>
        </c:ser>
        <c:ser>
          <c:idx val="3"/>
          <c:order val="3"/>
          <c:tx>
            <c:strRef>
              <c:f>'4'!$B$16</c:f>
              <c:strCache>
                <c:ptCount val="1"/>
                <c:pt idx="0">
                  <c:v>1.21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28870341207349082"/>
                  <c:y val="-0.231645523476232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'4'!$B$5:$B$9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'4'!$D$16:$G$16</c:f>
              <c:numCache>
                <c:formatCode>0</c:formatCode>
                <c:ptCount val="4"/>
                <c:pt idx="0">
                  <c:v>68.666666666666671</c:v>
                </c:pt>
                <c:pt idx="1">
                  <c:v>46</c:v>
                </c:pt>
                <c:pt idx="2">
                  <c:v>35.333333333333336</c:v>
                </c:pt>
                <c:pt idx="3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284-4EEC-BE74-7AEA8921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228408"/>
        <c:axId val="741229064"/>
      </c:scatterChart>
      <c:valAx>
        <c:axId val="74122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29064"/>
        <c:crosses val="autoZero"/>
        <c:crossBetween val="midCat"/>
      </c:valAx>
      <c:valAx>
        <c:axId val="7412290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28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8675765529308835"/>
                  <c:y val="-0.45644138232720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'4'!$C$13:$C$16</c:f>
              <c:numCache>
                <c:formatCode>0</c:formatCode>
                <c:ptCount val="4"/>
                <c:pt idx="0">
                  <c:v>659.33333333333337</c:v>
                </c:pt>
                <c:pt idx="1">
                  <c:v>72</c:v>
                </c:pt>
                <c:pt idx="2">
                  <c:v>70.666666666666671</c:v>
                </c:pt>
                <c:pt idx="3">
                  <c:v>135.33333333333334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64-43B7-B752-7BDBFB7EC453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6500787401574804"/>
                  <c:y val="-0.422769757946923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'4'!$D$13:$D$16</c:f>
              <c:numCache>
                <c:formatCode>0</c:formatCode>
                <c:ptCount val="4"/>
                <c:pt idx="0">
                  <c:v>162</c:v>
                </c:pt>
                <c:pt idx="1">
                  <c:v>41.333333333333336</c:v>
                </c:pt>
                <c:pt idx="2">
                  <c:v>24.666666666666668</c:v>
                </c:pt>
                <c:pt idx="3">
                  <c:v>68.666666666666671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64-43B7-B752-7BDBFB7EC453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5542432195975503"/>
                  <c:y val="-0.336357903178769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'4'!$E$13:$E$16</c:f>
              <c:numCache>
                <c:formatCode>0</c:formatCode>
                <c:ptCount val="4"/>
                <c:pt idx="0">
                  <c:v>136.66666666666666</c:v>
                </c:pt>
                <c:pt idx="1">
                  <c:v>27.666666666666668</c:v>
                </c:pt>
                <c:pt idx="2">
                  <c:v>19.666666666666668</c:v>
                </c:pt>
                <c:pt idx="3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64-43B7-B752-7BDBFB7EC453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7334120734908137"/>
                  <c:y val="-0.247606445027704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'4'!$F$13:$F$16</c:f>
              <c:numCache>
                <c:formatCode>0</c:formatCode>
                <c:ptCount val="4"/>
                <c:pt idx="0">
                  <c:v>84.666666666666671</c:v>
                </c:pt>
                <c:pt idx="1">
                  <c:v>20.666666666666668</c:v>
                </c:pt>
                <c:pt idx="2">
                  <c:v>17.666666666666668</c:v>
                </c:pt>
                <c:pt idx="3">
                  <c:v>35.333333333333336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64-43B7-B752-7BDBFB7EC453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5945231846019248"/>
                  <c:y val="-0.14730825313502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'4'!$G$13:$G$16</c:f>
              <c:numCache>
                <c:formatCode>0</c:formatCode>
                <c:ptCount val="4"/>
                <c:pt idx="0">
                  <c:v>81.666666666666671</c:v>
                </c:pt>
                <c:pt idx="1">
                  <c:v>20.333333333333332</c:v>
                </c:pt>
                <c:pt idx="2">
                  <c:v>16.333333333333332</c:v>
                </c:pt>
                <c:pt idx="3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64-43B7-B752-7BDBFB7E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257408"/>
        <c:axId val="741257736"/>
      </c:scatterChart>
      <c:valAx>
        <c:axId val="741257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immersion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57736"/>
        <c:crosses val="autoZero"/>
        <c:crossBetween val="midCat"/>
      </c:valAx>
      <c:valAx>
        <c:axId val="741257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1257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Effect of impeller immersion and stirring speed on mixing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'4'!$B$12</c:f>
              <c:strCache>
                <c:ptCount val="1"/>
                <c:pt idx="0">
                  <c:v>Impeller coverage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'4'!$A$13:$A$16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'4'!$H$13:$H$16</c:f>
              <c:numCache>
                <c:formatCode>0</c:formatCode>
                <c:ptCount val="4"/>
                <c:pt idx="0">
                  <c:v>224.8666666666667</c:v>
                </c:pt>
                <c:pt idx="1">
                  <c:v>36.4</c:v>
                </c:pt>
                <c:pt idx="2">
                  <c:v>29.800000000000004</c:v>
                </c:pt>
                <c:pt idx="3">
                  <c:v>63.733333333333327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A8-420A-A974-FDDD97F8F610}"/>
            </c:ext>
          </c:extLst>
        </c:ser>
        <c:ser>
          <c:idx val="1"/>
          <c:order val="1"/>
          <c:tx>
            <c:strRef>
              <c:f>'4'!$C$10:$G$10</c:f>
              <c:strCache>
                <c:ptCount val="1"/>
                <c:pt idx="0">
                  <c:v>Impeller speed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'4'!$A$13:$A$16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'4'!$C$17:$G$17</c:f>
              <c:numCache>
                <c:formatCode>0</c:formatCode>
                <c:ptCount val="5"/>
                <c:pt idx="0">
                  <c:v>234.33333333333334</c:v>
                </c:pt>
                <c:pt idx="1">
                  <c:v>74.166666666666671</c:v>
                </c:pt>
                <c:pt idx="2">
                  <c:v>57.499999999999993</c:v>
                </c:pt>
                <c:pt idx="3">
                  <c:v>39.583333333333336</c:v>
                </c:pt>
                <c:pt idx="4">
                  <c:v>37.916666666666664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A8-420A-A974-FDDD97F8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438488"/>
        <c:axId val="757436848"/>
      </c:scatterChart>
      <c:valAx>
        <c:axId val="757438488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Fill 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436848"/>
        <c:crosses val="autoZero"/>
        <c:crossBetween val="midCat"/>
      </c:valAx>
      <c:valAx>
        <c:axId val="757436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Averaged mixing time profile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43848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Mixing time vs Impeller immersion (Model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42317575774596"/>
          <c:y val="0.1516171653135053"/>
          <c:w val="0.78926495833011545"/>
          <c:h val="0.6551198696722953"/>
        </c:manualLayout>
      </c:layout>
      <c:scatterChart>
        <c:scatterStyle val="lineMarker"/>
        <c:varyColors val="0"/>
        <c:ser>
          <c:idx val="5"/>
          <c:order val="5"/>
          <c:tx>
            <c:strRef>
              <c:f>'4'!$L$12</c:f>
              <c:strCache>
                <c:ptCount val="1"/>
                <c:pt idx="0">
                  <c:v>100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'4'!$C$37:$C$40</c:f>
              <c:numCache>
                <c:formatCode>0</c:formatCode>
                <c:ptCount val="4"/>
                <c:pt idx="0">
                  <c:v>667.17019531555377</c:v>
                </c:pt>
                <c:pt idx="1">
                  <c:v>106.70107836820272</c:v>
                </c:pt>
                <c:pt idx="2">
                  <c:v>93.188875115751756</c:v>
                </c:pt>
                <c:pt idx="3">
                  <c:v>162.64552596407486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DB-40E9-9DCD-BEBF70058F30}"/>
            </c:ext>
          </c:extLst>
        </c:ser>
        <c:ser>
          <c:idx val="6"/>
          <c:order val="6"/>
          <c:tx>
            <c:strRef>
              <c:f>'4'!$L$13</c:f>
              <c:strCache>
                <c:ptCount val="1"/>
                <c:pt idx="0">
                  <c:v>200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'4'!$D$37:$D$40</c:f>
              <c:numCache>
                <c:formatCode>0</c:formatCode>
                <c:ptCount val="4"/>
                <c:pt idx="0">
                  <c:v>147.96539701427409</c:v>
                </c:pt>
                <c:pt idx="1">
                  <c:v>55.290470761324059</c:v>
                </c:pt>
                <c:pt idx="2">
                  <c:v>29.361177818728802</c:v>
                </c:pt>
                <c:pt idx="3">
                  <c:v>74.489807696736634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DB-40E9-9DCD-BEBF70058F30}"/>
            </c:ext>
          </c:extLst>
        </c:ser>
        <c:ser>
          <c:idx val="7"/>
          <c:order val="7"/>
          <c:tx>
            <c:strRef>
              <c:f>'4'!$L$14</c:f>
              <c:strCache>
                <c:ptCount val="1"/>
                <c:pt idx="0">
                  <c:v>300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'4'!$E$37:$E$40</c:f>
              <c:numCache>
                <c:formatCode>0</c:formatCode>
                <c:ptCount val="4"/>
                <c:pt idx="0">
                  <c:v>117.56683946706343</c:v>
                </c:pt>
                <c:pt idx="1">
                  <c:v>34.856500821761486</c:v>
                </c:pt>
                <c:pt idx="2">
                  <c:v>22.048084121356375</c:v>
                </c:pt>
                <c:pt idx="3">
                  <c:v>46.998696301843268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DB-40E9-9DCD-BEBF70058F30}"/>
            </c:ext>
          </c:extLst>
        </c:ser>
        <c:ser>
          <c:idx val="8"/>
          <c:order val="8"/>
          <c:tx>
            <c:strRef>
              <c:f>'4'!$L$15</c:f>
              <c:strCache>
                <c:ptCount val="1"/>
                <c:pt idx="0">
                  <c:v>400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'4'!$F$37:$F$40</c:f>
              <c:numCache>
                <c:formatCode>0</c:formatCode>
                <c:ptCount val="4"/>
                <c:pt idx="0">
                  <c:v>69.802528747290495</c:v>
                </c:pt>
                <c:pt idx="1">
                  <c:v>24.953636077576586</c:v>
                </c:pt>
                <c:pt idx="2">
                  <c:v>18.981527923875721</c:v>
                </c:pt>
                <c:pt idx="3">
                  <c:v>34.597844550820078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0DB-40E9-9DCD-BEBF70058F30}"/>
            </c:ext>
          </c:extLst>
        </c:ser>
        <c:ser>
          <c:idx val="9"/>
          <c:order val="9"/>
          <c:tx>
            <c:strRef>
              <c:f>'4'!$L$16</c:f>
              <c:strCache>
                <c:ptCount val="1"/>
                <c:pt idx="0">
                  <c:v>500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'4'!$G$37:$G$40</c:f>
              <c:numCache>
                <c:formatCode>0</c:formatCode>
                <c:ptCount val="4"/>
                <c:pt idx="0">
                  <c:v>65.145149372080951</c:v>
                </c:pt>
                <c:pt idx="1">
                  <c:v>23.754754305696281</c:v>
                </c:pt>
                <c:pt idx="2">
                  <c:v>16.979697111111829</c:v>
                </c:pt>
                <c:pt idx="3">
                  <c:v>31.580698980900987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0DB-40E9-9DCD-BEBF7005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77232"/>
        <c:axId val="568377560"/>
      </c:scatterChart>
      <c:scatterChart>
        <c:scatterStyle val="smooth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plus>
            <c:min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'4'!$C$13:$C$16</c:f>
              <c:numCache>
                <c:formatCode>0</c:formatCode>
                <c:ptCount val="4"/>
                <c:pt idx="0">
                  <c:v>659.33333333333337</c:v>
                </c:pt>
                <c:pt idx="1">
                  <c:v>72</c:v>
                </c:pt>
                <c:pt idx="2">
                  <c:v>70.666666666666671</c:v>
                </c:pt>
                <c:pt idx="3">
                  <c:v>135.33333333333334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DB-40E9-9DCD-BEBF70058F30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plus>
            <c:min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'4'!$D$13:$D$16</c:f>
              <c:numCache>
                <c:formatCode>0</c:formatCode>
                <c:ptCount val="4"/>
                <c:pt idx="0">
                  <c:v>162</c:v>
                </c:pt>
                <c:pt idx="1">
                  <c:v>41.333333333333336</c:v>
                </c:pt>
                <c:pt idx="2">
                  <c:v>24.666666666666668</c:v>
                </c:pt>
                <c:pt idx="3">
                  <c:v>68.666666666666671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DB-40E9-9DCD-BEBF70058F30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plus>
            <c:min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'4'!$E$13:$E$16</c:f>
              <c:numCache>
                <c:formatCode>0</c:formatCode>
                <c:ptCount val="4"/>
                <c:pt idx="0">
                  <c:v>136.66666666666666</c:v>
                </c:pt>
                <c:pt idx="1">
                  <c:v>27.666666666666668</c:v>
                </c:pt>
                <c:pt idx="2">
                  <c:v>19.666666666666668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DB-40E9-9DCD-BEBF70058F30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plus>
            <c:min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'4'!$F$13:$F$16</c:f>
              <c:numCache>
                <c:formatCode>0</c:formatCode>
                <c:ptCount val="4"/>
                <c:pt idx="0">
                  <c:v>84.666666666666671</c:v>
                </c:pt>
                <c:pt idx="1">
                  <c:v>20.666666666666668</c:v>
                </c:pt>
                <c:pt idx="2">
                  <c:v>17.666666666666668</c:v>
                </c:pt>
                <c:pt idx="3">
                  <c:v>35.333333333333336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0DB-40E9-9DCD-BEBF70058F30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plus>
            <c:min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'4'!$G$13:$G$16</c:f>
              <c:numCache>
                <c:formatCode>0</c:formatCode>
                <c:ptCount val="4"/>
                <c:pt idx="0">
                  <c:v>81.666666666666671</c:v>
                </c:pt>
                <c:pt idx="1">
                  <c:v>20.333333333333332</c:v>
                </c:pt>
                <c:pt idx="2">
                  <c:v>16.333333333333332</c:v>
                </c:pt>
                <c:pt idx="3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0DB-40E9-9DCD-BEBF7005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77232"/>
        <c:axId val="568377560"/>
      </c:scatterChart>
      <c:valAx>
        <c:axId val="568377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immersion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377560"/>
        <c:crosses val="autoZero"/>
        <c:crossBetween val="midCat"/>
      </c:valAx>
      <c:valAx>
        <c:axId val="568377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8377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550338536797879"/>
          <c:y val="5.3237138629203651E-2"/>
          <c:w val="0.2260482298497492"/>
          <c:h val="0.647028910094608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Mixing time Vs impeller speed (model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60041994750657"/>
          <c:y val="0.15009264730703095"/>
          <c:w val="0.80365921259842521"/>
          <c:h val="0.65858765623638682"/>
        </c:manualLayout>
      </c:layout>
      <c:scatterChart>
        <c:scatterStyle val="lineMarker"/>
        <c:varyColors val="0"/>
        <c:ser>
          <c:idx val="4"/>
          <c:order val="4"/>
          <c:tx>
            <c:strRef>
              <c:f>'4'!$N$12</c:f>
              <c:strCache>
                <c:ptCount val="1"/>
                <c:pt idx="0">
                  <c:v>4 %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'4'!$C$37:$G$37</c:f>
              <c:numCache>
                <c:formatCode>0</c:formatCode>
                <c:ptCount val="5"/>
                <c:pt idx="0">
                  <c:v>667.17019531555377</c:v>
                </c:pt>
                <c:pt idx="1">
                  <c:v>147.96539701427409</c:v>
                </c:pt>
                <c:pt idx="2">
                  <c:v>117.56683946706343</c:v>
                </c:pt>
                <c:pt idx="3">
                  <c:v>69.802528747290495</c:v>
                </c:pt>
                <c:pt idx="4">
                  <c:v>65.145149372080951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E68-44B7-A361-75AA06DD2C6C}"/>
            </c:ext>
          </c:extLst>
        </c:ser>
        <c:ser>
          <c:idx val="5"/>
          <c:order val="5"/>
          <c:tx>
            <c:strRef>
              <c:f>'4'!$N$13</c:f>
              <c:strCache>
                <c:ptCount val="1"/>
                <c:pt idx="0">
                  <c:v>42 %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'4'!$C$38:$G$38</c:f>
              <c:numCache>
                <c:formatCode>0</c:formatCode>
                <c:ptCount val="5"/>
                <c:pt idx="0">
                  <c:v>106.70107836820272</c:v>
                </c:pt>
                <c:pt idx="1">
                  <c:v>55.290470761324059</c:v>
                </c:pt>
                <c:pt idx="2">
                  <c:v>34.856500821761486</c:v>
                </c:pt>
                <c:pt idx="3">
                  <c:v>24.953636077576586</c:v>
                </c:pt>
                <c:pt idx="4">
                  <c:v>23.754754305696281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68-44B7-A361-75AA06DD2C6C}"/>
            </c:ext>
          </c:extLst>
        </c:ser>
        <c:ser>
          <c:idx val="6"/>
          <c:order val="6"/>
          <c:tx>
            <c:strRef>
              <c:f>'4'!$N$14</c:f>
              <c:strCache>
                <c:ptCount val="1"/>
                <c:pt idx="0">
                  <c:v>79 %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'4'!$C$39:$G$39</c:f>
              <c:numCache>
                <c:formatCode>0</c:formatCode>
                <c:ptCount val="5"/>
                <c:pt idx="0">
                  <c:v>93.188875115751756</c:v>
                </c:pt>
                <c:pt idx="1">
                  <c:v>29.361177818728802</c:v>
                </c:pt>
                <c:pt idx="2">
                  <c:v>22.048084121356375</c:v>
                </c:pt>
                <c:pt idx="3">
                  <c:v>18.981527923875721</c:v>
                </c:pt>
                <c:pt idx="4">
                  <c:v>16.979697111111829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E68-44B7-A361-75AA06DD2C6C}"/>
            </c:ext>
          </c:extLst>
        </c:ser>
        <c:ser>
          <c:idx val="7"/>
          <c:order val="7"/>
          <c:tx>
            <c:strRef>
              <c:f>'4'!$N$15</c:f>
              <c:strCache>
                <c:ptCount val="1"/>
                <c:pt idx="0">
                  <c:v>121 %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'4'!$C$40:$G$40</c:f>
              <c:numCache>
                <c:formatCode>0</c:formatCode>
                <c:ptCount val="5"/>
                <c:pt idx="0">
                  <c:v>162.64552596407486</c:v>
                </c:pt>
                <c:pt idx="1">
                  <c:v>74.489807696736634</c:v>
                </c:pt>
                <c:pt idx="2">
                  <c:v>46.998696301843268</c:v>
                </c:pt>
                <c:pt idx="3">
                  <c:v>34.597844550820078</c:v>
                </c:pt>
                <c:pt idx="4">
                  <c:v>31.580698980900987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E68-44B7-A361-75AA06DD2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894120"/>
        <c:axId val="784894448"/>
      </c:scatterChart>
      <c:scatterChart>
        <c:scatterStyle val="smoothMarker"/>
        <c:varyColors val="0"/>
        <c:ser>
          <c:idx val="0"/>
          <c:order val="0"/>
          <c:tx>
            <c:strRef>
              <c:f>'4'!$B$13</c:f>
              <c:strCache>
                <c:ptCount val="1"/>
                <c:pt idx="0">
                  <c:v>4%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plus>
            <c:min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'4'!$C$13:$G$13</c:f>
              <c:numCache>
                <c:formatCode>0</c:formatCode>
                <c:ptCount val="5"/>
                <c:pt idx="0">
                  <c:v>659.33333333333337</c:v>
                </c:pt>
                <c:pt idx="1">
                  <c:v>162</c:v>
                </c:pt>
                <c:pt idx="2">
                  <c:v>136.66666666666666</c:v>
                </c:pt>
                <c:pt idx="3">
                  <c:v>84.666666666666671</c:v>
                </c:pt>
                <c:pt idx="4">
                  <c:v>81.666666666666671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68-44B7-A361-75AA06DD2C6C}"/>
            </c:ext>
          </c:extLst>
        </c:ser>
        <c:ser>
          <c:idx val="1"/>
          <c:order val="1"/>
          <c:tx>
            <c:strRef>
              <c:f>'4'!$B$14</c:f>
              <c:strCache>
                <c:ptCount val="1"/>
                <c:pt idx="0">
                  <c:v>42%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plus>
            <c:min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'4'!$C$14:$G$14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68-44B7-A361-75AA06DD2C6C}"/>
            </c:ext>
          </c:extLst>
        </c:ser>
        <c:ser>
          <c:idx val="2"/>
          <c:order val="2"/>
          <c:tx>
            <c:strRef>
              <c:f>'4'!$B$15</c:f>
              <c:strCache>
                <c:ptCount val="1"/>
                <c:pt idx="0">
                  <c:v>79%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plus>
            <c:min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'4'!$C$15:$G$15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68-44B7-A361-75AA06DD2C6C}"/>
            </c:ext>
          </c:extLst>
        </c:ser>
        <c:ser>
          <c:idx val="3"/>
          <c:order val="3"/>
          <c:tx>
            <c:strRef>
              <c:f>'4'!$B$16</c:f>
              <c:strCache>
                <c:ptCount val="1"/>
                <c:pt idx="0">
                  <c:v>1.21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plus>
            <c:min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'4'!$C$16:$G$16</c:f>
              <c:numCache>
                <c:formatCode>0</c:formatCode>
                <c:ptCount val="5"/>
                <c:pt idx="0">
                  <c:v>135.33333333333334</c:v>
                </c:pt>
                <c:pt idx="1">
                  <c:v>68.666666666666671</c:v>
                </c:pt>
                <c:pt idx="2">
                  <c:v>46</c:v>
                </c:pt>
                <c:pt idx="3">
                  <c:v>35.333333333333336</c:v>
                </c:pt>
                <c:pt idx="4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E68-44B7-A361-75AA06DD2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4894120"/>
        <c:axId val="784894448"/>
      </c:scatterChart>
      <c:valAx>
        <c:axId val="784894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4894448"/>
        <c:crosses val="autoZero"/>
        <c:crossBetween val="midCat"/>
      </c:valAx>
      <c:valAx>
        <c:axId val="7848944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84894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13899706336653"/>
          <c:y val="0.11069738796384355"/>
          <c:w val="0.20591846334349556"/>
          <c:h val="0.55138819182039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u="none" strike="noStrike" baseline="0">
                <a:effectLst/>
              </a:rPr>
              <a:t>Mixing time vs Impeller immersion (Model 2</a:t>
            </a:r>
            <a:endParaRPr lang="en-ZA" sz="1100"/>
          </a:p>
        </c:rich>
      </c:tx>
      <c:layout>
        <c:manualLayout>
          <c:xMode val="edge"/>
          <c:yMode val="edge"/>
          <c:x val="0.13042985084073286"/>
          <c:y val="2.4622264731352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98381452318461"/>
          <c:y val="0.15009259259259258"/>
          <c:w val="0.77634908136482939"/>
          <c:h val="0.6529476523767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plus>
            <c:min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'4'!$C$13:$C$16</c:f>
              <c:numCache>
                <c:formatCode>0</c:formatCode>
                <c:ptCount val="4"/>
                <c:pt idx="0">
                  <c:v>659.33333333333337</c:v>
                </c:pt>
                <c:pt idx="1">
                  <c:v>72</c:v>
                </c:pt>
                <c:pt idx="2">
                  <c:v>70.666666666666671</c:v>
                </c:pt>
                <c:pt idx="3">
                  <c:v>135.33333333333334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79-4455-AB62-BC664DCD2CB1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plus>
            <c:min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'4'!$D$13:$D$16</c:f>
              <c:numCache>
                <c:formatCode>0</c:formatCode>
                <c:ptCount val="4"/>
                <c:pt idx="0">
                  <c:v>162</c:v>
                </c:pt>
                <c:pt idx="1">
                  <c:v>41.333333333333336</c:v>
                </c:pt>
                <c:pt idx="2">
                  <c:v>24.666666666666668</c:v>
                </c:pt>
                <c:pt idx="3">
                  <c:v>68.666666666666671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79-4455-AB62-BC664DCD2CB1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plus>
            <c:min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'4'!$E$13:$E$16</c:f>
              <c:numCache>
                <c:formatCode>0</c:formatCode>
                <c:ptCount val="4"/>
                <c:pt idx="0">
                  <c:v>136.66666666666666</c:v>
                </c:pt>
                <c:pt idx="1">
                  <c:v>27.666666666666668</c:v>
                </c:pt>
                <c:pt idx="2">
                  <c:v>19.666666666666668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E79-4455-AB62-BC664DCD2CB1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plus>
            <c:min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'4'!$F$13:$F$16</c:f>
              <c:numCache>
                <c:formatCode>0</c:formatCode>
                <c:ptCount val="4"/>
                <c:pt idx="0">
                  <c:v>84.666666666666671</c:v>
                </c:pt>
                <c:pt idx="1">
                  <c:v>20.666666666666668</c:v>
                </c:pt>
                <c:pt idx="2">
                  <c:v>17.666666666666668</c:v>
                </c:pt>
                <c:pt idx="3">
                  <c:v>35.333333333333336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E79-4455-AB62-BC664DCD2CB1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plus>
            <c:min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'4'!$G$13:$G$16</c:f>
              <c:numCache>
                <c:formatCode>0</c:formatCode>
                <c:ptCount val="4"/>
                <c:pt idx="0">
                  <c:v>81.666666666666671</c:v>
                </c:pt>
                <c:pt idx="1">
                  <c:v>20.333333333333332</c:v>
                </c:pt>
                <c:pt idx="2">
                  <c:v>16.333333333333332</c:v>
                </c:pt>
                <c:pt idx="3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E79-4455-AB62-BC664DCD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12768"/>
        <c:axId val="637481088"/>
      </c:scatterChart>
      <c:scatterChart>
        <c:scatterStyle val="lineMarker"/>
        <c:varyColors val="0"/>
        <c:ser>
          <c:idx val="5"/>
          <c:order val="5"/>
          <c:tx>
            <c:strRef>
              <c:f>'4'!$L$12</c:f>
              <c:strCache>
                <c:ptCount val="1"/>
                <c:pt idx="0">
                  <c:v>100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'4'!$L$37:$L$40</c:f>
              <c:numCache>
                <c:formatCode>0</c:formatCode>
                <c:ptCount val="4"/>
                <c:pt idx="0">
                  <c:v>659.33734581850808</c:v>
                </c:pt>
                <c:pt idx="1">
                  <c:v>72.439368455405457</c:v>
                </c:pt>
                <c:pt idx="2">
                  <c:v>69.64269332978796</c:v>
                </c:pt>
                <c:pt idx="3">
                  <c:v>135.5759747681179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E79-4455-AB62-BC664DCD2CB1}"/>
            </c:ext>
          </c:extLst>
        </c:ser>
        <c:ser>
          <c:idx val="6"/>
          <c:order val="6"/>
          <c:tx>
            <c:strRef>
              <c:f>'4'!$L$13</c:f>
              <c:strCache>
                <c:ptCount val="1"/>
                <c:pt idx="0">
                  <c:v>200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'4'!$M$37:$M$40</c:f>
              <c:numCache>
                <c:formatCode>0</c:formatCode>
                <c:ptCount val="4"/>
                <c:pt idx="0">
                  <c:v>161.98412808812392</c:v>
                </c:pt>
                <c:pt idx="1">
                  <c:v>41.581235987076646</c:v>
                </c:pt>
                <c:pt idx="2">
                  <c:v>24.306712396442101</c:v>
                </c:pt>
                <c:pt idx="3">
                  <c:v>68.782622050179526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E79-4455-AB62-BC664DCD2CB1}"/>
            </c:ext>
          </c:extLst>
        </c:ser>
        <c:ser>
          <c:idx val="7"/>
          <c:order val="7"/>
          <c:tx>
            <c:strRef>
              <c:f>'4'!$L$14</c:f>
              <c:strCache>
                <c:ptCount val="1"/>
                <c:pt idx="0">
                  <c:v>300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'4'!$N$37:$N$40</c:f>
              <c:numCache>
                <c:formatCode>0</c:formatCode>
                <c:ptCount val="4"/>
                <c:pt idx="0">
                  <c:v>136.64495836974734</c:v>
                </c:pt>
                <c:pt idx="1">
                  <c:v>27.830907270330751</c:v>
                </c:pt>
                <c:pt idx="2">
                  <c:v>19.378496412543022</c:v>
                </c:pt>
                <c:pt idx="3">
                  <c:v>46.074873990423647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79-4455-AB62-BC664DCD2CB1}"/>
            </c:ext>
          </c:extLst>
        </c:ser>
        <c:ser>
          <c:idx val="8"/>
          <c:order val="8"/>
          <c:tx>
            <c:strRef>
              <c:f>'4'!$L$15</c:f>
              <c:strCache>
                <c:ptCount val="1"/>
                <c:pt idx="0">
                  <c:v>400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'4'!$O$37:$O$40</c:f>
              <c:numCache>
                <c:formatCode>0</c:formatCode>
                <c:ptCount val="4"/>
                <c:pt idx="0">
                  <c:v>84.649561936592121</c:v>
                </c:pt>
                <c:pt idx="1">
                  <c:v>20.788454525956297</c:v>
                </c:pt>
                <c:pt idx="2">
                  <c:v>17.40705001855461</c:v>
                </c:pt>
                <c:pt idx="3">
                  <c:v>35.389316707199676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E79-4455-AB62-BC664DCD2CB1}"/>
            </c:ext>
          </c:extLst>
        </c:ser>
        <c:ser>
          <c:idx val="9"/>
          <c:order val="9"/>
          <c:tx>
            <c:strRef>
              <c:f>'4'!$L$16</c:f>
              <c:strCache>
                <c:ptCount val="1"/>
                <c:pt idx="0">
                  <c:v>500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'4'!$P$37:$P$40</c:f>
              <c:numCache>
                <c:formatCode>0</c:formatCode>
                <c:ptCount val="4"/>
                <c:pt idx="0">
                  <c:v>81.647432651051659</c:v>
                </c:pt>
                <c:pt idx="1">
                  <c:v>20.452471672011551</c:v>
                </c:pt>
                <c:pt idx="2">
                  <c:v>16.09277125323575</c:v>
                </c:pt>
                <c:pt idx="3">
                  <c:v>33.385029369124439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E79-4455-AB62-BC664DCD2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012768"/>
        <c:axId val="637481088"/>
      </c:scatterChart>
      <c:valAx>
        <c:axId val="56301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immersion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481088"/>
        <c:crosses val="autoZero"/>
        <c:crossBetween val="midCat"/>
      </c:valAx>
      <c:valAx>
        <c:axId val="637481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012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525940791248745"/>
          <c:y val="2.4232896896689889E-2"/>
          <c:w val="0.24406210000022605"/>
          <c:h val="0.65452248316509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baseline="0">
                <a:effectLst/>
              </a:rPr>
              <a:t>Mixing time Vs impeller speed (model 2)</a:t>
            </a:r>
            <a:endParaRPr lang="en-ZA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'4'!$B$13</c:f>
              <c:strCache>
                <c:ptCount val="1"/>
                <c:pt idx="0">
                  <c:v>4%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plus>
            <c:min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'4'!$C$13:$G$13</c:f>
              <c:numCache>
                <c:formatCode>0</c:formatCode>
                <c:ptCount val="5"/>
                <c:pt idx="0">
                  <c:v>659.33333333333337</c:v>
                </c:pt>
                <c:pt idx="1">
                  <c:v>162</c:v>
                </c:pt>
                <c:pt idx="2">
                  <c:v>136.66666666666666</c:v>
                </c:pt>
                <c:pt idx="3">
                  <c:v>84.666666666666671</c:v>
                </c:pt>
                <c:pt idx="4">
                  <c:v>81.666666666666671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E1-48D3-A893-EFC9726AAB22}"/>
            </c:ext>
          </c:extLst>
        </c:ser>
        <c:ser>
          <c:idx val="1"/>
          <c:order val="1"/>
          <c:tx>
            <c:strRef>
              <c:f>'4'!$B$14</c:f>
              <c:strCache>
                <c:ptCount val="1"/>
                <c:pt idx="0">
                  <c:v>42%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plus>
            <c:min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'4'!$C$14:$G$14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E1-48D3-A893-EFC9726AAB22}"/>
            </c:ext>
          </c:extLst>
        </c:ser>
        <c:ser>
          <c:idx val="2"/>
          <c:order val="2"/>
          <c:tx>
            <c:strRef>
              <c:f>'4'!$B$15</c:f>
              <c:strCache>
                <c:ptCount val="1"/>
                <c:pt idx="0">
                  <c:v>79%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plus>
            <c:min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'4'!$C$15:$G$15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E1-48D3-A893-EFC9726AAB22}"/>
            </c:ext>
          </c:extLst>
        </c:ser>
        <c:ser>
          <c:idx val="3"/>
          <c:order val="3"/>
          <c:tx>
            <c:strRef>
              <c:f>'4'!$B$16</c:f>
              <c:strCache>
                <c:ptCount val="1"/>
                <c:pt idx="0">
                  <c:v>1.21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plus>
            <c:min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'4'!$C$16:$G$16</c:f>
              <c:numCache>
                <c:formatCode>0</c:formatCode>
                <c:ptCount val="5"/>
                <c:pt idx="0">
                  <c:v>135.33333333333334</c:v>
                </c:pt>
                <c:pt idx="1">
                  <c:v>68.666666666666671</c:v>
                </c:pt>
                <c:pt idx="2">
                  <c:v>46</c:v>
                </c:pt>
                <c:pt idx="3">
                  <c:v>35.333333333333336</c:v>
                </c:pt>
                <c:pt idx="4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E1-48D3-A893-EFC9726AAB22}"/>
            </c:ext>
          </c:extLst>
        </c:ser>
        <c:ser>
          <c:idx val="4"/>
          <c:order val="4"/>
          <c:tx>
            <c:strRef>
              <c:f>'4'!$N$12</c:f>
              <c:strCache>
                <c:ptCount val="1"/>
                <c:pt idx="0">
                  <c:v>4 % model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'4'!$L$37:$P$37</c:f>
              <c:numCache>
                <c:formatCode>0</c:formatCode>
                <c:ptCount val="5"/>
                <c:pt idx="0">
                  <c:v>659.33734581850808</c:v>
                </c:pt>
                <c:pt idx="1">
                  <c:v>161.98412808812392</c:v>
                </c:pt>
                <c:pt idx="2">
                  <c:v>136.64495836974734</c:v>
                </c:pt>
                <c:pt idx="3">
                  <c:v>84.649561936592121</c:v>
                </c:pt>
                <c:pt idx="4">
                  <c:v>81.647432651051659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AE1-48D3-A893-EFC9726AAB22}"/>
            </c:ext>
          </c:extLst>
        </c:ser>
        <c:ser>
          <c:idx val="5"/>
          <c:order val="5"/>
          <c:tx>
            <c:strRef>
              <c:f>'4'!$N$13</c:f>
              <c:strCache>
                <c:ptCount val="1"/>
                <c:pt idx="0">
                  <c:v>42 % model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'4'!$L$37:$P$37</c:f>
              <c:numCache>
                <c:formatCode>0</c:formatCode>
                <c:ptCount val="5"/>
                <c:pt idx="0">
                  <c:v>659.33734581850808</c:v>
                </c:pt>
                <c:pt idx="1">
                  <c:v>161.98412808812392</c:v>
                </c:pt>
                <c:pt idx="2">
                  <c:v>136.64495836974734</c:v>
                </c:pt>
                <c:pt idx="3">
                  <c:v>84.649561936592121</c:v>
                </c:pt>
                <c:pt idx="4">
                  <c:v>81.647432651051659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E1-48D3-A893-EFC9726AAB22}"/>
            </c:ext>
          </c:extLst>
        </c:ser>
        <c:ser>
          <c:idx val="6"/>
          <c:order val="6"/>
          <c:tx>
            <c:strRef>
              <c:f>'4'!$N$14</c:f>
              <c:strCache>
                <c:ptCount val="1"/>
                <c:pt idx="0">
                  <c:v>79 % model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'4'!$L$39:$P$39</c:f>
              <c:numCache>
                <c:formatCode>0</c:formatCode>
                <c:ptCount val="5"/>
                <c:pt idx="0">
                  <c:v>69.64269332978796</c:v>
                </c:pt>
                <c:pt idx="1">
                  <c:v>24.306712396442101</c:v>
                </c:pt>
                <c:pt idx="2">
                  <c:v>19.378496412543022</c:v>
                </c:pt>
                <c:pt idx="3">
                  <c:v>17.40705001855461</c:v>
                </c:pt>
                <c:pt idx="4">
                  <c:v>16.09277125323575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3AE1-48D3-A893-EFC9726AAB22}"/>
            </c:ext>
          </c:extLst>
        </c:ser>
        <c:ser>
          <c:idx val="7"/>
          <c:order val="7"/>
          <c:tx>
            <c:strRef>
              <c:f>'4'!$N$15</c:f>
              <c:strCache>
                <c:ptCount val="1"/>
                <c:pt idx="0">
                  <c:v>121 % model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'4'!$L$40:$P$40</c:f>
              <c:numCache>
                <c:formatCode>0</c:formatCode>
                <c:ptCount val="5"/>
                <c:pt idx="0">
                  <c:v>135.5759747681179</c:v>
                </c:pt>
                <c:pt idx="1">
                  <c:v>68.782622050179526</c:v>
                </c:pt>
                <c:pt idx="2">
                  <c:v>46.074873990423647</c:v>
                </c:pt>
                <c:pt idx="3">
                  <c:v>35.389316707199676</c:v>
                </c:pt>
                <c:pt idx="4">
                  <c:v>33.385029369124439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E1-48D3-A893-EFC9726AA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8312"/>
        <c:axId val="577270608"/>
      </c:scatterChart>
      <c:valAx>
        <c:axId val="577268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70608"/>
        <c:crosses val="autoZero"/>
        <c:crossBetween val="midCat"/>
      </c:valAx>
      <c:valAx>
        <c:axId val="577270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7268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07020340768369"/>
          <c:y val="2.7223611528062446E-2"/>
          <c:w val="0.14392986684243089"/>
          <c:h val="0.584086056231824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42%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'3'!$AH$5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'3'!$AG$8:$AG$162</c:f>
              <c:numCache>
                <c:formatCode>General</c:formatCode>
                <c:ptCount val="1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</c:numCache>
            </c:numRef>
          </c:xVal>
          <c:yVal>
            <c:numRef>
              <c:f>'3'!$AH$8:$AH$162</c:f>
              <c:numCache>
                <c:formatCode>General</c:formatCode>
                <c:ptCount val="155"/>
                <c:pt idx="0">
                  <c:v>0</c:v>
                </c:pt>
                <c:pt idx="1">
                  <c:v>-8.1300813008128338E-3</c:v>
                </c:pt>
                <c:pt idx="2">
                  <c:v>-8.1300813008128338E-3</c:v>
                </c:pt>
                <c:pt idx="3">
                  <c:v>0</c:v>
                </c:pt>
                <c:pt idx="4">
                  <c:v>-8.1300813008128338E-3</c:v>
                </c:pt>
                <c:pt idx="5">
                  <c:v>-8.1300813008128338E-3</c:v>
                </c:pt>
                <c:pt idx="6">
                  <c:v>-1.6260162601625668E-2</c:v>
                </c:pt>
                <c:pt idx="7">
                  <c:v>-8.1300813008128338E-3</c:v>
                </c:pt>
                <c:pt idx="8">
                  <c:v>-8.1300813008128338E-3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-8.1300813008128338E-3</c:v>
                </c:pt>
                <c:pt idx="13">
                  <c:v>-8.1300813008128338E-3</c:v>
                </c:pt>
                <c:pt idx="14">
                  <c:v>-2.4390243902438498E-2</c:v>
                </c:pt>
                <c:pt idx="15">
                  <c:v>8.1300813008128338E-3</c:v>
                </c:pt>
                <c:pt idx="16">
                  <c:v>1.6260162601625668E-2</c:v>
                </c:pt>
                <c:pt idx="17">
                  <c:v>2.4390243902438498E-2</c:v>
                </c:pt>
                <c:pt idx="18">
                  <c:v>3.2520325203251335E-2</c:v>
                </c:pt>
                <c:pt idx="19">
                  <c:v>4.8780487804878439E-2</c:v>
                </c:pt>
                <c:pt idx="20">
                  <c:v>7.3170731707318373E-2</c:v>
                </c:pt>
                <c:pt idx="21">
                  <c:v>8.9430894308945491E-2</c:v>
                </c:pt>
                <c:pt idx="22">
                  <c:v>0.13008130081300967</c:v>
                </c:pt>
                <c:pt idx="23">
                  <c:v>0.14634146341463533</c:v>
                </c:pt>
                <c:pt idx="24">
                  <c:v>0.18699186991869948</c:v>
                </c:pt>
                <c:pt idx="25">
                  <c:v>0.19512195121951231</c:v>
                </c:pt>
                <c:pt idx="26">
                  <c:v>0.23577235772357649</c:v>
                </c:pt>
                <c:pt idx="27">
                  <c:v>0.25203252032520357</c:v>
                </c:pt>
                <c:pt idx="28">
                  <c:v>0.28455284552845783</c:v>
                </c:pt>
                <c:pt idx="29">
                  <c:v>0.32520325203252198</c:v>
                </c:pt>
                <c:pt idx="30">
                  <c:v>0.35772357723577325</c:v>
                </c:pt>
                <c:pt idx="31">
                  <c:v>0.3821138211382118</c:v>
                </c:pt>
                <c:pt idx="32">
                  <c:v>0.39837398373983746</c:v>
                </c:pt>
                <c:pt idx="33">
                  <c:v>0.41463414634146317</c:v>
                </c:pt>
                <c:pt idx="34">
                  <c:v>0.45528455284552871</c:v>
                </c:pt>
                <c:pt idx="35">
                  <c:v>0.47967479674796865</c:v>
                </c:pt>
                <c:pt idx="36">
                  <c:v>0.52032520325203424</c:v>
                </c:pt>
                <c:pt idx="37">
                  <c:v>0.54471544715447284</c:v>
                </c:pt>
                <c:pt idx="38">
                  <c:v>0.56910569105691122</c:v>
                </c:pt>
                <c:pt idx="39">
                  <c:v>0.59349593495934982</c:v>
                </c:pt>
                <c:pt idx="40">
                  <c:v>0.60975609756097549</c:v>
                </c:pt>
                <c:pt idx="41">
                  <c:v>0.61788617886178832</c:v>
                </c:pt>
                <c:pt idx="42">
                  <c:v>0.65853658536585391</c:v>
                </c:pt>
                <c:pt idx="43">
                  <c:v>0.67479674796748101</c:v>
                </c:pt>
                <c:pt idx="44">
                  <c:v>0.69918699186992095</c:v>
                </c:pt>
                <c:pt idx="45">
                  <c:v>0.69105691056910667</c:v>
                </c:pt>
                <c:pt idx="46">
                  <c:v>0.7154471544715465</c:v>
                </c:pt>
                <c:pt idx="47">
                  <c:v>0.73983739837398499</c:v>
                </c:pt>
                <c:pt idx="48">
                  <c:v>0.75609756097561076</c:v>
                </c:pt>
                <c:pt idx="49">
                  <c:v>0.76422764227642359</c:v>
                </c:pt>
                <c:pt idx="50">
                  <c:v>0.76422764227642359</c:v>
                </c:pt>
                <c:pt idx="51">
                  <c:v>0.78861788617886208</c:v>
                </c:pt>
                <c:pt idx="52">
                  <c:v>0.78861788617886208</c:v>
                </c:pt>
                <c:pt idx="53">
                  <c:v>0.81300813008130057</c:v>
                </c:pt>
                <c:pt idx="54">
                  <c:v>0.81300813008130057</c:v>
                </c:pt>
                <c:pt idx="55">
                  <c:v>0.82926829268292634</c:v>
                </c:pt>
                <c:pt idx="56">
                  <c:v>0.83739837398373895</c:v>
                </c:pt>
                <c:pt idx="57">
                  <c:v>0.85365853658536484</c:v>
                </c:pt>
                <c:pt idx="58">
                  <c:v>0.85365853658536484</c:v>
                </c:pt>
                <c:pt idx="59">
                  <c:v>0.861788617886179</c:v>
                </c:pt>
                <c:pt idx="60">
                  <c:v>0.861788617886179</c:v>
                </c:pt>
                <c:pt idx="61">
                  <c:v>0.87804878048780621</c:v>
                </c:pt>
                <c:pt idx="62">
                  <c:v>0.88617886178861893</c:v>
                </c:pt>
                <c:pt idx="63">
                  <c:v>0.88617886178861893</c:v>
                </c:pt>
                <c:pt idx="64">
                  <c:v>0.89430894308943176</c:v>
                </c:pt>
                <c:pt idx="65">
                  <c:v>0.89430894308943176</c:v>
                </c:pt>
                <c:pt idx="66">
                  <c:v>0.91056910569105887</c:v>
                </c:pt>
                <c:pt idx="67">
                  <c:v>0.91869918699187181</c:v>
                </c:pt>
                <c:pt idx="68">
                  <c:v>0.92682926829268464</c:v>
                </c:pt>
                <c:pt idx="69">
                  <c:v>0.92682926829268464</c:v>
                </c:pt>
                <c:pt idx="70">
                  <c:v>0.92682926829268464</c:v>
                </c:pt>
                <c:pt idx="71">
                  <c:v>0.91869918699187025</c:v>
                </c:pt>
                <c:pt idx="72">
                  <c:v>0.92682926829268464</c:v>
                </c:pt>
                <c:pt idx="73">
                  <c:v>0.92682926829268464</c:v>
                </c:pt>
                <c:pt idx="74">
                  <c:v>0.9430894308943103</c:v>
                </c:pt>
                <c:pt idx="75">
                  <c:v>0.9430894308943103</c:v>
                </c:pt>
                <c:pt idx="76">
                  <c:v>0.9430894308943103</c:v>
                </c:pt>
                <c:pt idx="77">
                  <c:v>0.95121951219512313</c:v>
                </c:pt>
                <c:pt idx="78">
                  <c:v>0.95121951219512313</c:v>
                </c:pt>
                <c:pt idx="79">
                  <c:v>0.95121951219512313</c:v>
                </c:pt>
                <c:pt idx="80">
                  <c:v>0.95934959349593585</c:v>
                </c:pt>
                <c:pt idx="81">
                  <c:v>0.95934959349593585</c:v>
                </c:pt>
                <c:pt idx="82">
                  <c:v>0.95934959349593585</c:v>
                </c:pt>
                <c:pt idx="83">
                  <c:v>0.95934959349593585</c:v>
                </c:pt>
                <c:pt idx="84">
                  <c:v>0.96747967479674868</c:v>
                </c:pt>
                <c:pt idx="85">
                  <c:v>0.96747967479674868</c:v>
                </c:pt>
                <c:pt idx="86">
                  <c:v>0.96747967479674868</c:v>
                </c:pt>
                <c:pt idx="87">
                  <c:v>0.96747967479674868</c:v>
                </c:pt>
                <c:pt idx="88">
                  <c:v>0.97560975609756151</c:v>
                </c:pt>
                <c:pt idx="89">
                  <c:v>0.96747967479674868</c:v>
                </c:pt>
                <c:pt idx="90">
                  <c:v>0.96747967479674868</c:v>
                </c:pt>
                <c:pt idx="91">
                  <c:v>0.96747967479674868</c:v>
                </c:pt>
                <c:pt idx="92">
                  <c:v>0.97560975609756151</c:v>
                </c:pt>
                <c:pt idx="93">
                  <c:v>0.97560975609756151</c:v>
                </c:pt>
                <c:pt idx="94">
                  <c:v>0.97560975609756151</c:v>
                </c:pt>
                <c:pt idx="95">
                  <c:v>0.97560975609756151</c:v>
                </c:pt>
                <c:pt idx="96">
                  <c:v>0.97560975609756151</c:v>
                </c:pt>
                <c:pt idx="97">
                  <c:v>0.97560975609756151</c:v>
                </c:pt>
                <c:pt idx="98">
                  <c:v>0.96747967479674868</c:v>
                </c:pt>
                <c:pt idx="99">
                  <c:v>0.97560975609756151</c:v>
                </c:pt>
                <c:pt idx="100">
                  <c:v>0.99186991869918728</c:v>
                </c:pt>
                <c:pt idx="101">
                  <c:v>0.98373983739837434</c:v>
                </c:pt>
                <c:pt idx="102">
                  <c:v>0.97560975609756151</c:v>
                </c:pt>
                <c:pt idx="103">
                  <c:v>0.97560975609756151</c:v>
                </c:pt>
                <c:pt idx="104">
                  <c:v>0.98373983739837434</c:v>
                </c:pt>
                <c:pt idx="105">
                  <c:v>0.98373983739837434</c:v>
                </c:pt>
                <c:pt idx="106">
                  <c:v>0.98373983739837434</c:v>
                </c:pt>
                <c:pt idx="107">
                  <c:v>0.99186991869918728</c:v>
                </c:pt>
                <c:pt idx="108">
                  <c:v>0.99186991869918728</c:v>
                </c:pt>
                <c:pt idx="109">
                  <c:v>0.97560975609756151</c:v>
                </c:pt>
                <c:pt idx="110">
                  <c:v>0.97560975609756151</c:v>
                </c:pt>
                <c:pt idx="111">
                  <c:v>0.97560975609756151</c:v>
                </c:pt>
                <c:pt idx="112">
                  <c:v>0.97560975609756151</c:v>
                </c:pt>
                <c:pt idx="113">
                  <c:v>0.98373983739837434</c:v>
                </c:pt>
                <c:pt idx="114">
                  <c:v>0.99186991869918728</c:v>
                </c:pt>
                <c:pt idx="115">
                  <c:v>1</c:v>
                </c:pt>
                <c:pt idx="116">
                  <c:v>0.99186991869918728</c:v>
                </c:pt>
                <c:pt idx="117">
                  <c:v>0.99186991869918728</c:v>
                </c:pt>
                <c:pt idx="118">
                  <c:v>0.98373983739837434</c:v>
                </c:pt>
                <c:pt idx="119">
                  <c:v>0.98373983739837434</c:v>
                </c:pt>
                <c:pt idx="120">
                  <c:v>0.99186991869918728</c:v>
                </c:pt>
                <c:pt idx="121">
                  <c:v>0.99186991869918728</c:v>
                </c:pt>
                <c:pt idx="122">
                  <c:v>0.99186991869918728</c:v>
                </c:pt>
                <c:pt idx="123">
                  <c:v>0.98373983739837434</c:v>
                </c:pt>
                <c:pt idx="124">
                  <c:v>0.98373983739837434</c:v>
                </c:pt>
                <c:pt idx="125">
                  <c:v>0.99186991869918728</c:v>
                </c:pt>
                <c:pt idx="126">
                  <c:v>0.98373983739837434</c:v>
                </c:pt>
                <c:pt idx="127">
                  <c:v>0.98373983739837434</c:v>
                </c:pt>
                <c:pt idx="128">
                  <c:v>0.98373983739837434</c:v>
                </c:pt>
                <c:pt idx="129">
                  <c:v>0.99186991869918728</c:v>
                </c:pt>
                <c:pt idx="130">
                  <c:v>0.99186991869918728</c:v>
                </c:pt>
                <c:pt idx="131">
                  <c:v>0.98373983739837434</c:v>
                </c:pt>
                <c:pt idx="132">
                  <c:v>0.98373983739837434</c:v>
                </c:pt>
                <c:pt idx="133">
                  <c:v>0.99186991869918728</c:v>
                </c:pt>
                <c:pt idx="134">
                  <c:v>0.99186991869918728</c:v>
                </c:pt>
                <c:pt idx="135">
                  <c:v>0.99186991869918728</c:v>
                </c:pt>
                <c:pt idx="136">
                  <c:v>0.98373983739837434</c:v>
                </c:pt>
                <c:pt idx="137">
                  <c:v>0.99186991869918728</c:v>
                </c:pt>
                <c:pt idx="138">
                  <c:v>0.99186991869918728</c:v>
                </c:pt>
                <c:pt idx="139">
                  <c:v>1.0243902439024386</c:v>
                </c:pt>
                <c:pt idx="140">
                  <c:v>1.0243902439024386</c:v>
                </c:pt>
                <c:pt idx="141">
                  <c:v>1.0243902439024386</c:v>
                </c:pt>
                <c:pt idx="142">
                  <c:v>1.0121951219512193</c:v>
                </c:pt>
                <c:pt idx="143">
                  <c:v>1.0243902439024386</c:v>
                </c:pt>
                <c:pt idx="144">
                  <c:v>1.0121951219512193</c:v>
                </c:pt>
                <c:pt idx="145">
                  <c:v>1</c:v>
                </c:pt>
                <c:pt idx="146">
                  <c:v>1.0121951219512193</c:v>
                </c:pt>
                <c:pt idx="147">
                  <c:v>1.0243902439024386</c:v>
                </c:pt>
                <c:pt idx="148">
                  <c:v>1.0243902439024386</c:v>
                </c:pt>
                <c:pt idx="149">
                  <c:v>1.0243902439024386</c:v>
                </c:pt>
                <c:pt idx="150">
                  <c:v>1.0121951219512193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55-454F-A026-52D9540AF5CF}"/>
            </c:ext>
          </c:extLst>
        </c:ser>
        <c:ser>
          <c:idx val="1"/>
          <c:order val="1"/>
          <c:tx>
            <c:strRef>
              <c:f>'3'!$AI$5</c:f>
              <c:strCache>
                <c:ptCount val="1"/>
                <c:pt idx="0">
                  <c:v>200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'3'!$AG$8:$AG$162</c:f>
              <c:numCache>
                <c:formatCode>General</c:formatCode>
                <c:ptCount val="1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</c:numCache>
            </c:numRef>
          </c:xVal>
          <c:yVal>
            <c:numRef>
              <c:f>'3'!$AI$8:$AI$162</c:f>
              <c:numCache>
                <c:formatCode>General</c:formatCode>
                <c:ptCount val="155"/>
                <c:pt idx="0">
                  <c:v>2.4691358024693012E-2</c:v>
                </c:pt>
                <c:pt idx="1">
                  <c:v>2.4691358024693012E-2</c:v>
                </c:pt>
                <c:pt idx="2">
                  <c:v>2.4691358024693012E-2</c:v>
                </c:pt>
                <c:pt idx="3">
                  <c:v>2.4691358024693012E-2</c:v>
                </c:pt>
                <c:pt idx="4">
                  <c:v>2.4691358024693012E-2</c:v>
                </c:pt>
                <c:pt idx="5">
                  <c:v>2.4691358024693012E-2</c:v>
                </c:pt>
                <c:pt idx="6">
                  <c:v>2.4691358024693012E-2</c:v>
                </c:pt>
                <c:pt idx="7">
                  <c:v>2.4691358024693012E-2</c:v>
                </c:pt>
                <c:pt idx="8">
                  <c:v>2.4691358024693012E-2</c:v>
                </c:pt>
                <c:pt idx="9">
                  <c:v>2.4691358024693012E-2</c:v>
                </c:pt>
                <c:pt idx="10">
                  <c:v>4.1152263374486894E-2</c:v>
                </c:pt>
                <c:pt idx="11">
                  <c:v>4.938271604938383E-2</c:v>
                </c:pt>
                <c:pt idx="12">
                  <c:v>7.4074074074074653E-2</c:v>
                </c:pt>
                <c:pt idx="13">
                  <c:v>0.11522633744855934</c:v>
                </c:pt>
                <c:pt idx="14">
                  <c:v>0.17283950617284011</c:v>
                </c:pt>
                <c:pt idx="15">
                  <c:v>0.23045267489712015</c:v>
                </c:pt>
                <c:pt idx="16">
                  <c:v>0.2798353909465025</c:v>
                </c:pt>
                <c:pt idx="17">
                  <c:v>0.32098765432098719</c:v>
                </c:pt>
                <c:pt idx="18">
                  <c:v>0.37037037037037102</c:v>
                </c:pt>
                <c:pt idx="19">
                  <c:v>0.42798353909465103</c:v>
                </c:pt>
                <c:pt idx="20">
                  <c:v>0.48559670781893038</c:v>
                </c:pt>
                <c:pt idx="21">
                  <c:v>0.51028806584362119</c:v>
                </c:pt>
                <c:pt idx="22">
                  <c:v>0.5514403292181066</c:v>
                </c:pt>
                <c:pt idx="23">
                  <c:v>0.59259259259259278</c:v>
                </c:pt>
                <c:pt idx="24">
                  <c:v>0.65020576131687291</c:v>
                </c:pt>
                <c:pt idx="25">
                  <c:v>0.68312757201646146</c:v>
                </c:pt>
                <c:pt idx="26">
                  <c:v>0.70781893004115215</c:v>
                </c:pt>
                <c:pt idx="27">
                  <c:v>0.72427983539094587</c:v>
                </c:pt>
                <c:pt idx="28">
                  <c:v>0.75720164609053442</c:v>
                </c:pt>
                <c:pt idx="29">
                  <c:v>0.79012345679012219</c:v>
                </c:pt>
                <c:pt idx="30">
                  <c:v>0.80658436213991758</c:v>
                </c:pt>
                <c:pt idx="31">
                  <c:v>0.82304526748971141</c:v>
                </c:pt>
                <c:pt idx="32">
                  <c:v>0.83950617283950602</c:v>
                </c:pt>
                <c:pt idx="33">
                  <c:v>0.85596707818930151</c:v>
                </c:pt>
                <c:pt idx="34">
                  <c:v>0.87242798353909523</c:v>
                </c:pt>
                <c:pt idx="35">
                  <c:v>0.88065843621399231</c:v>
                </c:pt>
                <c:pt idx="36">
                  <c:v>0.88888888888888928</c:v>
                </c:pt>
                <c:pt idx="37">
                  <c:v>0.89711934156378603</c:v>
                </c:pt>
                <c:pt idx="38">
                  <c:v>0.91358024691357997</c:v>
                </c:pt>
                <c:pt idx="39">
                  <c:v>0.93827160493827078</c:v>
                </c:pt>
                <c:pt idx="40">
                  <c:v>0.93827160493827078</c:v>
                </c:pt>
                <c:pt idx="41">
                  <c:v>0.93827160493827078</c:v>
                </c:pt>
                <c:pt idx="42">
                  <c:v>0.93827160493827078</c:v>
                </c:pt>
                <c:pt idx="43">
                  <c:v>0.94650205761316775</c:v>
                </c:pt>
                <c:pt idx="44">
                  <c:v>0.96296296296296158</c:v>
                </c:pt>
                <c:pt idx="45">
                  <c:v>0.97942386831275563</c:v>
                </c:pt>
                <c:pt idx="46">
                  <c:v>0.97119341563785855</c:v>
                </c:pt>
                <c:pt idx="47">
                  <c:v>0.97119341563785855</c:v>
                </c:pt>
                <c:pt idx="48">
                  <c:v>0.96296296296296158</c:v>
                </c:pt>
                <c:pt idx="49">
                  <c:v>0.97942386831275563</c:v>
                </c:pt>
                <c:pt idx="50">
                  <c:v>0.97119341563785855</c:v>
                </c:pt>
                <c:pt idx="51">
                  <c:v>0.97942386831275563</c:v>
                </c:pt>
                <c:pt idx="52">
                  <c:v>0.97942386831275696</c:v>
                </c:pt>
                <c:pt idx="53">
                  <c:v>0.98765432098765393</c:v>
                </c:pt>
                <c:pt idx="54">
                  <c:v>1.0041152263374493</c:v>
                </c:pt>
                <c:pt idx="55">
                  <c:v>0.99588477366255079</c:v>
                </c:pt>
                <c:pt idx="56">
                  <c:v>1.0123456790123462</c:v>
                </c:pt>
                <c:pt idx="57">
                  <c:v>1.0123456790123462</c:v>
                </c:pt>
                <c:pt idx="58">
                  <c:v>1.0123456790123462</c:v>
                </c:pt>
                <c:pt idx="59">
                  <c:v>1.0041152263374493</c:v>
                </c:pt>
                <c:pt idx="60">
                  <c:v>1.0041152263374493</c:v>
                </c:pt>
                <c:pt idx="61">
                  <c:v>1.0041152263374493</c:v>
                </c:pt>
                <c:pt idx="62">
                  <c:v>1.0205761316872433</c:v>
                </c:pt>
                <c:pt idx="63">
                  <c:v>1.0041152263374493</c:v>
                </c:pt>
                <c:pt idx="64">
                  <c:v>0.99588477366255235</c:v>
                </c:pt>
                <c:pt idx="65">
                  <c:v>0.99588477366255235</c:v>
                </c:pt>
                <c:pt idx="66">
                  <c:v>1.0041152263374493</c:v>
                </c:pt>
                <c:pt idx="67">
                  <c:v>1.0123456790123462</c:v>
                </c:pt>
                <c:pt idx="68">
                  <c:v>1.0041152263374493</c:v>
                </c:pt>
                <c:pt idx="69">
                  <c:v>0.99588477366255235</c:v>
                </c:pt>
                <c:pt idx="70">
                  <c:v>0.99588477366255235</c:v>
                </c:pt>
                <c:pt idx="71">
                  <c:v>0.99588477366255235</c:v>
                </c:pt>
                <c:pt idx="72">
                  <c:v>1.0123456790123462</c:v>
                </c:pt>
                <c:pt idx="73">
                  <c:v>1.0041152263374493</c:v>
                </c:pt>
                <c:pt idx="74">
                  <c:v>1.0041152263374493</c:v>
                </c:pt>
                <c:pt idx="75">
                  <c:v>0.99588477366255235</c:v>
                </c:pt>
                <c:pt idx="76">
                  <c:v>1.0041152263374493</c:v>
                </c:pt>
                <c:pt idx="77">
                  <c:v>1.0041152263374478</c:v>
                </c:pt>
                <c:pt idx="78">
                  <c:v>1.0041152263374493</c:v>
                </c:pt>
                <c:pt idx="79">
                  <c:v>0.99588477366255235</c:v>
                </c:pt>
                <c:pt idx="80">
                  <c:v>1.0041152263374493</c:v>
                </c:pt>
                <c:pt idx="81">
                  <c:v>0.99588477366255079</c:v>
                </c:pt>
                <c:pt idx="82">
                  <c:v>1.0123456790123462</c:v>
                </c:pt>
                <c:pt idx="83">
                  <c:v>1.0041152263374493</c:v>
                </c:pt>
                <c:pt idx="84">
                  <c:v>1.0041152263374493</c:v>
                </c:pt>
                <c:pt idx="85">
                  <c:v>1.0041152263374493</c:v>
                </c:pt>
                <c:pt idx="86">
                  <c:v>1.0041152263374493</c:v>
                </c:pt>
                <c:pt idx="87">
                  <c:v>1.0123456790123462</c:v>
                </c:pt>
                <c:pt idx="88">
                  <c:v>1.0123456790123462</c:v>
                </c:pt>
                <c:pt idx="89">
                  <c:v>1.0041152263374493</c:v>
                </c:pt>
                <c:pt idx="90">
                  <c:v>1.0041152263374493</c:v>
                </c:pt>
                <c:pt idx="91">
                  <c:v>1.0123456790123462</c:v>
                </c:pt>
                <c:pt idx="92">
                  <c:v>1.0123456790123462</c:v>
                </c:pt>
                <c:pt idx="93">
                  <c:v>1.0041152263374493</c:v>
                </c:pt>
                <c:pt idx="94">
                  <c:v>1.0041152263374493</c:v>
                </c:pt>
                <c:pt idx="95">
                  <c:v>1.0041152263374493</c:v>
                </c:pt>
                <c:pt idx="96">
                  <c:v>1.0041152263374493</c:v>
                </c:pt>
                <c:pt idx="97">
                  <c:v>1.0041152263374493</c:v>
                </c:pt>
                <c:pt idx="98">
                  <c:v>0.99588477366255079</c:v>
                </c:pt>
                <c:pt idx="99">
                  <c:v>0.99588477366255079</c:v>
                </c:pt>
                <c:pt idx="100">
                  <c:v>1.0041152263374493</c:v>
                </c:pt>
                <c:pt idx="101">
                  <c:v>1.0041152263374493</c:v>
                </c:pt>
                <c:pt idx="102">
                  <c:v>1.0041152263374493</c:v>
                </c:pt>
                <c:pt idx="103">
                  <c:v>0.99588477366255235</c:v>
                </c:pt>
                <c:pt idx="104">
                  <c:v>0.99588477366255079</c:v>
                </c:pt>
                <c:pt idx="105">
                  <c:v>1.0041152263374493</c:v>
                </c:pt>
                <c:pt idx="106">
                  <c:v>0.99588477366255079</c:v>
                </c:pt>
                <c:pt idx="107">
                  <c:v>1.0041152263374493</c:v>
                </c:pt>
                <c:pt idx="108">
                  <c:v>1.0205761316872433</c:v>
                </c:pt>
                <c:pt idx="109">
                  <c:v>1.0041152263374493</c:v>
                </c:pt>
                <c:pt idx="110">
                  <c:v>1.0123456790123462</c:v>
                </c:pt>
                <c:pt idx="111">
                  <c:v>1.0041152263374493</c:v>
                </c:pt>
                <c:pt idx="112">
                  <c:v>1.0123456790123462</c:v>
                </c:pt>
                <c:pt idx="113">
                  <c:v>1.0041152263374493</c:v>
                </c:pt>
                <c:pt idx="114">
                  <c:v>0.99588477366255079</c:v>
                </c:pt>
                <c:pt idx="115">
                  <c:v>0.99588477366255079</c:v>
                </c:pt>
                <c:pt idx="116">
                  <c:v>1.0041152263374493</c:v>
                </c:pt>
                <c:pt idx="117">
                  <c:v>1.0041152263374493</c:v>
                </c:pt>
                <c:pt idx="118">
                  <c:v>1.0041152263374493</c:v>
                </c:pt>
                <c:pt idx="119">
                  <c:v>0.99588477366255079</c:v>
                </c:pt>
                <c:pt idx="120">
                  <c:v>1.0041152263374493</c:v>
                </c:pt>
                <c:pt idx="121">
                  <c:v>1.0041152263374493</c:v>
                </c:pt>
                <c:pt idx="122">
                  <c:v>1.0041152263374493</c:v>
                </c:pt>
                <c:pt idx="123">
                  <c:v>1.0123456790123462</c:v>
                </c:pt>
                <c:pt idx="124">
                  <c:v>1.0041152263374493</c:v>
                </c:pt>
                <c:pt idx="125">
                  <c:v>0.99588477366255235</c:v>
                </c:pt>
                <c:pt idx="126">
                  <c:v>0.99588477366255235</c:v>
                </c:pt>
                <c:pt idx="127">
                  <c:v>0.99588477366255079</c:v>
                </c:pt>
                <c:pt idx="128">
                  <c:v>1.0041152263374493</c:v>
                </c:pt>
                <c:pt idx="129">
                  <c:v>0.99588477366255079</c:v>
                </c:pt>
                <c:pt idx="130">
                  <c:v>1.0041152263374493</c:v>
                </c:pt>
                <c:pt idx="131">
                  <c:v>0.99588477366255235</c:v>
                </c:pt>
                <c:pt idx="132">
                  <c:v>0.99588477366255079</c:v>
                </c:pt>
                <c:pt idx="133">
                  <c:v>0.99588477366255079</c:v>
                </c:pt>
                <c:pt idx="134">
                  <c:v>0.99588477366255079</c:v>
                </c:pt>
                <c:pt idx="135">
                  <c:v>1.0041152263374493</c:v>
                </c:pt>
                <c:pt idx="136">
                  <c:v>1.0041152263374493</c:v>
                </c:pt>
                <c:pt idx="137">
                  <c:v>1.0041152263374493</c:v>
                </c:pt>
                <c:pt idx="138">
                  <c:v>1.0041152263374493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55-454F-A026-52D9540AF5CF}"/>
            </c:ext>
          </c:extLst>
        </c:ser>
        <c:ser>
          <c:idx val="2"/>
          <c:order val="2"/>
          <c:tx>
            <c:strRef>
              <c:f>'3'!$AJ$5</c:f>
              <c:strCache>
                <c:ptCount val="1"/>
                <c:pt idx="0">
                  <c:v>300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'3'!$AG$8:$AG$162</c:f>
              <c:numCache>
                <c:formatCode>General</c:formatCode>
                <c:ptCount val="1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</c:numCache>
            </c:numRef>
          </c:xVal>
          <c:yVal>
            <c:numRef>
              <c:f>'3'!$AJ$8:$AJ$162</c:f>
              <c:numCache>
                <c:formatCode>General</c:formatCode>
                <c:ptCount val="155"/>
                <c:pt idx="0">
                  <c:v>4.065040650406633E-2</c:v>
                </c:pt>
                <c:pt idx="1">
                  <c:v>4.065040650406633E-2</c:v>
                </c:pt>
                <c:pt idx="2">
                  <c:v>4.065040650406633E-2</c:v>
                </c:pt>
                <c:pt idx="3">
                  <c:v>4.065040650406633E-2</c:v>
                </c:pt>
                <c:pt idx="4">
                  <c:v>4.065040650406633E-2</c:v>
                </c:pt>
                <c:pt idx="5">
                  <c:v>4.065040650406633E-2</c:v>
                </c:pt>
                <c:pt idx="6">
                  <c:v>4.065040650406633E-2</c:v>
                </c:pt>
                <c:pt idx="7">
                  <c:v>4.065040650406633E-2</c:v>
                </c:pt>
                <c:pt idx="8">
                  <c:v>4.065040650406633E-2</c:v>
                </c:pt>
                <c:pt idx="9">
                  <c:v>0.105691056910569</c:v>
                </c:pt>
                <c:pt idx="10">
                  <c:v>0.20325203252032514</c:v>
                </c:pt>
                <c:pt idx="11">
                  <c:v>0.28455284552845561</c:v>
                </c:pt>
                <c:pt idx="12">
                  <c:v>0.37398373983739897</c:v>
                </c:pt>
                <c:pt idx="13">
                  <c:v>0.47154471544715515</c:v>
                </c:pt>
                <c:pt idx="14">
                  <c:v>0.55284552845528567</c:v>
                </c:pt>
                <c:pt idx="15">
                  <c:v>0.61788617886178898</c:v>
                </c:pt>
                <c:pt idx="16">
                  <c:v>0.6910569105691059</c:v>
                </c:pt>
                <c:pt idx="17">
                  <c:v>0.74796747967479793</c:v>
                </c:pt>
                <c:pt idx="18">
                  <c:v>0.78861788617886208</c:v>
                </c:pt>
                <c:pt idx="19">
                  <c:v>0.82926829268292768</c:v>
                </c:pt>
                <c:pt idx="20">
                  <c:v>0.85365853658536683</c:v>
                </c:pt>
                <c:pt idx="21">
                  <c:v>0.87804878048780544</c:v>
                </c:pt>
                <c:pt idx="22">
                  <c:v>0.91056910569105676</c:v>
                </c:pt>
                <c:pt idx="23">
                  <c:v>0.93495934959349669</c:v>
                </c:pt>
                <c:pt idx="24">
                  <c:v>0.93495934959349669</c:v>
                </c:pt>
                <c:pt idx="25">
                  <c:v>0.93495934959349669</c:v>
                </c:pt>
                <c:pt idx="26">
                  <c:v>0.95934959349593585</c:v>
                </c:pt>
                <c:pt idx="27">
                  <c:v>0.96747967479674868</c:v>
                </c:pt>
                <c:pt idx="28">
                  <c:v>0.99186991869918728</c:v>
                </c:pt>
                <c:pt idx="29">
                  <c:v>0.99186991869918728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1.0081300813008127</c:v>
                </c:pt>
                <c:pt idx="36">
                  <c:v>1.0081300813008127</c:v>
                </c:pt>
                <c:pt idx="37">
                  <c:v>1.0243902439024393</c:v>
                </c:pt>
                <c:pt idx="38">
                  <c:v>1.0243902439024393</c:v>
                </c:pt>
                <c:pt idx="39">
                  <c:v>1.0162601626016265</c:v>
                </c:pt>
                <c:pt idx="40">
                  <c:v>1.0081300813008127</c:v>
                </c:pt>
                <c:pt idx="41">
                  <c:v>1.0081300813008127</c:v>
                </c:pt>
                <c:pt idx="42">
                  <c:v>1.0162601626016259</c:v>
                </c:pt>
                <c:pt idx="43">
                  <c:v>1.0081300813008127</c:v>
                </c:pt>
                <c:pt idx="44">
                  <c:v>1.0243902439024393</c:v>
                </c:pt>
                <c:pt idx="45">
                  <c:v>1.0243902439024393</c:v>
                </c:pt>
                <c:pt idx="46">
                  <c:v>1.0243902439024393</c:v>
                </c:pt>
                <c:pt idx="47">
                  <c:v>1.0243902439024393</c:v>
                </c:pt>
                <c:pt idx="48">
                  <c:v>1.0162601626016259</c:v>
                </c:pt>
                <c:pt idx="49">
                  <c:v>1.0243902439024393</c:v>
                </c:pt>
                <c:pt idx="50">
                  <c:v>1.0162601626016259</c:v>
                </c:pt>
                <c:pt idx="51">
                  <c:v>1.0162601626016259</c:v>
                </c:pt>
                <c:pt idx="52">
                  <c:v>1.0162601626016265</c:v>
                </c:pt>
                <c:pt idx="53">
                  <c:v>1.0243902439024393</c:v>
                </c:pt>
                <c:pt idx="54">
                  <c:v>1.0243902439024393</c:v>
                </c:pt>
                <c:pt idx="55">
                  <c:v>1.0162601626016259</c:v>
                </c:pt>
                <c:pt idx="56">
                  <c:v>1.0243902439024393</c:v>
                </c:pt>
                <c:pt idx="57">
                  <c:v>1.0162601626016259</c:v>
                </c:pt>
                <c:pt idx="58">
                  <c:v>1.0162601626016259</c:v>
                </c:pt>
                <c:pt idx="59">
                  <c:v>1.0243902439024393</c:v>
                </c:pt>
                <c:pt idx="60">
                  <c:v>1.0243902439024393</c:v>
                </c:pt>
                <c:pt idx="61">
                  <c:v>1.0162601626016265</c:v>
                </c:pt>
                <c:pt idx="62">
                  <c:v>1.0243902439024393</c:v>
                </c:pt>
                <c:pt idx="63">
                  <c:v>1.0162601626016259</c:v>
                </c:pt>
                <c:pt idx="64">
                  <c:v>1.0162601626016259</c:v>
                </c:pt>
                <c:pt idx="65">
                  <c:v>1.0243902439024393</c:v>
                </c:pt>
                <c:pt idx="66">
                  <c:v>1.0081300813008127</c:v>
                </c:pt>
                <c:pt idx="67">
                  <c:v>1.0243902439024393</c:v>
                </c:pt>
                <c:pt idx="68">
                  <c:v>1.0325203252032529</c:v>
                </c:pt>
                <c:pt idx="69">
                  <c:v>1.0243902439024393</c:v>
                </c:pt>
                <c:pt idx="70">
                  <c:v>1.0162601626016265</c:v>
                </c:pt>
                <c:pt idx="71">
                  <c:v>1.0243902439024393</c:v>
                </c:pt>
                <c:pt idx="72">
                  <c:v>1.0243902439024393</c:v>
                </c:pt>
                <c:pt idx="73">
                  <c:v>1.0162601626016259</c:v>
                </c:pt>
                <c:pt idx="74">
                  <c:v>1.0243902439024393</c:v>
                </c:pt>
                <c:pt idx="75">
                  <c:v>1.0325203252032529</c:v>
                </c:pt>
                <c:pt idx="76">
                  <c:v>1.0243902439024393</c:v>
                </c:pt>
                <c:pt idx="77">
                  <c:v>1.0243902439024393</c:v>
                </c:pt>
                <c:pt idx="78">
                  <c:v>1.0243902439024393</c:v>
                </c:pt>
                <c:pt idx="79">
                  <c:v>1.0162601626016265</c:v>
                </c:pt>
                <c:pt idx="80">
                  <c:v>1.0162601626016259</c:v>
                </c:pt>
                <c:pt idx="81">
                  <c:v>1.0243902439024393</c:v>
                </c:pt>
                <c:pt idx="82">
                  <c:v>1.0243902439024393</c:v>
                </c:pt>
                <c:pt idx="83">
                  <c:v>1.0243902439024393</c:v>
                </c:pt>
                <c:pt idx="84">
                  <c:v>1.0162601626016265</c:v>
                </c:pt>
                <c:pt idx="85">
                  <c:v>1.0243902439024393</c:v>
                </c:pt>
                <c:pt idx="86">
                  <c:v>1.0162601626016259</c:v>
                </c:pt>
                <c:pt idx="87">
                  <c:v>1.0243902439024393</c:v>
                </c:pt>
                <c:pt idx="88">
                  <c:v>1.0081300813008127</c:v>
                </c:pt>
                <c:pt idx="89">
                  <c:v>1.0243902439024393</c:v>
                </c:pt>
                <c:pt idx="90">
                  <c:v>1.0243902439024393</c:v>
                </c:pt>
                <c:pt idx="91">
                  <c:v>1.0162601626016259</c:v>
                </c:pt>
                <c:pt idx="92">
                  <c:v>1.0162601626016259</c:v>
                </c:pt>
                <c:pt idx="93">
                  <c:v>1.0162601626016259</c:v>
                </c:pt>
                <c:pt idx="94">
                  <c:v>1.0243902439024393</c:v>
                </c:pt>
                <c:pt idx="95">
                  <c:v>1.0162601626016259</c:v>
                </c:pt>
                <c:pt idx="96">
                  <c:v>1.0162601626016265</c:v>
                </c:pt>
                <c:pt idx="97">
                  <c:v>1.0162601626016265</c:v>
                </c:pt>
                <c:pt idx="98">
                  <c:v>1.0243902439024393</c:v>
                </c:pt>
                <c:pt idx="99">
                  <c:v>1.0162601626016259</c:v>
                </c:pt>
                <c:pt idx="100">
                  <c:v>1.0162601626016259</c:v>
                </c:pt>
                <c:pt idx="101">
                  <c:v>1.0162601626016259</c:v>
                </c:pt>
                <c:pt idx="102">
                  <c:v>1.0243902439024393</c:v>
                </c:pt>
                <c:pt idx="103">
                  <c:v>1.0243902439024393</c:v>
                </c:pt>
                <c:pt idx="104">
                  <c:v>1.0081300813008136</c:v>
                </c:pt>
                <c:pt idx="105">
                  <c:v>1.0243902439024393</c:v>
                </c:pt>
                <c:pt idx="106">
                  <c:v>1.0243902439024393</c:v>
                </c:pt>
                <c:pt idx="107">
                  <c:v>1.0162601626016259</c:v>
                </c:pt>
                <c:pt idx="108">
                  <c:v>1.0081300813008127</c:v>
                </c:pt>
                <c:pt idx="109">
                  <c:v>1.0162601626016259</c:v>
                </c:pt>
                <c:pt idx="110">
                  <c:v>1.0243902439024393</c:v>
                </c:pt>
                <c:pt idx="111">
                  <c:v>1.0243902439024393</c:v>
                </c:pt>
                <c:pt idx="112">
                  <c:v>1.0243902439024393</c:v>
                </c:pt>
                <c:pt idx="113">
                  <c:v>1.0081300813008127</c:v>
                </c:pt>
                <c:pt idx="114">
                  <c:v>1.0162601626016259</c:v>
                </c:pt>
                <c:pt idx="115">
                  <c:v>1.0162601626016259</c:v>
                </c:pt>
                <c:pt idx="116">
                  <c:v>1.0081300813008127</c:v>
                </c:pt>
                <c:pt idx="117">
                  <c:v>1.0243902439024393</c:v>
                </c:pt>
                <c:pt idx="118">
                  <c:v>1.0162601626016265</c:v>
                </c:pt>
                <c:pt idx="119">
                  <c:v>1.0243902439024393</c:v>
                </c:pt>
                <c:pt idx="120">
                  <c:v>1.0162601626016259</c:v>
                </c:pt>
                <c:pt idx="121">
                  <c:v>1.0162601626016259</c:v>
                </c:pt>
                <c:pt idx="122">
                  <c:v>1.0081300813008127</c:v>
                </c:pt>
                <c:pt idx="123">
                  <c:v>1.0243902439024393</c:v>
                </c:pt>
                <c:pt idx="124">
                  <c:v>1.0243902439024393</c:v>
                </c:pt>
                <c:pt idx="125">
                  <c:v>1.0325203252032529</c:v>
                </c:pt>
                <c:pt idx="126">
                  <c:v>1.0243902439024393</c:v>
                </c:pt>
                <c:pt idx="127">
                  <c:v>1.0162601626016259</c:v>
                </c:pt>
                <c:pt idx="128">
                  <c:v>1.0162601626016259</c:v>
                </c:pt>
                <c:pt idx="129">
                  <c:v>1.0162601626016259</c:v>
                </c:pt>
                <c:pt idx="130">
                  <c:v>1.0243902439024393</c:v>
                </c:pt>
                <c:pt idx="131">
                  <c:v>1.0325203252032529</c:v>
                </c:pt>
                <c:pt idx="132">
                  <c:v>1.0243902439024393</c:v>
                </c:pt>
                <c:pt idx="133">
                  <c:v>1.0243902439024393</c:v>
                </c:pt>
                <c:pt idx="134">
                  <c:v>1.0243902439024393</c:v>
                </c:pt>
                <c:pt idx="135">
                  <c:v>1.0081300813008127</c:v>
                </c:pt>
                <c:pt idx="136">
                  <c:v>1.0243902439024386</c:v>
                </c:pt>
                <c:pt idx="137">
                  <c:v>1.036585365853659</c:v>
                </c:pt>
                <c:pt idx="138">
                  <c:v>1.0121951219512193</c:v>
                </c:pt>
                <c:pt idx="139">
                  <c:v>1.0243902439024386</c:v>
                </c:pt>
                <c:pt idx="140">
                  <c:v>1.0243902439024386</c:v>
                </c:pt>
                <c:pt idx="141">
                  <c:v>1.0243902439024386</c:v>
                </c:pt>
                <c:pt idx="142">
                  <c:v>1.0243902439024386</c:v>
                </c:pt>
                <c:pt idx="143">
                  <c:v>1.0243902439024386</c:v>
                </c:pt>
                <c:pt idx="144">
                  <c:v>1.0243902439024386</c:v>
                </c:pt>
                <c:pt idx="145">
                  <c:v>1.0243902439024386</c:v>
                </c:pt>
                <c:pt idx="146">
                  <c:v>1.0243902439024386</c:v>
                </c:pt>
                <c:pt idx="14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55-454F-A026-52D9540AF5CF}"/>
            </c:ext>
          </c:extLst>
        </c:ser>
        <c:ser>
          <c:idx val="3"/>
          <c:order val="3"/>
          <c:tx>
            <c:strRef>
              <c:f>'3'!$AK$5</c:f>
              <c:strCache>
                <c:ptCount val="1"/>
                <c:pt idx="0">
                  <c:v>400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'3'!$AG$8:$AG$162</c:f>
              <c:numCache>
                <c:formatCode>General</c:formatCode>
                <c:ptCount val="1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</c:numCache>
            </c:numRef>
          </c:xVal>
          <c:yVal>
            <c:numRef>
              <c:f>'3'!$AK$8:$AK$162</c:f>
              <c:numCache>
                <c:formatCode>General</c:formatCode>
                <c:ptCount val="155"/>
                <c:pt idx="0">
                  <c:v>3.3023255813953628E-2</c:v>
                </c:pt>
                <c:pt idx="1">
                  <c:v>3.3023255813953628E-2</c:v>
                </c:pt>
                <c:pt idx="2">
                  <c:v>3.3023255813953628E-2</c:v>
                </c:pt>
                <c:pt idx="3">
                  <c:v>3.3023255813953628E-2</c:v>
                </c:pt>
                <c:pt idx="4">
                  <c:v>3.3023255813953628E-2</c:v>
                </c:pt>
                <c:pt idx="5">
                  <c:v>3.3023255813953628E-2</c:v>
                </c:pt>
                <c:pt idx="6">
                  <c:v>3.3023255813953628E-2</c:v>
                </c:pt>
                <c:pt idx="7">
                  <c:v>3.3023255813953628E-2</c:v>
                </c:pt>
                <c:pt idx="8">
                  <c:v>0.20155038759689919</c:v>
                </c:pt>
                <c:pt idx="9">
                  <c:v>0.31782945736434143</c:v>
                </c:pt>
                <c:pt idx="10">
                  <c:v>0.42635658914728691</c:v>
                </c:pt>
                <c:pt idx="11">
                  <c:v>0.53488372093023251</c:v>
                </c:pt>
                <c:pt idx="12">
                  <c:v>0.61240310077519433</c:v>
                </c:pt>
                <c:pt idx="13">
                  <c:v>0.68217054263565924</c:v>
                </c:pt>
                <c:pt idx="14">
                  <c:v>0.73643410852713165</c:v>
                </c:pt>
                <c:pt idx="15">
                  <c:v>0.79069767441860495</c:v>
                </c:pt>
                <c:pt idx="16">
                  <c:v>0.83720930232558211</c:v>
                </c:pt>
                <c:pt idx="17">
                  <c:v>0.86046511627906996</c:v>
                </c:pt>
                <c:pt idx="18">
                  <c:v>0.88372093023255849</c:v>
                </c:pt>
                <c:pt idx="19">
                  <c:v>0.91472868217054304</c:v>
                </c:pt>
                <c:pt idx="20">
                  <c:v>0.92248062015503907</c:v>
                </c:pt>
                <c:pt idx="21">
                  <c:v>0.93798449612403156</c:v>
                </c:pt>
                <c:pt idx="22">
                  <c:v>0.95348837209302362</c:v>
                </c:pt>
                <c:pt idx="23">
                  <c:v>0.95348837209302362</c:v>
                </c:pt>
                <c:pt idx="24">
                  <c:v>0.97674418604651214</c:v>
                </c:pt>
                <c:pt idx="25">
                  <c:v>0.96899224806201623</c:v>
                </c:pt>
                <c:pt idx="26">
                  <c:v>0.97674418604651214</c:v>
                </c:pt>
                <c:pt idx="27">
                  <c:v>0.98449612403100806</c:v>
                </c:pt>
                <c:pt idx="28">
                  <c:v>0.98449612403100806</c:v>
                </c:pt>
                <c:pt idx="29">
                  <c:v>0.98449612403100806</c:v>
                </c:pt>
                <c:pt idx="30">
                  <c:v>0.96899224806201545</c:v>
                </c:pt>
                <c:pt idx="31">
                  <c:v>0.97674418604651214</c:v>
                </c:pt>
                <c:pt idx="32">
                  <c:v>0.97674418604651148</c:v>
                </c:pt>
                <c:pt idx="33">
                  <c:v>0.97674418604651148</c:v>
                </c:pt>
                <c:pt idx="34">
                  <c:v>0.96899224806201545</c:v>
                </c:pt>
                <c:pt idx="35">
                  <c:v>0.97674418604651148</c:v>
                </c:pt>
                <c:pt idx="36">
                  <c:v>0.97674418604651148</c:v>
                </c:pt>
                <c:pt idx="37">
                  <c:v>0.98449612403100739</c:v>
                </c:pt>
                <c:pt idx="38">
                  <c:v>0.99224806201550408</c:v>
                </c:pt>
                <c:pt idx="39">
                  <c:v>1.0000000000000007</c:v>
                </c:pt>
                <c:pt idx="40">
                  <c:v>0.97674418604651148</c:v>
                </c:pt>
                <c:pt idx="41">
                  <c:v>0.97674418604651148</c:v>
                </c:pt>
                <c:pt idx="42">
                  <c:v>0.97674418604651148</c:v>
                </c:pt>
                <c:pt idx="43">
                  <c:v>0.97674418604651148</c:v>
                </c:pt>
                <c:pt idx="44">
                  <c:v>0.97674418604651148</c:v>
                </c:pt>
                <c:pt idx="45">
                  <c:v>0.97674418604651148</c:v>
                </c:pt>
                <c:pt idx="46">
                  <c:v>0.97674418604651148</c:v>
                </c:pt>
                <c:pt idx="47">
                  <c:v>0.97674418604651214</c:v>
                </c:pt>
                <c:pt idx="48">
                  <c:v>0.96899224806201545</c:v>
                </c:pt>
                <c:pt idx="49">
                  <c:v>0.98449612403100806</c:v>
                </c:pt>
                <c:pt idx="50">
                  <c:v>0.98449612403100806</c:v>
                </c:pt>
                <c:pt idx="51">
                  <c:v>0.99224806201550408</c:v>
                </c:pt>
                <c:pt idx="52">
                  <c:v>0.98449612403100806</c:v>
                </c:pt>
                <c:pt idx="53">
                  <c:v>0.99224806201550408</c:v>
                </c:pt>
                <c:pt idx="54">
                  <c:v>0.99224806201550408</c:v>
                </c:pt>
                <c:pt idx="55">
                  <c:v>0.98449612403100806</c:v>
                </c:pt>
                <c:pt idx="56">
                  <c:v>0.98449612403100806</c:v>
                </c:pt>
                <c:pt idx="57">
                  <c:v>0.97674418604651148</c:v>
                </c:pt>
                <c:pt idx="58">
                  <c:v>0.97674418604651214</c:v>
                </c:pt>
                <c:pt idx="59">
                  <c:v>0.97674418604651148</c:v>
                </c:pt>
                <c:pt idx="60">
                  <c:v>0.96899224806201545</c:v>
                </c:pt>
                <c:pt idx="61">
                  <c:v>0.97674418604651148</c:v>
                </c:pt>
                <c:pt idx="62">
                  <c:v>0.97674418604651148</c:v>
                </c:pt>
                <c:pt idx="63">
                  <c:v>0.96899224806201545</c:v>
                </c:pt>
                <c:pt idx="64">
                  <c:v>0.97674418604651148</c:v>
                </c:pt>
                <c:pt idx="65">
                  <c:v>0.97674418604651148</c:v>
                </c:pt>
                <c:pt idx="66">
                  <c:v>0.97674418604651148</c:v>
                </c:pt>
                <c:pt idx="67">
                  <c:v>0.97674418604651148</c:v>
                </c:pt>
                <c:pt idx="68">
                  <c:v>0.98449612403100739</c:v>
                </c:pt>
                <c:pt idx="69">
                  <c:v>0.97674418604651148</c:v>
                </c:pt>
                <c:pt idx="70">
                  <c:v>0.97674418604651148</c:v>
                </c:pt>
                <c:pt idx="71">
                  <c:v>0.96899224806201545</c:v>
                </c:pt>
                <c:pt idx="72">
                  <c:v>0.98449612403100806</c:v>
                </c:pt>
                <c:pt idx="73">
                  <c:v>0.98449612403100806</c:v>
                </c:pt>
                <c:pt idx="74">
                  <c:v>0.98449612403100806</c:v>
                </c:pt>
                <c:pt idx="75">
                  <c:v>0.98449612403100806</c:v>
                </c:pt>
                <c:pt idx="76">
                  <c:v>0.99224806201550408</c:v>
                </c:pt>
                <c:pt idx="77">
                  <c:v>0.98449612403100806</c:v>
                </c:pt>
                <c:pt idx="78">
                  <c:v>0.97674418604651214</c:v>
                </c:pt>
                <c:pt idx="79">
                  <c:v>0.98449612403100806</c:v>
                </c:pt>
                <c:pt idx="80">
                  <c:v>0.98449612403100806</c:v>
                </c:pt>
                <c:pt idx="81">
                  <c:v>0.98449612403100806</c:v>
                </c:pt>
                <c:pt idx="82">
                  <c:v>0.96899224806201545</c:v>
                </c:pt>
                <c:pt idx="83">
                  <c:v>0.99224806201550408</c:v>
                </c:pt>
                <c:pt idx="84">
                  <c:v>0.98449612403100739</c:v>
                </c:pt>
                <c:pt idx="85">
                  <c:v>0.99224806201550408</c:v>
                </c:pt>
                <c:pt idx="86">
                  <c:v>0.99224806201550408</c:v>
                </c:pt>
                <c:pt idx="87">
                  <c:v>0.97674418604651148</c:v>
                </c:pt>
                <c:pt idx="88">
                  <c:v>0.98449612403100806</c:v>
                </c:pt>
                <c:pt idx="89">
                  <c:v>0.98449612403100806</c:v>
                </c:pt>
                <c:pt idx="90">
                  <c:v>0.97674418604651148</c:v>
                </c:pt>
                <c:pt idx="91">
                  <c:v>0.98449612403100806</c:v>
                </c:pt>
                <c:pt idx="92">
                  <c:v>0.97674418604651148</c:v>
                </c:pt>
                <c:pt idx="93">
                  <c:v>0.96124031007751942</c:v>
                </c:pt>
                <c:pt idx="94">
                  <c:v>0.97674418604651148</c:v>
                </c:pt>
                <c:pt idx="95">
                  <c:v>0.98449612403100806</c:v>
                </c:pt>
                <c:pt idx="96">
                  <c:v>0.97674418604651148</c:v>
                </c:pt>
                <c:pt idx="97">
                  <c:v>0.98449612403100806</c:v>
                </c:pt>
                <c:pt idx="98">
                  <c:v>0.99224806201550408</c:v>
                </c:pt>
                <c:pt idx="99">
                  <c:v>0.99224806201550408</c:v>
                </c:pt>
                <c:pt idx="100">
                  <c:v>0.99224806201550408</c:v>
                </c:pt>
                <c:pt idx="101">
                  <c:v>0.99224806201550408</c:v>
                </c:pt>
                <c:pt idx="102">
                  <c:v>0.98449612403100806</c:v>
                </c:pt>
                <c:pt idx="103">
                  <c:v>0.98449612403100806</c:v>
                </c:pt>
                <c:pt idx="104">
                  <c:v>0.97674418604651214</c:v>
                </c:pt>
                <c:pt idx="105">
                  <c:v>0.97674418604651148</c:v>
                </c:pt>
                <c:pt idx="106">
                  <c:v>0.98449612403100806</c:v>
                </c:pt>
                <c:pt idx="107">
                  <c:v>0.97674418604651148</c:v>
                </c:pt>
                <c:pt idx="108">
                  <c:v>0.97674418604651148</c:v>
                </c:pt>
                <c:pt idx="109">
                  <c:v>0.98449612403100806</c:v>
                </c:pt>
                <c:pt idx="110">
                  <c:v>0.98449612403100806</c:v>
                </c:pt>
                <c:pt idx="111">
                  <c:v>0.98449612403100806</c:v>
                </c:pt>
                <c:pt idx="112">
                  <c:v>0.98449612403100806</c:v>
                </c:pt>
                <c:pt idx="113">
                  <c:v>0.98449612403100739</c:v>
                </c:pt>
                <c:pt idx="114">
                  <c:v>0.98449612403100739</c:v>
                </c:pt>
                <c:pt idx="115">
                  <c:v>0.96899224806201545</c:v>
                </c:pt>
                <c:pt idx="116">
                  <c:v>0.97674418604651148</c:v>
                </c:pt>
                <c:pt idx="117">
                  <c:v>0.97674418604651148</c:v>
                </c:pt>
                <c:pt idx="118">
                  <c:v>0.98449612403100806</c:v>
                </c:pt>
                <c:pt idx="119">
                  <c:v>0.98449612403100806</c:v>
                </c:pt>
                <c:pt idx="120">
                  <c:v>0.98449612403100806</c:v>
                </c:pt>
                <c:pt idx="121">
                  <c:v>0.98449612403100806</c:v>
                </c:pt>
                <c:pt idx="122">
                  <c:v>0.98449612403100806</c:v>
                </c:pt>
                <c:pt idx="123">
                  <c:v>0.98449612403100806</c:v>
                </c:pt>
                <c:pt idx="124">
                  <c:v>0.98449612403100806</c:v>
                </c:pt>
                <c:pt idx="125">
                  <c:v>0.98449612403100806</c:v>
                </c:pt>
                <c:pt idx="126">
                  <c:v>0.97674418604651148</c:v>
                </c:pt>
                <c:pt idx="127">
                  <c:v>0.99224806201550408</c:v>
                </c:pt>
                <c:pt idx="128">
                  <c:v>0.98449612403100739</c:v>
                </c:pt>
                <c:pt idx="129">
                  <c:v>0.98449612403100739</c:v>
                </c:pt>
                <c:pt idx="130">
                  <c:v>0.97674418604651148</c:v>
                </c:pt>
                <c:pt idx="131">
                  <c:v>0.97674418604651148</c:v>
                </c:pt>
                <c:pt idx="132">
                  <c:v>0.98449612403100806</c:v>
                </c:pt>
                <c:pt idx="133">
                  <c:v>0.98449612403100806</c:v>
                </c:pt>
                <c:pt idx="134">
                  <c:v>0.97674418604651148</c:v>
                </c:pt>
                <c:pt idx="135">
                  <c:v>0.98449612403100806</c:v>
                </c:pt>
                <c:pt idx="136">
                  <c:v>0.96899224806201545</c:v>
                </c:pt>
                <c:pt idx="137">
                  <c:v>0.97674418604651214</c:v>
                </c:pt>
                <c:pt idx="138">
                  <c:v>0.96511627906976716</c:v>
                </c:pt>
                <c:pt idx="139">
                  <c:v>0.97674418604651214</c:v>
                </c:pt>
                <c:pt idx="140">
                  <c:v>0.97674418604651214</c:v>
                </c:pt>
                <c:pt idx="141">
                  <c:v>0.97674418604651214</c:v>
                </c:pt>
                <c:pt idx="142">
                  <c:v>0.97674418604651214</c:v>
                </c:pt>
                <c:pt idx="143">
                  <c:v>0.97674418604651214</c:v>
                </c:pt>
                <c:pt idx="144">
                  <c:v>0.97674418604651214</c:v>
                </c:pt>
                <c:pt idx="145">
                  <c:v>0.97674418604651214</c:v>
                </c:pt>
                <c:pt idx="146">
                  <c:v>0.97674418604651214</c:v>
                </c:pt>
                <c:pt idx="147">
                  <c:v>1</c:v>
                </c:pt>
                <c:pt idx="148">
                  <c:v>0.98412698412698363</c:v>
                </c:pt>
                <c:pt idx="149">
                  <c:v>0.97619047619047605</c:v>
                </c:pt>
                <c:pt idx="150">
                  <c:v>0.96825396825396814</c:v>
                </c:pt>
                <c:pt idx="151">
                  <c:v>0.97619047619047605</c:v>
                </c:pt>
                <c:pt idx="152">
                  <c:v>0.96825396825396814</c:v>
                </c:pt>
                <c:pt idx="153">
                  <c:v>0.96825396825396814</c:v>
                </c:pt>
                <c:pt idx="154">
                  <c:v>0.96825396825396814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55-454F-A026-52D9540AF5CF}"/>
            </c:ext>
          </c:extLst>
        </c:ser>
        <c:ser>
          <c:idx val="4"/>
          <c:order val="4"/>
          <c:tx>
            <c:strRef>
              <c:f>'3'!$AL$5</c:f>
              <c:strCache>
                <c:ptCount val="1"/>
                <c:pt idx="0">
                  <c:v>500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'3'!$AG$8:$AG$162</c:f>
              <c:numCache>
                <c:formatCode>General</c:formatCode>
                <c:ptCount val="15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</c:numCache>
            </c:numRef>
          </c:xVal>
          <c:yVal>
            <c:numRef>
              <c:f>'3'!$AL$8:$AL$162</c:f>
              <c:numCache>
                <c:formatCode>General</c:formatCode>
                <c:ptCount val="155"/>
                <c:pt idx="0">
                  <c:v>1.5873015873015539E-2</c:v>
                </c:pt>
                <c:pt idx="1">
                  <c:v>1.5873015873015539E-2</c:v>
                </c:pt>
                <c:pt idx="2">
                  <c:v>1.5873015873015539E-2</c:v>
                </c:pt>
                <c:pt idx="3">
                  <c:v>1.5873015873015539E-2</c:v>
                </c:pt>
                <c:pt idx="4">
                  <c:v>1.5873015873015539E-2</c:v>
                </c:pt>
                <c:pt idx="5">
                  <c:v>1.5873015873015539E-2</c:v>
                </c:pt>
                <c:pt idx="6">
                  <c:v>7.9365079365078736E-2</c:v>
                </c:pt>
                <c:pt idx="7">
                  <c:v>0.1984126984126981</c:v>
                </c:pt>
                <c:pt idx="8">
                  <c:v>0.32539682539682524</c:v>
                </c:pt>
                <c:pt idx="9">
                  <c:v>0.476190476190476</c:v>
                </c:pt>
                <c:pt idx="10">
                  <c:v>0.58730158730158721</c:v>
                </c:pt>
                <c:pt idx="11">
                  <c:v>0.67460317460317398</c:v>
                </c:pt>
                <c:pt idx="12">
                  <c:v>0.73809523809523836</c:v>
                </c:pt>
                <c:pt idx="13">
                  <c:v>0.80952380952380898</c:v>
                </c:pt>
                <c:pt idx="14">
                  <c:v>0.84920634920634919</c:v>
                </c:pt>
                <c:pt idx="15">
                  <c:v>0.89682539682539641</c:v>
                </c:pt>
                <c:pt idx="16">
                  <c:v>0.92857142857142894</c:v>
                </c:pt>
                <c:pt idx="17">
                  <c:v>0.95238095238095222</c:v>
                </c:pt>
                <c:pt idx="18">
                  <c:v>0.96031746031746001</c:v>
                </c:pt>
                <c:pt idx="19">
                  <c:v>0.98412698412698407</c:v>
                </c:pt>
                <c:pt idx="20">
                  <c:v>0.99206349206349187</c:v>
                </c:pt>
                <c:pt idx="21">
                  <c:v>1.0079365079365075</c:v>
                </c:pt>
                <c:pt idx="22">
                  <c:v>1.0079365079365075</c:v>
                </c:pt>
                <c:pt idx="23">
                  <c:v>1.0158730158730152</c:v>
                </c:pt>
                <c:pt idx="24">
                  <c:v>1.0079365079365075</c:v>
                </c:pt>
                <c:pt idx="25">
                  <c:v>1.0238095238095237</c:v>
                </c:pt>
                <c:pt idx="26">
                  <c:v>1.0238095238095237</c:v>
                </c:pt>
                <c:pt idx="27">
                  <c:v>1.0238095238095237</c:v>
                </c:pt>
                <c:pt idx="28">
                  <c:v>1.0317460317460321</c:v>
                </c:pt>
                <c:pt idx="29">
                  <c:v>1.0396825396825398</c:v>
                </c:pt>
                <c:pt idx="30">
                  <c:v>1.0396825396825398</c:v>
                </c:pt>
                <c:pt idx="31">
                  <c:v>1.0396825396825398</c:v>
                </c:pt>
                <c:pt idx="32">
                  <c:v>1.0476190476190477</c:v>
                </c:pt>
                <c:pt idx="33">
                  <c:v>1.0396825396825398</c:v>
                </c:pt>
                <c:pt idx="34">
                  <c:v>1.0476190476190477</c:v>
                </c:pt>
                <c:pt idx="35">
                  <c:v>1.0396825396825398</c:v>
                </c:pt>
                <c:pt idx="36">
                  <c:v>1.0396825396825398</c:v>
                </c:pt>
                <c:pt idx="37">
                  <c:v>1.0396825396825398</c:v>
                </c:pt>
                <c:pt idx="38">
                  <c:v>1.0396825396825398</c:v>
                </c:pt>
                <c:pt idx="39">
                  <c:v>1.0317460317460321</c:v>
                </c:pt>
                <c:pt idx="40">
                  <c:v>1.0317460317460321</c:v>
                </c:pt>
                <c:pt idx="41">
                  <c:v>1.0317460317460321</c:v>
                </c:pt>
                <c:pt idx="42">
                  <c:v>1.0317460317460321</c:v>
                </c:pt>
                <c:pt idx="43">
                  <c:v>1.0317460317460321</c:v>
                </c:pt>
                <c:pt idx="44">
                  <c:v>1.0317460317460321</c:v>
                </c:pt>
                <c:pt idx="45">
                  <c:v>1.0317460317460321</c:v>
                </c:pt>
                <c:pt idx="46">
                  <c:v>1.0317460317460321</c:v>
                </c:pt>
                <c:pt idx="47">
                  <c:v>1.0396825396825398</c:v>
                </c:pt>
                <c:pt idx="48">
                  <c:v>1.0396825396825398</c:v>
                </c:pt>
                <c:pt idx="49">
                  <c:v>1.0317460317460321</c:v>
                </c:pt>
                <c:pt idx="50">
                  <c:v>1.0317460317460314</c:v>
                </c:pt>
                <c:pt idx="51">
                  <c:v>1.0396825396825398</c:v>
                </c:pt>
                <c:pt idx="52">
                  <c:v>1.0396825396825391</c:v>
                </c:pt>
                <c:pt idx="53">
                  <c:v>1.0317460317460321</c:v>
                </c:pt>
                <c:pt idx="54">
                  <c:v>1.0238095238095237</c:v>
                </c:pt>
                <c:pt idx="55">
                  <c:v>1.0396825396825398</c:v>
                </c:pt>
                <c:pt idx="56">
                  <c:v>1.0396825396825391</c:v>
                </c:pt>
                <c:pt idx="57">
                  <c:v>1.0476190476190477</c:v>
                </c:pt>
                <c:pt idx="58">
                  <c:v>1.0396825396825391</c:v>
                </c:pt>
                <c:pt idx="59">
                  <c:v>1.0476190476190477</c:v>
                </c:pt>
                <c:pt idx="60">
                  <c:v>1.0396825396825391</c:v>
                </c:pt>
                <c:pt idx="61">
                  <c:v>1.0555555555555554</c:v>
                </c:pt>
                <c:pt idx="62">
                  <c:v>1.0396825396825391</c:v>
                </c:pt>
                <c:pt idx="63">
                  <c:v>1.0555555555555554</c:v>
                </c:pt>
                <c:pt idx="64">
                  <c:v>1.0396825396825391</c:v>
                </c:pt>
                <c:pt idx="65">
                  <c:v>1.0555555555555554</c:v>
                </c:pt>
                <c:pt idx="66">
                  <c:v>1.047619047619047</c:v>
                </c:pt>
                <c:pt idx="67">
                  <c:v>1.0476190476190477</c:v>
                </c:pt>
                <c:pt idx="68">
                  <c:v>1.0396825396825391</c:v>
                </c:pt>
                <c:pt idx="69">
                  <c:v>1.0595238095238086</c:v>
                </c:pt>
                <c:pt idx="70">
                  <c:v>1.0357142857142854</c:v>
                </c:pt>
                <c:pt idx="71">
                  <c:v>1.0357142857142854</c:v>
                </c:pt>
                <c:pt idx="72">
                  <c:v>1.047619047619047</c:v>
                </c:pt>
                <c:pt idx="73">
                  <c:v>1.047619047619047</c:v>
                </c:pt>
                <c:pt idx="74">
                  <c:v>1.047619047619047</c:v>
                </c:pt>
                <c:pt idx="75">
                  <c:v>1.047619047619047</c:v>
                </c:pt>
                <c:pt idx="76">
                  <c:v>1.047619047619047</c:v>
                </c:pt>
                <c:pt idx="77">
                  <c:v>1.047619047619047</c:v>
                </c:pt>
                <c:pt idx="78">
                  <c:v>1.047619047619047</c:v>
                </c:pt>
                <c:pt idx="79">
                  <c:v>1.047619047619047</c:v>
                </c:pt>
                <c:pt idx="80">
                  <c:v>1.047619047619047</c:v>
                </c:pt>
                <c:pt idx="81">
                  <c:v>1.0595238095238086</c:v>
                </c:pt>
                <c:pt idx="82">
                  <c:v>1.047619047619047</c:v>
                </c:pt>
                <c:pt idx="83">
                  <c:v>1.0595238095238086</c:v>
                </c:pt>
                <c:pt idx="84">
                  <c:v>1.047619047619047</c:v>
                </c:pt>
                <c:pt idx="85">
                  <c:v>1.0595238095238086</c:v>
                </c:pt>
                <c:pt idx="86">
                  <c:v>1.047619047619047</c:v>
                </c:pt>
                <c:pt idx="87">
                  <c:v>1.047619047619047</c:v>
                </c:pt>
                <c:pt idx="88">
                  <c:v>1.047619047619047</c:v>
                </c:pt>
                <c:pt idx="89">
                  <c:v>1.0595238095238086</c:v>
                </c:pt>
                <c:pt idx="90">
                  <c:v>1.0595238095238086</c:v>
                </c:pt>
                <c:pt idx="91">
                  <c:v>1.0595238095238086</c:v>
                </c:pt>
                <c:pt idx="92">
                  <c:v>1.047619047619047</c:v>
                </c:pt>
                <c:pt idx="93">
                  <c:v>1.047619047619047</c:v>
                </c:pt>
                <c:pt idx="94">
                  <c:v>1.0595238095238086</c:v>
                </c:pt>
                <c:pt idx="95">
                  <c:v>1.047619047619047</c:v>
                </c:pt>
                <c:pt idx="96">
                  <c:v>1.0595238095238086</c:v>
                </c:pt>
                <c:pt idx="97">
                  <c:v>1.047619047619047</c:v>
                </c:pt>
                <c:pt idx="98">
                  <c:v>1.0595238095238086</c:v>
                </c:pt>
                <c:pt idx="99">
                  <c:v>1.047619047619047</c:v>
                </c:pt>
                <c:pt idx="100">
                  <c:v>1.047619047619047</c:v>
                </c:pt>
                <c:pt idx="101">
                  <c:v>1.047619047619047</c:v>
                </c:pt>
                <c:pt idx="102">
                  <c:v>1.0357142857142854</c:v>
                </c:pt>
                <c:pt idx="103">
                  <c:v>1.0357142857142854</c:v>
                </c:pt>
                <c:pt idx="104">
                  <c:v>1.0357142857142854</c:v>
                </c:pt>
                <c:pt idx="105">
                  <c:v>1.0238095238095237</c:v>
                </c:pt>
                <c:pt idx="106">
                  <c:v>1.0357142857142854</c:v>
                </c:pt>
                <c:pt idx="107">
                  <c:v>1.0357142857142854</c:v>
                </c:pt>
                <c:pt idx="108">
                  <c:v>1.0238095238095237</c:v>
                </c:pt>
                <c:pt idx="109">
                  <c:v>1.0238095238095237</c:v>
                </c:pt>
                <c:pt idx="110">
                  <c:v>1.0238095238095237</c:v>
                </c:pt>
                <c:pt idx="111">
                  <c:v>1.0238095238095237</c:v>
                </c:pt>
                <c:pt idx="112">
                  <c:v>1.0238095238095237</c:v>
                </c:pt>
                <c:pt idx="113">
                  <c:v>1.0357142857142854</c:v>
                </c:pt>
                <c:pt idx="114">
                  <c:v>1.0357142857142854</c:v>
                </c:pt>
                <c:pt idx="115">
                  <c:v>1.0238095238095237</c:v>
                </c:pt>
                <c:pt idx="116">
                  <c:v>1.0238095238095237</c:v>
                </c:pt>
                <c:pt idx="117">
                  <c:v>1.0357142857142854</c:v>
                </c:pt>
                <c:pt idx="118">
                  <c:v>1.047619047619047</c:v>
                </c:pt>
                <c:pt idx="119">
                  <c:v>1.0238095238095237</c:v>
                </c:pt>
                <c:pt idx="120">
                  <c:v>1.047619047619047</c:v>
                </c:pt>
                <c:pt idx="121">
                  <c:v>1.0357142857142854</c:v>
                </c:pt>
                <c:pt idx="122">
                  <c:v>1.0357142857142854</c:v>
                </c:pt>
                <c:pt idx="123">
                  <c:v>1.0238095238095237</c:v>
                </c:pt>
                <c:pt idx="124">
                  <c:v>1.0238095238095237</c:v>
                </c:pt>
                <c:pt idx="125">
                  <c:v>1.0238095238095237</c:v>
                </c:pt>
                <c:pt idx="126">
                  <c:v>1.0238095238095237</c:v>
                </c:pt>
                <c:pt idx="127">
                  <c:v>1.0238095238095237</c:v>
                </c:pt>
                <c:pt idx="128">
                  <c:v>1.0357142857142854</c:v>
                </c:pt>
                <c:pt idx="129">
                  <c:v>1.0357142857142854</c:v>
                </c:pt>
                <c:pt idx="130">
                  <c:v>1.0357142857142854</c:v>
                </c:pt>
                <c:pt idx="131">
                  <c:v>1.0357142857142854</c:v>
                </c:pt>
                <c:pt idx="132">
                  <c:v>1.0357142857142854</c:v>
                </c:pt>
                <c:pt idx="133">
                  <c:v>1.0595238095238086</c:v>
                </c:pt>
                <c:pt idx="134">
                  <c:v>1.047619047619047</c:v>
                </c:pt>
                <c:pt idx="135">
                  <c:v>1.0595238095238086</c:v>
                </c:pt>
                <c:pt idx="136">
                  <c:v>1.0595238095238086</c:v>
                </c:pt>
                <c:pt idx="137">
                  <c:v>1.047619047619047</c:v>
                </c:pt>
                <c:pt idx="138">
                  <c:v>1.0357142857142854</c:v>
                </c:pt>
                <c:pt idx="139">
                  <c:v>1.047619047619047</c:v>
                </c:pt>
                <c:pt idx="140">
                  <c:v>1.0357142857142854</c:v>
                </c:pt>
                <c:pt idx="141">
                  <c:v>1.0357142857142854</c:v>
                </c:pt>
                <c:pt idx="142">
                  <c:v>1.047619047619047</c:v>
                </c:pt>
                <c:pt idx="143">
                  <c:v>1.0357142857142854</c:v>
                </c:pt>
                <c:pt idx="144">
                  <c:v>1.0238095238095237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55-454F-A026-52D9540A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715752"/>
        <c:axId val="584716080"/>
      </c:scatterChart>
      <c:valAx>
        <c:axId val="58471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716080"/>
        <c:crosses val="autoZero"/>
        <c:crossBetween val="midCat"/>
      </c:valAx>
      <c:valAx>
        <c:axId val="584716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715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Mixing time Vs Impeller immersion (model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9018388671507"/>
          <c:y val="0.13230199638376558"/>
          <c:w val="0.82554220075402462"/>
          <c:h val="0.694084047406282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plus>
            <c:minus>
              <c:numRef>
                <c:f>'4'!$T$3:$T$6</c:f>
                <c:numCache>
                  <c:formatCode>General</c:formatCode>
                  <c:ptCount val="4"/>
                  <c:pt idx="0">
                    <c:v>181.99244440971233</c:v>
                  </c:pt>
                  <c:pt idx="1">
                    <c:v>6.1523762347025999</c:v>
                  </c:pt>
                  <c:pt idx="2">
                    <c:v>1.9001286506152393</c:v>
                  </c:pt>
                  <c:pt idx="3">
                    <c:v>3.7783535508942991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'4'!$C$13:$C$16</c:f>
              <c:numCache>
                <c:formatCode>0</c:formatCode>
                <c:ptCount val="4"/>
                <c:pt idx="0">
                  <c:v>659.33333333333337</c:v>
                </c:pt>
                <c:pt idx="1">
                  <c:v>72</c:v>
                </c:pt>
                <c:pt idx="2">
                  <c:v>70.666666666666671</c:v>
                </c:pt>
                <c:pt idx="3">
                  <c:v>135.33333333333334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FD6-4605-B581-97D4B3958A56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plus>
            <c:minus>
              <c:numRef>
                <c:f>'4'!$T$7:$T$10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2.9351812361230589</c:v>
                  </c:pt>
                  <c:pt idx="2">
                    <c:v>1.7809984715197136</c:v>
                  </c:pt>
                  <c:pt idx="3">
                    <c:v>2.9859597377653229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'4'!$D$13:$D$16</c:f>
              <c:numCache>
                <c:formatCode>0</c:formatCode>
                <c:ptCount val="4"/>
                <c:pt idx="0">
                  <c:v>162</c:v>
                </c:pt>
                <c:pt idx="1">
                  <c:v>41.333333333333336</c:v>
                </c:pt>
                <c:pt idx="2">
                  <c:v>24.666666666666668</c:v>
                </c:pt>
                <c:pt idx="3">
                  <c:v>68.666666666666671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FD6-4605-B581-97D4B3958A56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plus>
            <c:minus>
              <c:numRef>
                <c:f>'4'!$T$11:$T$14</c:f>
                <c:numCache>
                  <c:formatCode>General</c:formatCode>
                  <c:ptCount val="4"/>
                  <c:pt idx="0">
                    <c:v>25.787184586319018</c:v>
                  </c:pt>
                  <c:pt idx="1">
                    <c:v>0.72179560049150271</c:v>
                  </c:pt>
                  <c:pt idx="2">
                    <c:v>1.3477594576019696</c:v>
                  </c:pt>
                  <c:pt idx="3">
                    <c:v>1.2429534719100848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'4'!$E$13:$E$16</c:f>
              <c:numCache>
                <c:formatCode>0</c:formatCode>
                <c:ptCount val="4"/>
                <c:pt idx="0">
                  <c:v>136.66666666666666</c:v>
                </c:pt>
                <c:pt idx="1">
                  <c:v>27.666666666666668</c:v>
                </c:pt>
                <c:pt idx="2">
                  <c:v>19.666666666666668</c:v>
                </c:pt>
                <c:pt idx="3">
                  <c:v>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FD6-4605-B581-97D4B3958A56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plus>
            <c:minus>
              <c:numRef>
                <c:f>'4'!$X$3:$X$6</c:f>
                <c:numCache>
                  <c:formatCode>General</c:formatCode>
                  <c:ptCount val="4"/>
                  <c:pt idx="0">
                    <c:v>4.7428495888255009</c:v>
                  </c:pt>
                  <c:pt idx="1">
                    <c:v>1.7759003976074283</c:v>
                  </c:pt>
                  <c:pt idx="2">
                    <c:v>0.68967786361137884</c:v>
                  </c:pt>
                  <c:pt idx="3">
                    <c:v>4.8203688194530887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'4'!$F$13:$F$16</c:f>
              <c:numCache>
                <c:formatCode>0</c:formatCode>
                <c:ptCount val="4"/>
                <c:pt idx="0">
                  <c:v>84.666666666666671</c:v>
                </c:pt>
                <c:pt idx="1">
                  <c:v>20.666666666666668</c:v>
                </c:pt>
                <c:pt idx="2">
                  <c:v>17.666666666666668</c:v>
                </c:pt>
                <c:pt idx="3">
                  <c:v>35.333333333333336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FD6-4605-B581-97D4B3958A56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plus>
            <c:minus>
              <c:numRef>
                <c:f>'4'!$X$7:$X$10</c:f>
                <c:numCache>
                  <c:formatCode>General</c:formatCode>
                  <c:ptCount val="4"/>
                  <c:pt idx="0">
                    <c:v>4.1365914578175218</c:v>
                  </c:pt>
                  <c:pt idx="1">
                    <c:v>2.6744075148629758</c:v>
                  </c:pt>
                  <c:pt idx="2">
                    <c:v>2.6716640673724101</c:v>
                  </c:pt>
                  <c:pt idx="3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'4'!$G$13:$G$16</c:f>
              <c:numCache>
                <c:formatCode>0</c:formatCode>
                <c:ptCount val="4"/>
                <c:pt idx="0">
                  <c:v>81.666666666666671</c:v>
                </c:pt>
                <c:pt idx="1">
                  <c:v>20.333333333333332</c:v>
                </c:pt>
                <c:pt idx="2">
                  <c:v>16.333333333333332</c:v>
                </c:pt>
                <c:pt idx="3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FD6-4605-B581-97D4B395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157216"/>
        <c:axId val="727154592"/>
      </c:scatterChart>
      <c:scatterChart>
        <c:scatterStyle val="lineMarker"/>
        <c:varyColors val="0"/>
        <c:ser>
          <c:idx val="5"/>
          <c:order val="5"/>
          <c:tx>
            <c:strRef>
              <c:f>'4'!$L$12</c:f>
              <c:strCache>
                <c:ptCount val="1"/>
                <c:pt idx="0">
                  <c:v>100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'4'!$U$44:$U$47</c:f>
              <c:numCache>
                <c:formatCode>0</c:formatCode>
                <c:ptCount val="4"/>
                <c:pt idx="0">
                  <c:v>660.81910844582683</c:v>
                </c:pt>
                <c:pt idx="1">
                  <c:v>80.525323679173894</c:v>
                </c:pt>
                <c:pt idx="2">
                  <c:v>68.537613567977743</c:v>
                </c:pt>
                <c:pt idx="3">
                  <c:v>128.0910646200627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D6-4605-B581-97D4B3958A56}"/>
            </c:ext>
          </c:extLst>
        </c:ser>
        <c:ser>
          <c:idx val="6"/>
          <c:order val="6"/>
          <c:tx>
            <c:strRef>
              <c:f>'4'!$L$13</c:f>
              <c:strCache>
                <c:ptCount val="1"/>
                <c:pt idx="0">
                  <c:v>200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'4'!$V$44:$V$47</c:f>
              <c:numCache>
                <c:formatCode>0</c:formatCode>
                <c:ptCount val="4"/>
                <c:pt idx="0">
                  <c:v>153.0710777304599</c:v>
                </c:pt>
                <c:pt idx="1">
                  <c:v>48.762439527297936</c:v>
                </c:pt>
                <c:pt idx="2">
                  <c:v>23.627039568187506</c:v>
                </c:pt>
                <c:pt idx="3">
                  <c:v>67.444523312817267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D6-4605-B581-97D4B3958A56}"/>
            </c:ext>
          </c:extLst>
        </c:ser>
        <c:ser>
          <c:idx val="7"/>
          <c:order val="7"/>
          <c:tx>
            <c:strRef>
              <c:f>'4'!$L$14</c:f>
              <c:strCache>
                <c:ptCount val="1"/>
                <c:pt idx="0">
                  <c:v>300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'4'!$W$44:$W$47</c:f>
              <c:numCache>
                <c:formatCode>0</c:formatCode>
                <c:ptCount val="4"/>
                <c:pt idx="0">
                  <c:v>135.98482008302128</c:v>
                </c:pt>
                <c:pt idx="1">
                  <c:v>33.334193034279387</c:v>
                </c:pt>
                <c:pt idx="2">
                  <c:v>19.689411265818645</c:v>
                </c:pt>
                <c:pt idx="3">
                  <c:v>46.148088857521557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D6-4605-B581-97D4B3958A56}"/>
            </c:ext>
          </c:extLst>
        </c:ser>
        <c:ser>
          <c:idx val="8"/>
          <c:order val="8"/>
          <c:tx>
            <c:strRef>
              <c:f>'4'!$L$15</c:f>
              <c:strCache>
                <c:ptCount val="1"/>
                <c:pt idx="0">
                  <c:v>400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'4'!$X$44:$X$47</c:f>
              <c:numCache>
                <c:formatCode>0</c:formatCode>
                <c:ptCount val="4"/>
                <c:pt idx="0">
                  <c:v>83.344891046712647</c:v>
                </c:pt>
                <c:pt idx="1">
                  <c:v>25.252173827723315</c:v>
                </c:pt>
                <c:pt idx="2">
                  <c:v>18.380430094414937</c:v>
                </c:pt>
                <c:pt idx="3">
                  <c:v>36.081044088735922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FD6-4605-B581-97D4B3958A56}"/>
            </c:ext>
          </c:extLst>
        </c:ser>
        <c:ser>
          <c:idx val="9"/>
          <c:order val="9"/>
          <c:tx>
            <c:strRef>
              <c:f>'4'!$L$16</c:f>
              <c:strCache>
                <c:ptCount val="1"/>
                <c:pt idx="0">
                  <c:v>500 rpm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'4'!$B$13:$B$16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 formatCode="General">
                  <c:v>1.21</c:v>
                </c:pt>
              </c:numCache>
            </c:numRef>
          </c:xVal>
          <c:yVal>
            <c:numRef>
              <c:f>'4'!$Y$44:$Y$47</c:f>
              <c:numCache>
                <c:formatCode>0</c:formatCode>
                <c:ptCount val="4"/>
                <c:pt idx="0">
                  <c:v>83.343612064257229</c:v>
                </c:pt>
                <c:pt idx="1">
                  <c:v>25.824801588970598</c:v>
                </c:pt>
                <c:pt idx="2">
                  <c:v>17.518612593053568</c:v>
                </c:pt>
                <c:pt idx="3">
                  <c:v>35.185070610795663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FD6-4605-B581-97D4B395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7157216"/>
        <c:axId val="727154592"/>
      </c:scatterChart>
      <c:valAx>
        <c:axId val="727157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immersion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154592"/>
        <c:crosses val="autoZero"/>
        <c:crossBetween val="midCat"/>
      </c:valAx>
      <c:valAx>
        <c:axId val="727154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157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22180127018099"/>
          <c:y val="7.5435151508140702E-2"/>
          <c:w val="0.2381300479826515"/>
          <c:h val="0.65088042487380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109702497315"/>
          <c:y val="0.13846630875336133"/>
          <c:w val="0.82492472533358407"/>
          <c:h val="0.67983058531066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'4'!$B$13</c:f>
              <c:strCache>
                <c:ptCount val="1"/>
                <c:pt idx="0">
                  <c:v>4%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plus>
            <c:minus>
              <c:numRef>
                <c:f>'4'!$D$5:$D$9</c:f>
                <c:numCache>
                  <c:formatCode>General</c:formatCode>
                  <c:ptCount val="5"/>
                  <c:pt idx="0">
                    <c:v>181.99244440971233</c:v>
                  </c:pt>
                  <c:pt idx="1">
                    <c:v>15.360915771311728</c:v>
                  </c:pt>
                  <c:pt idx="2">
                    <c:v>25.787184586319018</c:v>
                  </c:pt>
                  <c:pt idx="3">
                    <c:v>4.7428495888255009</c:v>
                  </c:pt>
                  <c:pt idx="4">
                    <c:v>4.1365914578175218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'4'!$C$13:$G$13</c:f>
              <c:numCache>
                <c:formatCode>0</c:formatCode>
                <c:ptCount val="5"/>
                <c:pt idx="0">
                  <c:v>659.33333333333337</c:v>
                </c:pt>
                <c:pt idx="1">
                  <c:v>162</c:v>
                </c:pt>
                <c:pt idx="2">
                  <c:v>136.66666666666666</c:v>
                </c:pt>
                <c:pt idx="3">
                  <c:v>84.666666666666671</c:v>
                </c:pt>
                <c:pt idx="4">
                  <c:v>81.666666666666671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4B-405E-816B-696784E1C29A}"/>
            </c:ext>
          </c:extLst>
        </c:ser>
        <c:ser>
          <c:idx val="1"/>
          <c:order val="1"/>
          <c:tx>
            <c:strRef>
              <c:f>'4'!$B$14</c:f>
              <c:strCache>
                <c:ptCount val="1"/>
                <c:pt idx="0">
                  <c:v>42%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plus>
            <c:min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'4'!$C$14:$G$14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4B-405E-816B-696784E1C29A}"/>
            </c:ext>
          </c:extLst>
        </c:ser>
        <c:ser>
          <c:idx val="2"/>
          <c:order val="2"/>
          <c:tx>
            <c:strRef>
              <c:f>'4'!$B$15</c:f>
              <c:strCache>
                <c:ptCount val="1"/>
                <c:pt idx="0">
                  <c:v>79%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plus>
            <c:min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'4'!$C$15:$G$15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4B-405E-816B-696784E1C29A}"/>
            </c:ext>
          </c:extLst>
        </c:ser>
        <c:ser>
          <c:idx val="3"/>
          <c:order val="3"/>
          <c:tx>
            <c:strRef>
              <c:f>'4'!$B$16</c:f>
              <c:strCache>
                <c:ptCount val="1"/>
                <c:pt idx="0">
                  <c:v>1.21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plus>
            <c:min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'4'!$C$16:$G$16</c:f>
              <c:numCache>
                <c:formatCode>0</c:formatCode>
                <c:ptCount val="5"/>
                <c:pt idx="0">
                  <c:v>135.33333333333334</c:v>
                </c:pt>
                <c:pt idx="1">
                  <c:v>68.666666666666671</c:v>
                </c:pt>
                <c:pt idx="2">
                  <c:v>46</c:v>
                </c:pt>
                <c:pt idx="3">
                  <c:v>35.333333333333336</c:v>
                </c:pt>
                <c:pt idx="4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4B-405E-816B-696784E1C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44840"/>
        <c:axId val="682301456"/>
      </c:scatterChart>
      <c:scatterChart>
        <c:scatterStyle val="lineMarker"/>
        <c:varyColors val="0"/>
        <c:ser>
          <c:idx val="4"/>
          <c:order val="4"/>
          <c:tx>
            <c:strRef>
              <c:f>'4'!$N$12</c:f>
              <c:strCache>
                <c:ptCount val="1"/>
                <c:pt idx="0">
                  <c:v>4 %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'4'!$U$44:$Y$44</c:f>
              <c:numCache>
                <c:formatCode>0</c:formatCode>
                <c:ptCount val="5"/>
                <c:pt idx="0">
                  <c:v>660.81910844582683</c:v>
                </c:pt>
                <c:pt idx="1">
                  <c:v>153.0710777304599</c:v>
                </c:pt>
                <c:pt idx="2">
                  <c:v>135.98482008302128</c:v>
                </c:pt>
                <c:pt idx="3">
                  <c:v>83.344891046712647</c:v>
                </c:pt>
                <c:pt idx="4">
                  <c:v>83.343612064257229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4B-405E-816B-696784E1C29A}"/>
            </c:ext>
          </c:extLst>
        </c:ser>
        <c:ser>
          <c:idx val="5"/>
          <c:order val="5"/>
          <c:tx>
            <c:strRef>
              <c:f>'4'!$N$13</c:f>
              <c:strCache>
                <c:ptCount val="1"/>
                <c:pt idx="0">
                  <c:v>42 %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'4'!$U$45:$Y$45</c:f>
              <c:numCache>
                <c:formatCode>0</c:formatCode>
                <c:ptCount val="5"/>
                <c:pt idx="0">
                  <c:v>80.525323679173894</c:v>
                </c:pt>
                <c:pt idx="1">
                  <c:v>48.762439527297936</c:v>
                </c:pt>
                <c:pt idx="2">
                  <c:v>33.334193034279387</c:v>
                </c:pt>
                <c:pt idx="3">
                  <c:v>25.252173827723315</c:v>
                </c:pt>
                <c:pt idx="4">
                  <c:v>25.824801588970598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4B-405E-816B-696784E1C29A}"/>
            </c:ext>
          </c:extLst>
        </c:ser>
        <c:ser>
          <c:idx val="6"/>
          <c:order val="6"/>
          <c:tx>
            <c:strRef>
              <c:f>'4'!$N$14</c:f>
              <c:strCache>
                <c:ptCount val="1"/>
                <c:pt idx="0">
                  <c:v>79 %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'4'!$U$46:$Y$46</c:f>
              <c:numCache>
                <c:formatCode>0</c:formatCode>
                <c:ptCount val="5"/>
                <c:pt idx="0">
                  <c:v>68.537613567977743</c:v>
                </c:pt>
                <c:pt idx="1">
                  <c:v>23.627039568187506</c:v>
                </c:pt>
                <c:pt idx="2">
                  <c:v>19.689411265818645</c:v>
                </c:pt>
                <c:pt idx="3">
                  <c:v>18.380430094414937</c:v>
                </c:pt>
                <c:pt idx="4">
                  <c:v>17.518612593053568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4B-405E-816B-696784E1C29A}"/>
            </c:ext>
          </c:extLst>
        </c:ser>
        <c:ser>
          <c:idx val="7"/>
          <c:order val="7"/>
          <c:tx>
            <c:strRef>
              <c:f>'4'!$N$15</c:f>
              <c:strCache>
                <c:ptCount val="1"/>
                <c:pt idx="0">
                  <c:v>121 %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'4'!$C$11:$G$11</c:f>
              <c:numCache>
                <c:formatCode>0</c:formatCode>
                <c:ptCount val="5"/>
                <c:pt idx="0">
                  <c:v>100</c:v>
                </c:pt>
                <c:pt idx="1">
                  <c:v>200</c:v>
                </c:pt>
                <c:pt idx="2" formatCode="General">
                  <c:v>300</c:v>
                </c:pt>
                <c:pt idx="3" formatCode="General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'4'!$U$47:$Y$47</c:f>
              <c:numCache>
                <c:formatCode>0</c:formatCode>
                <c:ptCount val="5"/>
                <c:pt idx="0">
                  <c:v>128.0910646200627</c:v>
                </c:pt>
                <c:pt idx="1">
                  <c:v>67.444523312817267</c:v>
                </c:pt>
                <c:pt idx="2">
                  <c:v>46.148088857521557</c:v>
                </c:pt>
                <c:pt idx="3">
                  <c:v>36.081044088735922</c:v>
                </c:pt>
                <c:pt idx="4">
                  <c:v>35.185070610795663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4B-405E-816B-696784E1C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144840"/>
        <c:axId val="682301456"/>
      </c:scatterChart>
      <c:valAx>
        <c:axId val="50914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2301456"/>
        <c:crosses val="autoZero"/>
        <c:crossBetween val="midCat"/>
      </c:valAx>
      <c:valAx>
        <c:axId val="6823014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4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98357039062381"/>
          <c:y val="3.4083036604280699E-2"/>
          <c:w val="0.21372907969577129"/>
          <c:h val="0.544965381236859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'6'!$G$18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'6'!$G$23:$G$25</c:f>
                <c:numCache>
                  <c:formatCode>General</c:formatCode>
                  <c:ptCount val="3"/>
                  <c:pt idx="0">
                    <c:v>4.9879690524148241</c:v>
                  </c:pt>
                  <c:pt idx="1">
                    <c:v>1.3812767563373105</c:v>
                  </c:pt>
                  <c:pt idx="2">
                    <c:v>4.7104882773362213</c:v>
                  </c:pt>
                </c:numCache>
              </c:numRef>
            </c:plus>
            <c:minus>
              <c:numRef>
                <c:f>'6'!$G$23:$G$25</c:f>
                <c:numCache>
                  <c:formatCode>General</c:formatCode>
                  <c:ptCount val="3"/>
                  <c:pt idx="0">
                    <c:v>4.9879690524148241</c:v>
                  </c:pt>
                  <c:pt idx="1">
                    <c:v>1.3812767563373105</c:v>
                  </c:pt>
                  <c:pt idx="2">
                    <c:v>4.7104882773362213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'6'!$A$23:$A$25</c:f>
              <c:numCache>
                <c:formatCode>0%</c:formatCode>
                <c:ptCount val="3"/>
                <c:pt idx="0">
                  <c:v>0.42156304088312835</c:v>
                </c:pt>
                <c:pt idx="1">
                  <c:v>0.79207161149558847</c:v>
                </c:pt>
                <c:pt idx="2">
                  <c:v>1.2085213566891468</c:v>
                </c:pt>
              </c:numCache>
            </c:numRef>
          </c:xVal>
          <c:yVal>
            <c:numRef>
              <c:f>'6'!$F$23:$F$25</c:f>
              <c:numCache>
                <c:formatCode>0</c:formatCode>
                <c:ptCount val="3"/>
                <c:pt idx="0">
                  <c:v>32.518412703203317</c:v>
                </c:pt>
                <c:pt idx="1">
                  <c:v>29.953590531310123</c:v>
                </c:pt>
                <c:pt idx="2">
                  <c:v>16.71679498287175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81-48A9-8BFD-5F02EA01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20144"/>
        <c:axId val="533920800"/>
      </c:scatterChart>
      <c:valAx>
        <c:axId val="533920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20800"/>
        <c:crosses val="autoZero"/>
        <c:crossBetween val="midCat"/>
      </c:valAx>
      <c:valAx>
        <c:axId val="53392080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92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'8'!$H$28:$H$29</c:f>
              <c:strCache>
                <c:ptCount val="2"/>
                <c:pt idx="0">
                  <c:v>LN(Cs-Co/  Cs-C)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name>2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638012282612329"/>
                  <c:y val="-0.15934412273600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'8'!$B$30:$B$47</c:f>
              <c:numCache>
                <c:formatCode>0.00</c:formatCode>
                <c:ptCount val="18"/>
                <c:pt idx="0">
                  <c:v>0</c:v>
                </c:pt>
                <c:pt idx="1">
                  <c:v>1.0172059999999998</c:v>
                </c:pt>
                <c:pt idx="2">
                  <c:v>2.0344119999999997</c:v>
                </c:pt>
                <c:pt idx="3">
                  <c:v>3.0516179999999995</c:v>
                </c:pt>
                <c:pt idx="4">
                  <c:v>4.0688239999999993</c:v>
                </c:pt>
                <c:pt idx="5">
                  <c:v>5.0860299999999992</c:v>
                </c:pt>
                <c:pt idx="6">
                  <c:v>6.103235999999999</c:v>
                </c:pt>
                <c:pt idx="7">
                  <c:v>7.1204419999999988</c:v>
                </c:pt>
                <c:pt idx="8">
                  <c:v>8.1376479999999987</c:v>
                </c:pt>
                <c:pt idx="9">
                  <c:v>9.1548539999999985</c:v>
                </c:pt>
                <c:pt idx="10">
                  <c:v>10.172059999999998</c:v>
                </c:pt>
                <c:pt idx="11">
                  <c:v>11.189265999999998</c:v>
                </c:pt>
                <c:pt idx="12">
                  <c:v>12.206471999999998</c:v>
                </c:pt>
                <c:pt idx="13">
                  <c:v>13.223677999999998</c:v>
                </c:pt>
                <c:pt idx="14">
                  <c:v>14.240883999999998</c:v>
                </c:pt>
                <c:pt idx="15">
                  <c:v>15.258089999999997</c:v>
                </c:pt>
                <c:pt idx="16">
                  <c:v>16.275295999999997</c:v>
                </c:pt>
                <c:pt idx="17">
                  <c:v>17.292501999999999</c:v>
                </c:pt>
              </c:numCache>
            </c:numRef>
          </c:xVal>
          <c:yVal>
            <c:numRef>
              <c:f>'8'!$H$30:$H$47</c:f>
              <c:numCache>
                <c:formatCode>0.00</c:formatCode>
                <c:ptCount val="18"/>
                <c:pt idx="0">
                  <c:v>0</c:v>
                </c:pt>
                <c:pt idx="1">
                  <c:v>3.0045090202987222E-3</c:v>
                </c:pt>
                <c:pt idx="2">
                  <c:v>1.6129381929883717E-2</c:v>
                </c:pt>
                <c:pt idx="3">
                  <c:v>4.5520515301809436E-2</c:v>
                </c:pt>
                <c:pt idx="4">
                  <c:v>9.1567193525490434E-2</c:v>
                </c:pt>
                <c:pt idx="5">
                  <c:v>0.14618251017808145</c:v>
                </c:pt>
                <c:pt idx="6">
                  <c:v>0.2113385058644473</c:v>
                </c:pt>
                <c:pt idx="7">
                  <c:v>0.28834896143948446</c:v>
                </c:pt>
                <c:pt idx="8">
                  <c:v>0.37469344944141059</c:v>
                </c:pt>
                <c:pt idx="9">
                  <c:v>0.46840490788203859</c:v>
                </c:pt>
                <c:pt idx="10">
                  <c:v>0.56739597525438501</c:v>
                </c:pt>
                <c:pt idx="11">
                  <c:v>0.67727383140365527</c:v>
                </c:pt>
                <c:pt idx="12">
                  <c:v>0.79186315349910308</c:v>
                </c:pt>
                <c:pt idx="13">
                  <c:v>0.91629073187415511</c:v>
                </c:pt>
                <c:pt idx="14">
                  <c:v>1.0526833567797098</c:v>
                </c:pt>
                <c:pt idx="15">
                  <c:v>1.195674001511241</c:v>
                </c:pt>
                <c:pt idx="16">
                  <c:v>1.3567355588783463</c:v>
                </c:pt>
                <c:pt idx="17">
                  <c:v>1.5301647315395925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C9-4073-9C5C-F815E6F48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226536"/>
        <c:axId val="644226864"/>
      </c:scatterChart>
      <c:valAx>
        <c:axId val="644226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_ ;\-0\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226864"/>
        <c:crosses val="autoZero"/>
        <c:crossBetween val="midCat"/>
      </c:valAx>
      <c:valAx>
        <c:axId val="64422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ln(Cs-Co)/Cs-C)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226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2 L (Rep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'9'!$I$10:$I$11</c:f>
              <c:strCache>
                <c:ptCount val="2"/>
                <c:pt idx="0">
                  <c:v>T   (oC)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'9'!$G$14:$G$35</c:f>
              <c:numCache>
                <c:formatCode>0.0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numCache>
            </c:numRef>
          </c:xVal>
          <c:yVal>
            <c:numRef>
              <c:f>'9'!$I$14:$I$35</c:f>
              <c:numCache>
                <c:formatCode>0.0</c:formatCode>
                <c:ptCount val="22"/>
                <c:pt idx="0">
                  <c:v>45</c:v>
                </c:pt>
                <c:pt idx="1">
                  <c:v>43</c:v>
                </c:pt>
                <c:pt idx="2">
                  <c:v>41.5</c:v>
                </c:pt>
                <c:pt idx="3">
                  <c:v>39.5</c:v>
                </c:pt>
                <c:pt idx="4">
                  <c:v>38.5</c:v>
                </c:pt>
                <c:pt idx="5">
                  <c:v>37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32</c:v>
                </c:pt>
                <c:pt idx="11">
                  <c:v>31.5</c:v>
                </c:pt>
                <c:pt idx="12">
                  <c:v>31</c:v>
                </c:pt>
                <c:pt idx="13">
                  <c:v>30.5</c:v>
                </c:pt>
                <c:pt idx="14">
                  <c:v>30</c:v>
                </c:pt>
                <c:pt idx="15">
                  <c:v>29.5</c:v>
                </c:pt>
                <c:pt idx="16">
                  <c:v>29</c:v>
                </c:pt>
                <c:pt idx="17">
                  <c:v>28.5</c:v>
                </c:pt>
                <c:pt idx="18">
                  <c:v>28</c:v>
                </c:pt>
                <c:pt idx="19">
                  <c:v>28</c:v>
                </c:pt>
                <c:pt idx="20">
                  <c:v>27.5</c:v>
                </c:pt>
                <c:pt idx="21">
                  <c:v>27.5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11-43F4-B027-AD4C1A1968DF}"/>
            </c:ext>
          </c:extLst>
        </c:ser>
        <c:ser>
          <c:idx val="1"/>
          <c:order val="1"/>
          <c:tx>
            <c:strRef>
              <c:f>'9'!$J$10:$J$11</c:f>
              <c:strCache>
                <c:ptCount val="2"/>
                <c:pt idx="0">
                  <c:v>Predicted Temp.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'9'!$G$14:$G$35</c:f>
              <c:numCache>
                <c:formatCode>0.0</c:formatCod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numCache>
            </c:numRef>
          </c:xVal>
          <c:yVal>
            <c:numRef>
              <c:f>'9'!$J$14:$J$35</c:f>
              <c:numCache>
                <c:formatCode>0.0</c:formatCode>
                <c:ptCount val="22"/>
                <c:pt idx="0">
                  <c:v>44.81576000686762</c:v>
                </c:pt>
                <c:pt idx="1">
                  <c:v>42.9960521396319</c:v>
                </c:pt>
                <c:pt idx="2">
                  <c:v>41.33677134586528</c:v>
                </c:pt>
                <c:pt idx="3">
                  <c:v>39.823774231254149</c:v>
                </c:pt>
                <c:pt idx="4">
                  <c:v>38.444164295780169</c:v>
                </c:pt>
                <c:pt idx="5">
                  <c:v>37.186182006403676</c:v>
                </c:pt>
                <c:pt idx="6">
                  <c:v>36.039104561037767</c:v>
                </c:pt>
                <c:pt idx="7">
                  <c:v>34.993154489420043</c:v>
                </c:pt>
                <c:pt idx="8">
                  <c:v>34.039416311813255</c:v>
                </c:pt>
                <c:pt idx="9">
                  <c:v>33.169760545149508</c:v>
                </c:pt>
                <c:pt idx="10">
                  <c:v>32.376774408860726</c:v>
                </c:pt>
                <c:pt idx="11">
                  <c:v>31.653698639745123</c:v>
                </c:pt>
                <c:pt idx="12">
                  <c:v>30.99436987729155</c:v>
                </c:pt>
                <c:pt idx="13">
                  <c:v>30.393168128365215</c:v>
                </c:pt>
                <c:pt idx="14">
                  <c:v>29.844968863453662</c:v>
                </c:pt>
                <c:pt idx="15">
                  <c:v>29.345099336150636</c:v>
                </c:pt>
                <c:pt idx="16">
                  <c:v>28.889298753553234</c:v>
                </c:pt>
                <c:pt idx="17">
                  <c:v>28.473681958072543</c:v>
                </c:pt>
                <c:pt idx="18">
                  <c:v>28.094706311088316</c:v>
                </c:pt>
                <c:pt idx="19">
                  <c:v>27.749141496170274</c:v>
                </c:pt>
                <c:pt idx="20">
                  <c:v>27.434041984474451</c:v>
                </c:pt>
                <c:pt idx="21">
                  <c:v>27.146721927614802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11-43F4-B027-AD4C1A19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365592"/>
        <c:axId val="637365920"/>
      </c:scatterChart>
      <c:valAx>
        <c:axId val="637365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365920"/>
        <c:crosses val="autoZero"/>
        <c:crossBetween val="midCat"/>
      </c:valAx>
      <c:valAx>
        <c:axId val="637365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Temp.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365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2 L (Rep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'9'!$C$10:$C$11</c:f>
              <c:strCache>
                <c:ptCount val="2"/>
                <c:pt idx="0">
                  <c:v>T   (oC)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'9'!$A$12:$A$35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'9'!$C$12:$C$35</c:f>
              <c:numCache>
                <c:formatCode>0.0</c:formatCode>
                <c:ptCount val="24"/>
                <c:pt idx="0">
                  <c:v>55</c:v>
                </c:pt>
                <c:pt idx="1">
                  <c:v>52.5</c:v>
                </c:pt>
                <c:pt idx="2">
                  <c:v>49.5</c:v>
                </c:pt>
                <c:pt idx="3">
                  <c:v>47.5</c:v>
                </c:pt>
                <c:pt idx="4">
                  <c:v>45.5</c:v>
                </c:pt>
                <c:pt idx="5">
                  <c:v>43.5</c:v>
                </c:pt>
                <c:pt idx="6">
                  <c:v>42</c:v>
                </c:pt>
                <c:pt idx="7">
                  <c:v>40.5</c:v>
                </c:pt>
                <c:pt idx="8">
                  <c:v>39</c:v>
                </c:pt>
                <c:pt idx="9">
                  <c:v>38</c:v>
                </c:pt>
                <c:pt idx="10">
                  <c:v>36.5</c:v>
                </c:pt>
                <c:pt idx="11">
                  <c:v>35.5</c:v>
                </c:pt>
                <c:pt idx="12">
                  <c:v>34.5</c:v>
                </c:pt>
                <c:pt idx="13">
                  <c:v>34</c:v>
                </c:pt>
                <c:pt idx="14">
                  <c:v>33</c:v>
                </c:pt>
                <c:pt idx="15">
                  <c:v>32</c:v>
                </c:pt>
                <c:pt idx="16">
                  <c:v>31.5</c:v>
                </c:pt>
                <c:pt idx="17">
                  <c:v>31</c:v>
                </c:pt>
                <c:pt idx="18">
                  <c:v>30.5</c:v>
                </c:pt>
                <c:pt idx="19">
                  <c:v>30</c:v>
                </c:pt>
                <c:pt idx="20">
                  <c:v>29.5</c:v>
                </c:pt>
                <c:pt idx="21">
                  <c:v>29</c:v>
                </c:pt>
                <c:pt idx="22">
                  <c:v>28.5</c:v>
                </c:pt>
                <c:pt idx="23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3E-4914-B6D3-12EDAEADBBB3}"/>
            </c:ext>
          </c:extLst>
        </c:ser>
        <c:ser>
          <c:idx val="1"/>
          <c:order val="1"/>
          <c:tx>
            <c:strRef>
              <c:f>'9'!$D$10:$D$11</c:f>
              <c:strCache>
                <c:ptCount val="2"/>
                <c:pt idx="0">
                  <c:v>Predicted Temp.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'9'!$A$12:$A$35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'9'!$D$12:$D$35</c:f>
              <c:numCache>
                <c:formatCode>0.0</c:formatCode>
                <c:ptCount val="24"/>
                <c:pt idx="0">
                  <c:v>55</c:v>
                </c:pt>
                <c:pt idx="1">
                  <c:v>52.343326504066788</c:v>
                </c:pt>
                <c:pt idx="2">
                  <c:v>49.915546439742855</c:v>
                </c:pt>
                <c:pt idx="3">
                  <c:v>47.696938827723059</c:v>
                </c:pt>
                <c:pt idx="4">
                  <c:v>45.669481807030003</c:v>
                </c:pt>
                <c:pt idx="5">
                  <c:v>43.816706242532888</c:v>
                </c:pt>
                <c:pt idx="6">
                  <c:v>42.123561945336313</c:v>
                </c:pt>
                <c:pt idx="7">
                  <c:v>40.57629541934056</c:v>
                </c:pt>
                <c:pt idx="8">
                  <c:v>39.16233814090252</c:v>
                </c:pt>
                <c:pt idx="9">
                  <c:v>37.870204464087344</c:v>
                </c:pt>
                <c:pt idx="10">
                  <c:v>36.689398322190144</c:v>
                </c:pt>
                <c:pt idx="11">
                  <c:v>35.61032796765933</c:v>
                </c:pt>
                <c:pt idx="12">
                  <c:v>34.624228057849891</c:v>
                </c:pt>
                <c:pt idx="13">
                  <c:v>33.723088453705195</c:v>
                </c:pt>
                <c:pt idx="14">
                  <c:v>32.899589152995404</c:v>
                </c:pt>
                <c:pt idx="15">
                  <c:v>32.147040829571999</c:v>
                </c:pt>
                <c:pt idx="16">
                  <c:v>31.459330495635783</c:v>
                </c:pt>
                <c:pt idx="17">
                  <c:v>30.830871845630163</c:v>
                </c:pt>
                <c:pt idx="18">
                  <c:v>30.256559878400779</c:v>
                </c:pt>
                <c:pt idx="19">
                  <c:v>29.731729429014912</c:v>
                </c:pt>
                <c:pt idx="20">
                  <c:v>29.252117273392606</c:v>
                </c:pt>
                <c:pt idx="21">
                  <c:v>28.813827497923516</c:v>
                </c:pt>
                <c:pt idx="22">
                  <c:v>28.413299852765114</c:v>
                </c:pt>
                <c:pt idx="23">
                  <c:v>28.047280831754556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E-4914-B6D3-12EDAEADB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279216"/>
        <c:axId val="745279544"/>
      </c:scatterChart>
      <c:valAx>
        <c:axId val="745279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279544"/>
        <c:crosses val="autoZero"/>
        <c:crossBetween val="midCat"/>
      </c:valAx>
      <c:valAx>
        <c:axId val="745279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(k)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5279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3 L (Rep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'9'!$U$10:$U$11</c:f>
              <c:strCache>
                <c:ptCount val="2"/>
                <c:pt idx="0">
                  <c:v>T   (oC)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'9'!$S$12:$S$39</c:f>
              <c:numCache>
                <c:formatCode>0.0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'9'!$U$12:$U$39</c:f>
              <c:numCache>
                <c:formatCode>General</c:formatCode>
                <c:ptCount val="28"/>
                <c:pt idx="0">
                  <c:v>52.5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43</c:v>
                </c:pt>
                <c:pt idx="5">
                  <c:v>41.5</c:v>
                </c:pt>
                <c:pt idx="6">
                  <c:v>40</c:v>
                </c:pt>
                <c:pt idx="7">
                  <c:v>39</c:v>
                </c:pt>
                <c:pt idx="8">
                  <c:v>38</c:v>
                </c:pt>
                <c:pt idx="9">
                  <c:v>37</c:v>
                </c:pt>
                <c:pt idx="10">
                  <c:v>36.5</c:v>
                </c:pt>
                <c:pt idx="11">
                  <c:v>35.5</c:v>
                </c:pt>
                <c:pt idx="12">
                  <c:v>34.5</c:v>
                </c:pt>
                <c:pt idx="13">
                  <c:v>34</c:v>
                </c:pt>
                <c:pt idx="14">
                  <c:v>33.5</c:v>
                </c:pt>
                <c:pt idx="15">
                  <c:v>32.5</c:v>
                </c:pt>
                <c:pt idx="16">
                  <c:v>32</c:v>
                </c:pt>
                <c:pt idx="17">
                  <c:v>31.5</c:v>
                </c:pt>
                <c:pt idx="18">
                  <c:v>31</c:v>
                </c:pt>
                <c:pt idx="19">
                  <c:v>30.5</c:v>
                </c:pt>
                <c:pt idx="20">
                  <c:v>30</c:v>
                </c:pt>
                <c:pt idx="21">
                  <c:v>29.5</c:v>
                </c:pt>
                <c:pt idx="22">
                  <c:v>29.5</c:v>
                </c:pt>
                <c:pt idx="23">
                  <c:v>29</c:v>
                </c:pt>
                <c:pt idx="24">
                  <c:v>28.5</c:v>
                </c:pt>
                <c:pt idx="25">
                  <c:v>28.5</c:v>
                </c:pt>
                <c:pt idx="26">
                  <c:v>28</c:v>
                </c:pt>
                <c:pt idx="2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D-4063-ACDB-0F8ABAFD6C4A}"/>
            </c:ext>
          </c:extLst>
        </c:ser>
        <c:ser>
          <c:idx val="1"/>
          <c:order val="1"/>
          <c:tx>
            <c:strRef>
              <c:f>'9'!$V$10:$V$11</c:f>
              <c:strCache>
                <c:ptCount val="2"/>
                <c:pt idx="0">
                  <c:v>Predicted Temp.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'9'!$S$12:$S$39</c:f>
              <c:numCache>
                <c:formatCode>0.0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'9'!$V$12:$V$39</c:f>
              <c:numCache>
                <c:formatCode>0.0</c:formatCode>
                <c:ptCount val="28"/>
                <c:pt idx="0">
                  <c:v>52.5</c:v>
                </c:pt>
                <c:pt idx="1">
                  <c:v>50.301106895532229</c:v>
                </c:pt>
                <c:pt idx="2">
                  <c:v>48.267396398161246</c:v>
                </c:pt>
                <c:pt idx="3">
                  <c:v>46.386459858447992</c:v>
                </c:pt>
                <c:pt idx="4">
                  <c:v>44.646820774614781</c:v>
                </c:pt>
                <c:pt idx="5">
                  <c:v>43.037864768868062</c:v>
                </c:pt>
                <c:pt idx="6">
                  <c:v>41.5497748239559</c:v>
                </c:pt>
                <c:pt idx="7">
                  <c:v>40.173471384806859</c:v>
                </c:pt>
                <c:pt idx="8">
                  <c:v>38.900556959781795</c:v>
                </c:pt>
                <c:pt idx="9">
                  <c:v>37.723264883523719</c:v>
                </c:pt>
                <c:pt idx="10">
                  <c:v>36.63441192878345</c:v>
                </c:pt>
                <c:pt idx="11">
                  <c:v>35.627354478082736</c:v>
                </c:pt>
                <c:pt idx="12">
                  <c:v>34.695947987797055</c:v>
                </c:pt>
                <c:pt idx="13">
                  <c:v>33.834509497328945</c:v>
                </c:pt>
                <c:pt idx="14">
                  <c:v>33.037782954622152</c:v>
                </c:pt>
                <c:pt idx="15">
                  <c:v>32.300907146450896</c:v>
                </c:pt>
                <c:pt idx="16">
                  <c:v>31.619386037811395</c:v>
                </c:pt>
                <c:pt idx="17">
                  <c:v>30.989061339442063</c:v>
                </c:pt>
                <c:pt idx="18">
                  <c:v>30.406087136093426</c:v>
                </c:pt>
                <c:pt idx="19">
                  <c:v>29.866906420742744</c:v>
                </c:pt>
                <c:pt idx="20">
                  <c:v>29.36822939157716</c:v>
                </c:pt>
                <c:pt idx="21">
                  <c:v>28.907013379324805</c:v>
                </c:pt>
                <c:pt idx="22">
                  <c:v>28.480444282460848</c:v>
                </c:pt>
                <c:pt idx="23">
                  <c:v>28.08591939701569</c:v>
                </c:pt>
                <c:pt idx="24">
                  <c:v>27.721031536221702</c:v>
                </c:pt>
                <c:pt idx="25">
                  <c:v>27.383554343104763</c:v>
                </c:pt>
                <c:pt idx="26">
                  <c:v>27.071428706405683</c:v>
                </c:pt>
                <c:pt idx="27">
                  <c:v>26.782750196948463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D-4063-ACDB-0F8ABAFD6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013072"/>
        <c:axId val="672003560"/>
      </c:scatterChart>
      <c:valAx>
        <c:axId val="67201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003560"/>
        <c:crosses val="autoZero"/>
        <c:crossBetween val="midCat"/>
      </c:valAx>
      <c:valAx>
        <c:axId val="672003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013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3 L (Rep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'9'!$O$10:$O$11</c:f>
              <c:strCache>
                <c:ptCount val="2"/>
                <c:pt idx="0">
                  <c:v>T   (oC)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'9'!$M$12:$M$84</c:f>
              <c:numCache>
                <c:formatCode>General</c:formatCod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xVal>
          <c:yVal>
            <c:numRef>
              <c:f>'9'!$O$12:$O$84</c:f>
              <c:numCache>
                <c:formatCode>0.0</c:formatCode>
                <c:ptCount val="73"/>
                <c:pt idx="0">
                  <c:v>50</c:v>
                </c:pt>
                <c:pt idx="1">
                  <c:v>47.5</c:v>
                </c:pt>
                <c:pt idx="2">
                  <c:v>46</c:v>
                </c:pt>
                <c:pt idx="3">
                  <c:v>44.5</c:v>
                </c:pt>
                <c:pt idx="4">
                  <c:v>43</c:v>
                </c:pt>
                <c:pt idx="5">
                  <c:v>41.5</c:v>
                </c:pt>
                <c:pt idx="6">
                  <c:v>40.5</c:v>
                </c:pt>
                <c:pt idx="7">
                  <c:v>39</c:v>
                </c:pt>
                <c:pt idx="8">
                  <c:v>38</c:v>
                </c:pt>
                <c:pt idx="9">
                  <c:v>37</c:v>
                </c:pt>
                <c:pt idx="10">
                  <c:v>36</c:v>
                </c:pt>
                <c:pt idx="11">
                  <c:v>35.5</c:v>
                </c:pt>
                <c:pt idx="12">
                  <c:v>34.5</c:v>
                </c:pt>
                <c:pt idx="13">
                  <c:v>34</c:v>
                </c:pt>
                <c:pt idx="14">
                  <c:v>33</c:v>
                </c:pt>
                <c:pt idx="15">
                  <c:v>32.5</c:v>
                </c:pt>
                <c:pt idx="16">
                  <c:v>32</c:v>
                </c:pt>
                <c:pt idx="17">
                  <c:v>31.5</c:v>
                </c:pt>
                <c:pt idx="18">
                  <c:v>31</c:v>
                </c:pt>
                <c:pt idx="19">
                  <c:v>30.5</c:v>
                </c:pt>
                <c:pt idx="20">
                  <c:v>30</c:v>
                </c:pt>
                <c:pt idx="21">
                  <c:v>30</c:v>
                </c:pt>
                <c:pt idx="22">
                  <c:v>29.5</c:v>
                </c:pt>
                <c:pt idx="23">
                  <c:v>29</c:v>
                </c:pt>
                <c:pt idx="24">
                  <c:v>29</c:v>
                </c:pt>
                <c:pt idx="25">
                  <c:v>28.5</c:v>
                </c:pt>
                <c:pt idx="26">
                  <c:v>28.5</c:v>
                </c:pt>
                <c:pt idx="27">
                  <c:v>28.5</c:v>
                </c:pt>
                <c:pt idx="28">
                  <c:v>28</c:v>
                </c:pt>
                <c:pt idx="29">
                  <c:v>28</c:v>
                </c:pt>
                <c:pt idx="30">
                  <c:v>27.5</c:v>
                </c:pt>
                <c:pt idx="31">
                  <c:v>27.5</c:v>
                </c:pt>
                <c:pt idx="32">
                  <c:v>27.5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26.5</c:v>
                </c:pt>
                <c:pt idx="38">
                  <c:v>26.5</c:v>
                </c:pt>
                <c:pt idx="39">
                  <c:v>26.5</c:v>
                </c:pt>
                <c:pt idx="40">
                  <c:v>26</c:v>
                </c:pt>
                <c:pt idx="41">
                  <c:v>26</c:v>
                </c:pt>
                <c:pt idx="42">
                  <c:v>26</c:v>
                </c:pt>
                <c:pt idx="43">
                  <c:v>26</c:v>
                </c:pt>
                <c:pt idx="44">
                  <c:v>26</c:v>
                </c:pt>
                <c:pt idx="45">
                  <c:v>25.5</c:v>
                </c:pt>
                <c:pt idx="46">
                  <c:v>25.5</c:v>
                </c:pt>
                <c:pt idx="47">
                  <c:v>25.5</c:v>
                </c:pt>
                <c:pt idx="48">
                  <c:v>25.5</c:v>
                </c:pt>
                <c:pt idx="49">
                  <c:v>25.5</c:v>
                </c:pt>
                <c:pt idx="50">
                  <c:v>25.5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24.5</c:v>
                </c:pt>
                <c:pt idx="62">
                  <c:v>24.5</c:v>
                </c:pt>
                <c:pt idx="63">
                  <c:v>24.5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24.5</c:v>
                </c:pt>
                <c:pt idx="70">
                  <c:v>24.5</c:v>
                </c:pt>
                <c:pt idx="71">
                  <c:v>24.5</c:v>
                </c:pt>
                <c:pt idx="72">
                  <c:v>24.5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59-4283-8747-4B491817DF19}"/>
            </c:ext>
          </c:extLst>
        </c:ser>
        <c:ser>
          <c:idx val="1"/>
          <c:order val="1"/>
          <c:tx>
            <c:strRef>
              <c:f>'9'!$P$10:$P$11</c:f>
              <c:strCache>
                <c:ptCount val="2"/>
                <c:pt idx="0">
                  <c:v>Predicted Temp.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'9'!$M$12:$M$84</c:f>
              <c:numCache>
                <c:formatCode>General</c:formatCod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xVal>
          <c:yVal>
            <c:numRef>
              <c:f>'9'!$P$12:$P$84</c:f>
              <c:numCache>
                <c:formatCode>0.0</c:formatCode>
                <c:ptCount val="73"/>
                <c:pt idx="0">
                  <c:v>50</c:v>
                </c:pt>
                <c:pt idx="1">
                  <c:v>48.281832286835424</c:v>
                </c:pt>
                <c:pt idx="2">
                  <c:v>46.67555622538994</c:v>
                </c:pt>
                <c:pt idx="3">
                  <c:v>45.173885133677558</c:v>
                </c:pt>
                <c:pt idx="4">
                  <c:v>43.770006857825415</c:v>
                </c:pt>
                <c:pt idx="5">
                  <c:v>42.45755286954082</c:v>
                </c:pt>
                <c:pt idx="6">
                  <c:v>41.230569376033472</c:v>
                </c:pt>
                <c:pt idx="7">
                  <c:v>40.083490311336362</c:v>
                </c:pt>
                <c:pt idx="8">
                  <c:v>39.01111208650368</c:v>
                </c:pt>
                <c:pt idx="9">
                  <c:v>38.008569984143065</c:v>
                </c:pt>
                <c:pt idx="10">
                  <c:v>37.07131609019865</c:v>
                </c:pt>
                <c:pt idx="11">
                  <c:v>36.195098662875068</c:v>
                </c:pt>
                <c:pt idx="12">
                  <c:v>35.375942845112135</c:v>
                </c:pt>
                <c:pt idx="13">
                  <c:v>34.61013263311429</c:v>
                </c:pt>
                <c:pt idx="14">
                  <c:v>33.894194019137558</c:v>
                </c:pt>
                <c:pt idx="15">
                  <c:v>33.224879232062904</c:v>
                </c:pt>
                <c:pt idx="16">
                  <c:v>32.599152004265484</c:v>
                </c:pt>
                <c:pt idx="17">
                  <c:v>32.014173797944501</c:v>
                </c:pt>
                <c:pt idx="18">
                  <c:v>31.467290928431105</c:v>
                </c:pt>
                <c:pt idx="19">
                  <c:v>30.956022526060746</c:v>
                </c:pt>
                <c:pt idx="20">
                  <c:v>30.47804928200042</c:v>
                </c:pt>
                <c:pt idx="21">
                  <c:v>30.031202926977564</c:v>
                </c:pt>
                <c:pt idx="22">
                  <c:v>29.613456395182133</c:v>
                </c:pt>
                <c:pt idx="23">
                  <c:v>29.222914628721529</c:v>
                </c:pt>
                <c:pt idx="24">
                  <c:v>28.857805980913867</c:v>
                </c:pt>
                <c:pt idx="25">
                  <c:v>28.516474179421678</c:v>
                </c:pt>
                <c:pt idx="26">
                  <c:v>28.197370812767709</c:v>
                </c:pt>
                <c:pt idx="27">
                  <c:v>27.899048306148803</c:v>
                </c:pt>
                <c:pt idx="28">
                  <c:v>27.620153354683453</c:v>
                </c:pt>
                <c:pt idx="29">
                  <c:v>27.359420784303765</c:v>
                </c:pt>
                <c:pt idx="30">
                  <c:v>27.115667812442439</c:v>
                </c:pt>
                <c:pt idx="31">
                  <c:v>26.887788682479101</c:v>
                </c:pt>
                <c:pt idx="32">
                  <c:v>26.674749647605747</c:v>
                </c:pt>
                <c:pt idx="33">
                  <c:v>26.475584281356234</c:v>
                </c:pt>
                <c:pt idx="34">
                  <c:v>26.289389093526523</c:v>
                </c:pt>
                <c:pt idx="35">
                  <c:v>26.115319431597914</c:v>
                </c:pt>
                <c:pt idx="36">
                  <c:v>25.952585649070453</c:v>
                </c:pt>
                <c:pt idx="37">
                  <c:v>25.800449523324676</c:v>
                </c:pt>
                <c:pt idx="38">
                  <c:v>25.658220906761741</c:v>
                </c:pt>
                <c:pt idx="39">
                  <c:v>25.525254596030191</c:v>
                </c:pt>
                <c:pt idx="40">
                  <c:v>25.400947405137035</c:v>
                </c:pt>
                <c:pt idx="41">
                  <c:v>25.284735429165579</c:v>
                </c:pt>
                <c:pt idx="42">
                  <c:v>25.176091486187271</c:v>
                </c:pt>
                <c:pt idx="43">
                  <c:v>25.074522725763011</c:v>
                </c:pt>
                <c:pt idx="44">
                  <c:v>24.979568393185264</c:v>
                </c:pt>
                <c:pt idx="45">
                  <c:v>24.890797739318625</c:v>
                </c:pt>
                <c:pt idx="46">
                  <c:v>24.807808066557154</c:v>
                </c:pt>
                <c:pt idx="47">
                  <c:v>24.730222902034178</c:v>
                </c:pt>
                <c:pt idx="48">
                  <c:v>24.65769028979749</c:v>
                </c:pt>
                <c:pt idx="49">
                  <c:v>24.589881194202672</c:v>
                </c:pt>
                <c:pt idx="50">
                  <c:v>24.526488007281699</c:v>
                </c:pt>
                <c:pt idx="51">
                  <c:v>24.46722315331564</c:v>
                </c:pt>
                <c:pt idx="52">
                  <c:v>24.411817784281315</c:v>
                </c:pt>
                <c:pt idx="53">
                  <c:v>24.36002056025394</c:v>
                </c:pt>
                <c:pt idx="54">
                  <c:v>24.31159650923318</c:v>
                </c:pt>
                <c:pt idx="55">
                  <c:v>24.266325961220382</c:v>
                </c:pt>
                <c:pt idx="56">
                  <c:v>24.224003551711508</c:v>
                </c:pt>
                <c:pt idx="57">
                  <c:v>24.184437290085285</c:v>
                </c:pt>
                <c:pt idx="58">
                  <c:v>24.147447688660382</c:v>
                </c:pt>
                <c:pt idx="59">
                  <c:v>24.11286694847071</c:v>
                </c:pt>
                <c:pt idx="60">
                  <c:v>24.080538198065181</c:v>
                </c:pt>
                <c:pt idx="61">
                  <c:v>24.050314781878875</c:v>
                </c:pt>
                <c:pt idx="62">
                  <c:v>24.022059594947351</c:v>
                </c:pt>
                <c:pt idx="63">
                  <c:v>23.995644460946156</c:v>
                </c:pt>
                <c:pt idx="64">
                  <c:v>23.970949550734019</c:v>
                </c:pt>
                <c:pt idx="65">
                  <c:v>23.947862838762084</c:v>
                </c:pt>
                <c:pt idx="66">
                  <c:v>23.926279594883233</c:v>
                </c:pt>
                <c:pt idx="67">
                  <c:v>23.90610190925609</c:v>
                </c:pt>
                <c:pt idx="68">
                  <c:v>23.887238248188595</c:v>
                </c:pt>
                <c:pt idx="69">
                  <c:v>23.869603038906185</c:v>
                </c:pt>
                <c:pt idx="70">
                  <c:v>23.853116281360993</c:v>
                </c:pt>
                <c:pt idx="71">
                  <c:v>23.837703185321072</c:v>
                </c:pt>
                <c:pt idx="72">
                  <c:v>23.823293831093316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59-4283-8747-4B491817D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527072"/>
        <c:axId val="704523792"/>
      </c:scatterChart>
      <c:valAx>
        <c:axId val="70452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523792"/>
        <c:crosses val="autoZero"/>
        <c:crossBetween val="midCat"/>
      </c:valAx>
      <c:valAx>
        <c:axId val="704523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527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 for 3 L @ 200 rpm (Rep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'10'!$C$11</c:f>
              <c:strCache>
                <c:ptCount val="1"/>
                <c:pt idx="0">
                  <c:v>Temperature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'10'!$A$12:$A$51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'10'!$C$12:$C$51</c:f>
              <c:numCache>
                <c:formatCode>General</c:formatCode>
                <c:ptCount val="40"/>
                <c:pt idx="0">
                  <c:v>50</c:v>
                </c:pt>
                <c:pt idx="1">
                  <c:v>48</c:v>
                </c:pt>
                <c:pt idx="2">
                  <c:v>46.5</c:v>
                </c:pt>
                <c:pt idx="3">
                  <c:v>45</c:v>
                </c:pt>
                <c:pt idx="4">
                  <c:v>43.5</c:v>
                </c:pt>
                <c:pt idx="5">
                  <c:v>42</c:v>
                </c:pt>
                <c:pt idx="6">
                  <c:v>41</c:v>
                </c:pt>
                <c:pt idx="7">
                  <c:v>39.5</c:v>
                </c:pt>
                <c:pt idx="8">
                  <c:v>38.5</c:v>
                </c:pt>
                <c:pt idx="9">
                  <c:v>37.5</c:v>
                </c:pt>
                <c:pt idx="10">
                  <c:v>36.5</c:v>
                </c:pt>
                <c:pt idx="11">
                  <c:v>36</c:v>
                </c:pt>
                <c:pt idx="12">
                  <c:v>35</c:v>
                </c:pt>
                <c:pt idx="13">
                  <c:v>34</c:v>
                </c:pt>
                <c:pt idx="14">
                  <c:v>33.5</c:v>
                </c:pt>
                <c:pt idx="15">
                  <c:v>33</c:v>
                </c:pt>
                <c:pt idx="16">
                  <c:v>32</c:v>
                </c:pt>
                <c:pt idx="17">
                  <c:v>31.5</c:v>
                </c:pt>
                <c:pt idx="18">
                  <c:v>31</c:v>
                </c:pt>
                <c:pt idx="19">
                  <c:v>30.5</c:v>
                </c:pt>
                <c:pt idx="20">
                  <c:v>30</c:v>
                </c:pt>
                <c:pt idx="21">
                  <c:v>29.5</c:v>
                </c:pt>
                <c:pt idx="22">
                  <c:v>29</c:v>
                </c:pt>
                <c:pt idx="23">
                  <c:v>29</c:v>
                </c:pt>
                <c:pt idx="24">
                  <c:v>28.5</c:v>
                </c:pt>
                <c:pt idx="25">
                  <c:v>28</c:v>
                </c:pt>
                <c:pt idx="26">
                  <c:v>28</c:v>
                </c:pt>
                <c:pt idx="27">
                  <c:v>27.5</c:v>
                </c:pt>
                <c:pt idx="28">
                  <c:v>27</c:v>
                </c:pt>
                <c:pt idx="29">
                  <c:v>27</c:v>
                </c:pt>
                <c:pt idx="30">
                  <c:v>26.5</c:v>
                </c:pt>
                <c:pt idx="31">
                  <c:v>26.5</c:v>
                </c:pt>
                <c:pt idx="32">
                  <c:v>26.5</c:v>
                </c:pt>
                <c:pt idx="33">
                  <c:v>26</c:v>
                </c:pt>
                <c:pt idx="34">
                  <c:v>26</c:v>
                </c:pt>
                <c:pt idx="35">
                  <c:v>25.5</c:v>
                </c:pt>
                <c:pt idx="36">
                  <c:v>25.5</c:v>
                </c:pt>
                <c:pt idx="37">
                  <c:v>25.5</c:v>
                </c:pt>
                <c:pt idx="38">
                  <c:v>25</c:v>
                </c:pt>
                <c:pt idx="3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CD-428B-9458-58DDE38330C3}"/>
            </c:ext>
          </c:extLst>
        </c:ser>
        <c:ser>
          <c:idx val="1"/>
          <c:order val="1"/>
          <c:tx>
            <c:strRef>
              <c:f>'10'!$F$11</c:f>
              <c:strCache>
                <c:ptCount val="1"/>
                <c:pt idx="0">
                  <c:v>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'10'!$A$12:$A$51</c:f>
              <c:numCache>
                <c:formatCode>General</c:formatCod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'10'!$F$12:$F$51</c:f>
              <c:numCache>
                <c:formatCode>0.0</c:formatCode>
                <c:ptCount val="40"/>
                <c:pt idx="0">
                  <c:v>50</c:v>
                </c:pt>
                <c:pt idx="1">
                  <c:v>48.1620289432609</c:v>
                </c:pt>
                <c:pt idx="2">
                  <c:v>46.452845478706671</c:v>
                </c:pt>
                <c:pt idx="3">
                  <c:v>44.863425392468464</c:v>
                </c:pt>
                <c:pt idx="4">
                  <c:v>43.38537680205787</c:v>
                </c:pt>
                <c:pt idx="5">
                  <c:v>42.010895848576745</c:v>
                </c:pt>
                <c:pt idx="6">
                  <c:v>40.732725493597037</c:v>
                </c:pt>
                <c:pt idx="7">
                  <c:v>39.544117203164724</c:v>
                </c:pt>
                <c:pt idx="8">
                  <c:v>38.438795316625708</c:v>
                </c:pt>
                <c:pt idx="9">
                  <c:v>37.4109239121466</c:v>
                </c:pt>
                <c:pt idx="10">
                  <c:v>36.455075993985837</c:v>
                </c:pt>
                <c:pt idx="11">
                  <c:v>35.566204838828753</c:v>
                </c:pt>
                <c:pt idx="12">
                  <c:v>34.739617349900008</c:v>
                </c:pt>
                <c:pt idx="13">
                  <c:v>33.970949278167161</c:v>
                </c:pt>
                <c:pt idx="14">
                  <c:v>33.25614217980759</c:v>
                </c:pt>
                <c:pt idx="15">
                  <c:v>32.591421988277617</c:v>
                </c:pt>
                <c:pt idx="16">
                  <c:v>31.973279087848027</c:v>
                </c:pt>
                <c:pt idx="17">
                  <c:v>31.398449783397329</c:v>
                </c:pt>
                <c:pt idx="18">
                  <c:v>30.86389906862631</c:v>
                </c:pt>
                <c:pt idx="19">
                  <c:v>30.366804601712751</c:v>
                </c:pt>
                <c:pt idx="20">
                  <c:v>29.904541803800448</c:v>
                </c:pt>
                <c:pt idx="21">
                  <c:v>29.474670001644842</c:v>
                </c:pt>
                <c:pt idx="22">
                  <c:v>29.074919541250743</c:v>
                </c:pt>
                <c:pt idx="23">
                  <c:v>28.703179804464167</c:v>
                </c:pt>
                <c:pt idx="24">
                  <c:v>28.357488065247871</c:v>
                </c:pt>
                <c:pt idx="25">
                  <c:v>28.036019126803453</c:v>
                </c:pt>
                <c:pt idx="26">
                  <c:v>27.737075684825744</c:v>
                </c:pt>
                <c:pt idx="27">
                  <c:v>27.459079366008979</c:v>
                </c:pt>
                <c:pt idx="28">
                  <c:v>27.200562394489548</c:v>
                </c:pt>
                <c:pt idx="29">
                  <c:v>26.960159842225437</c:v>
                </c:pt>
                <c:pt idx="30">
                  <c:v>26.736602422395631</c:v>
                </c:pt>
                <c:pt idx="31">
                  <c:v>26.528709787769806</c:v>
                </c:pt>
                <c:pt idx="32">
                  <c:v>26.335384298664717</c:v>
                </c:pt>
                <c:pt idx="33">
                  <c:v>26.155605227583202</c:v>
                </c:pt>
                <c:pt idx="34">
                  <c:v>25.988423369937081</c:v>
                </c:pt>
                <c:pt idx="35">
                  <c:v>25.832956032399583</c:v>
                </c:pt>
                <c:pt idx="36">
                  <c:v>25.688382372426503</c:v>
                </c:pt>
                <c:pt idx="37">
                  <c:v>25.553939064339552</c:v>
                </c:pt>
                <c:pt idx="38">
                  <c:v>25.428916269089516</c:v>
                </c:pt>
                <c:pt idx="39">
                  <c:v>25.312653886420208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CD-428B-9458-58DDE3833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50056"/>
        <c:axId val="711444808"/>
      </c:scatterChart>
      <c:valAx>
        <c:axId val="711450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1444808"/>
        <c:crosses val="autoZero"/>
        <c:crossBetween val="midCat"/>
      </c:valAx>
      <c:valAx>
        <c:axId val="7114448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1450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 for 3 L @ 200 rpm (Rep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'10'!$K$11</c:f>
              <c:strCache>
                <c:ptCount val="1"/>
                <c:pt idx="0">
                  <c:v>Temperature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'10'!$I$12:$I$42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'10'!$K$12:$K$42</c:f>
              <c:numCache>
                <c:formatCode>General</c:formatCode>
                <c:ptCount val="31"/>
                <c:pt idx="0">
                  <c:v>44.5</c:v>
                </c:pt>
                <c:pt idx="1">
                  <c:v>43</c:v>
                </c:pt>
                <c:pt idx="2">
                  <c:v>42</c:v>
                </c:pt>
                <c:pt idx="3">
                  <c:v>40.5</c:v>
                </c:pt>
                <c:pt idx="4">
                  <c:v>39.5</c:v>
                </c:pt>
                <c:pt idx="5">
                  <c:v>38.5</c:v>
                </c:pt>
                <c:pt idx="6">
                  <c:v>37.5</c:v>
                </c:pt>
                <c:pt idx="7">
                  <c:v>36.5</c:v>
                </c:pt>
                <c:pt idx="8">
                  <c:v>36</c:v>
                </c:pt>
                <c:pt idx="9">
                  <c:v>35</c:v>
                </c:pt>
                <c:pt idx="10">
                  <c:v>34.5</c:v>
                </c:pt>
                <c:pt idx="11">
                  <c:v>33.5</c:v>
                </c:pt>
                <c:pt idx="12">
                  <c:v>33</c:v>
                </c:pt>
                <c:pt idx="13">
                  <c:v>32.5</c:v>
                </c:pt>
                <c:pt idx="14">
                  <c:v>32</c:v>
                </c:pt>
                <c:pt idx="15">
                  <c:v>31.5</c:v>
                </c:pt>
                <c:pt idx="16">
                  <c:v>31</c:v>
                </c:pt>
                <c:pt idx="17">
                  <c:v>30.5</c:v>
                </c:pt>
                <c:pt idx="18">
                  <c:v>30</c:v>
                </c:pt>
                <c:pt idx="19">
                  <c:v>29.5</c:v>
                </c:pt>
                <c:pt idx="20">
                  <c:v>29.5</c:v>
                </c:pt>
                <c:pt idx="21">
                  <c:v>29</c:v>
                </c:pt>
                <c:pt idx="22">
                  <c:v>28.5</c:v>
                </c:pt>
                <c:pt idx="23">
                  <c:v>28.5</c:v>
                </c:pt>
                <c:pt idx="24">
                  <c:v>28</c:v>
                </c:pt>
                <c:pt idx="25">
                  <c:v>28</c:v>
                </c:pt>
                <c:pt idx="26">
                  <c:v>27.5</c:v>
                </c:pt>
                <c:pt idx="27">
                  <c:v>27.5</c:v>
                </c:pt>
                <c:pt idx="28">
                  <c:v>27.5</c:v>
                </c:pt>
                <c:pt idx="29">
                  <c:v>27</c:v>
                </c:pt>
                <c:pt idx="30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10-4893-A676-7F45B4DF2DD0}"/>
            </c:ext>
          </c:extLst>
        </c:ser>
        <c:ser>
          <c:idx val="1"/>
          <c:order val="1"/>
          <c:tx>
            <c:strRef>
              <c:f>'10'!$N$11</c:f>
              <c:strCache>
                <c:ptCount val="1"/>
                <c:pt idx="0">
                  <c:v>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'10'!$I$12:$I$42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'10'!$N$12:$N$42</c:f>
              <c:numCache>
                <c:formatCode>0.0</c:formatCode>
                <c:ptCount val="31"/>
                <c:pt idx="0">
                  <c:v>44.5</c:v>
                </c:pt>
                <c:pt idx="1">
                  <c:v>43.113148980259581</c:v>
                </c:pt>
                <c:pt idx="2">
                  <c:v>41.823475336026029</c:v>
                </c:pt>
                <c:pt idx="3">
                  <c:v>40.62416979782774</c:v>
                </c:pt>
                <c:pt idx="4">
                  <c:v>39.508900225262437</c:v>
                </c:pt>
                <c:pt idx="5">
                  <c:v>38.471778174314025</c:v>
                </c:pt>
                <c:pt idx="6">
                  <c:v>37.507327807315008</c:v>
                </c:pt>
                <c:pt idx="7">
                  <c:v>36.610456981404084</c:v>
                </c:pt>
                <c:pt idx="8">
                  <c:v>35.776430362830602</c:v>
                </c:pt>
                <c:pt idx="9">
                  <c:v>35.000844425153772</c:v>
                </c:pt>
                <c:pt idx="10">
                  <c:v>34.279604199331118</c:v>
                </c:pt>
                <c:pt idx="11">
                  <c:v>33.608901652940347</c:v>
                </c:pt>
                <c:pt idx="12">
                  <c:v>32.985195584380513</c:v>
                </c:pt>
                <c:pt idx="13">
                  <c:v>32.405192925896912</c:v>
                </c:pt>
                <c:pt idx="14">
                  <c:v>31.86583135671286</c:v>
                </c:pt>
                <c:pt idx="15">
                  <c:v>31.364263134468409</c:v>
                </c:pt>
                <c:pt idx="16">
                  <c:v>30.897840059598533</c:v>
                </c:pt>
                <c:pt idx="17">
                  <c:v>30.464099493265291</c:v>
                </c:pt>
                <c:pt idx="18">
                  <c:v>30.060751355020699</c:v>
                </c:pt>
                <c:pt idx="19">
                  <c:v>29.685666031550205</c:v>
                </c:pt>
                <c:pt idx="20">
                  <c:v>29.33686313265682</c:v>
                </c:pt>
                <c:pt idx="21">
                  <c:v>29.012501035119296</c:v>
                </c:pt>
                <c:pt idx="22">
                  <c:v>28.710867159217649</c:v>
                </c:pt>
                <c:pt idx="23">
                  <c:v>28.430368926587605</c:v>
                </c:pt>
                <c:pt idx="24">
                  <c:v>28.169525351662902</c:v>
                </c:pt>
                <c:pt idx="25">
                  <c:v>27.926959222309648</c:v>
                </c:pt>
                <c:pt idx="26">
                  <c:v>27.701389828367692</c:v>
                </c:pt>
                <c:pt idx="27">
                  <c:v>27.491626199706893</c:v>
                </c:pt>
                <c:pt idx="28">
                  <c:v>27.29656081809636</c:v>
                </c:pt>
                <c:pt idx="29">
                  <c:v>27.115163769686252</c:v>
                </c:pt>
                <c:pt idx="30">
                  <c:v>26.946477307228257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10-4893-A676-7F45B4DF2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514280"/>
        <c:axId val="704513296"/>
      </c:scatterChart>
      <c:valAx>
        <c:axId val="704514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513296"/>
        <c:crosses val="autoZero"/>
        <c:crossBetween val="midCat"/>
      </c:valAx>
      <c:valAx>
        <c:axId val="704513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4514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79%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'3'!$AM$8:$AM$165</c:f>
              <c:numCache>
                <c:formatCode>General</c:formatCode>
                <c:ptCount val="1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xVal>
          <c:yVal>
            <c:numRef>
              <c:f>'3'!$AN$8:$AN$165</c:f>
              <c:numCache>
                <c:formatCode>General</c:formatCode>
                <c:ptCount val="158"/>
                <c:pt idx="0">
                  <c:v>1.5503875968991929E-2</c:v>
                </c:pt>
                <c:pt idx="1">
                  <c:v>1.5503875968991929E-2</c:v>
                </c:pt>
                <c:pt idx="2">
                  <c:v>1.5503875968991929E-2</c:v>
                </c:pt>
                <c:pt idx="3">
                  <c:v>1.5503875968991929E-2</c:v>
                </c:pt>
                <c:pt idx="4">
                  <c:v>1.5503875968991929E-2</c:v>
                </c:pt>
                <c:pt idx="5">
                  <c:v>1.5503875968991929E-2</c:v>
                </c:pt>
                <c:pt idx="6">
                  <c:v>1.5503875968991929E-2</c:v>
                </c:pt>
                <c:pt idx="7">
                  <c:v>1.5503875968991929E-2</c:v>
                </c:pt>
                <c:pt idx="8">
                  <c:v>1.5503875968991929E-2</c:v>
                </c:pt>
                <c:pt idx="9">
                  <c:v>1.5503875968991929E-2</c:v>
                </c:pt>
                <c:pt idx="10">
                  <c:v>1.5503875968991929E-2</c:v>
                </c:pt>
                <c:pt idx="11">
                  <c:v>1.5503875968991929E-2</c:v>
                </c:pt>
                <c:pt idx="12">
                  <c:v>1.5503875968991929E-2</c:v>
                </c:pt>
                <c:pt idx="13">
                  <c:v>1.5503875968991929E-2</c:v>
                </c:pt>
                <c:pt idx="14">
                  <c:v>1.5503875968991929E-2</c:v>
                </c:pt>
                <c:pt idx="15">
                  <c:v>1.5503875968991929E-2</c:v>
                </c:pt>
                <c:pt idx="16">
                  <c:v>1.5503875968991929E-2</c:v>
                </c:pt>
                <c:pt idx="17">
                  <c:v>1.5503875968991929E-2</c:v>
                </c:pt>
                <c:pt idx="18">
                  <c:v>1.5503875968991929E-2</c:v>
                </c:pt>
                <c:pt idx="19">
                  <c:v>1.5503875968991929E-2</c:v>
                </c:pt>
                <c:pt idx="20">
                  <c:v>1.5503875968991929E-2</c:v>
                </c:pt>
                <c:pt idx="21">
                  <c:v>2.3255813953487893E-2</c:v>
                </c:pt>
                <c:pt idx="22">
                  <c:v>3.8759689922481196E-2</c:v>
                </c:pt>
                <c:pt idx="23">
                  <c:v>4.651162790697716E-2</c:v>
                </c:pt>
                <c:pt idx="24">
                  <c:v>6.976744186046506E-2</c:v>
                </c:pt>
                <c:pt idx="25">
                  <c:v>7.7519379844961711E-2</c:v>
                </c:pt>
                <c:pt idx="26">
                  <c:v>0.10852713178294625</c:v>
                </c:pt>
                <c:pt idx="27">
                  <c:v>0.11627906976744222</c:v>
                </c:pt>
                <c:pt idx="28">
                  <c:v>0.14728682170542609</c:v>
                </c:pt>
                <c:pt idx="29">
                  <c:v>0.18604651162790725</c:v>
                </c:pt>
                <c:pt idx="30">
                  <c:v>0.20155038759689986</c:v>
                </c:pt>
                <c:pt idx="31">
                  <c:v>0.23255813953488375</c:v>
                </c:pt>
                <c:pt idx="32">
                  <c:v>0.26356589147286896</c:v>
                </c:pt>
                <c:pt idx="33">
                  <c:v>0.29457364341085279</c:v>
                </c:pt>
                <c:pt idx="34">
                  <c:v>0.31782945736434143</c:v>
                </c:pt>
                <c:pt idx="35">
                  <c:v>0.34883720930232659</c:v>
                </c:pt>
                <c:pt idx="36">
                  <c:v>0.37984496124031047</c:v>
                </c:pt>
                <c:pt idx="37">
                  <c:v>0.42635658914728691</c:v>
                </c:pt>
                <c:pt idx="38">
                  <c:v>0.45736434108527152</c:v>
                </c:pt>
                <c:pt idx="39">
                  <c:v>0.49612403100775204</c:v>
                </c:pt>
                <c:pt idx="40">
                  <c:v>0.52713178294573726</c:v>
                </c:pt>
                <c:pt idx="41">
                  <c:v>0.57364341085271375</c:v>
                </c:pt>
                <c:pt idx="42">
                  <c:v>0.59689922480620228</c:v>
                </c:pt>
                <c:pt idx="43">
                  <c:v>0.63565891472868219</c:v>
                </c:pt>
                <c:pt idx="44">
                  <c:v>0.65891472868217071</c:v>
                </c:pt>
                <c:pt idx="45">
                  <c:v>0.66666666666666663</c:v>
                </c:pt>
                <c:pt idx="46">
                  <c:v>0.6899224806201566</c:v>
                </c:pt>
                <c:pt idx="47">
                  <c:v>0.71317829457364446</c:v>
                </c:pt>
                <c:pt idx="48">
                  <c:v>0.72868217054263651</c:v>
                </c:pt>
                <c:pt idx="49">
                  <c:v>0.75193798449612503</c:v>
                </c:pt>
                <c:pt idx="50">
                  <c:v>0.77519379844961289</c:v>
                </c:pt>
                <c:pt idx="51">
                  <c:v>0.78294573643410892</c:v>
                </c:pt>
                <c:pt idx="52">
                  <c:v>0.79844961240310075</c:v>
                </c:pt>
                <c:pt idx="53">
                  <c:v>0.81395348837209347</c:v>
                </c:pt>
                <c:pt idx="54">
                  <c:v>0.82170542635659005</c:v>
                </c:pt>
                <c:pt idx="55">
                  <c:v>0.84496124031007791</c:v>
                </c:pt>
                <c:pt idx="56">
                  <c:v>0.84496124031007791</c:v>
                </c:pt>
                <c:pt idx="57">
                  <c:v>0.86046511627906996</c:v>
                </c:pt>
                <c:pt idx="58">
                  <c:v>0.86821705426356588</c:v>
                </c:pt>
                <c:pt idx="59">
                  <c:v>0.87596899224806313</c:v>
                </c:pt>
                <c:pt idx="60">
                  <c:v>0.89147286821705518</c:v>
                </c:pt>
                <c:pt idx="61">
                  <c:v>0.89147286821705518</c:v>
                </c:pt>
                <c:pt idx="62">
                  <c:v>0.89147286821705518</c:v>
                </c:pt>
                <c:pt idx="63">
                  <c:v>0.89922480620155121</c:v>
                </c:pt>
                <c:pt idx="64">
                  <c:v>0.90697674418604779</c:v>
                </c:pt>
                <c:pt idx="65">
                  <c:v>0.90697674418604779</c:v>
                </c:pt>
                <c:pt idx="66">
                  <c:v>0.92248062015504029</c:v>
                </c:pt>
                <c:pt idx="67">
                  <c:v>0.92248062015504029</c:v>
                </c:pt>
                <c:pt idx="68">
                  <c:v>0.92248062015504029</c:v>
                </c:pt>
                <c:pt idx="69">
                  <c:v>0.93023255813953631</c:v>
                </c:pt>
                <c:pt idx="70">
                  <c:v>0.93023255813953631</c:v>
                </c:pt>
                <c:pt idx="71">
                  <c:v>0.93798449612403223</c:v>
                </c:pt>
                <c:pt idx="72">
                  <c:v>0.94573643410852837</c:v>
                </c:pt>
                <c:pt idx="73">
                  <c:v>0.94573643410852837</c:v>
                </c:pt>
                <c:pt idx="74">
                  <c:v>0.94573643410852837</c:v>
                </c:pt>
                <c:pt idx="75">
                  <c:v>0.95348837209302417</c:v>
                </c:pt>
                <c:pt idx="76">
                  <c:v>0.96124031007752009</c:v>
                </c:pt>
                <c:pt idx="77">
                  <c:v>0.95348837209302417</c:v>
                </c:pt>
                <c:pt idx="78">
                  <c:v>0.96124031007752009</c:v>
                </c:pt>
                <c:pt idx="79">
                  <c:v>0.95348837209302417</c:v>
                </c:pt>
                <c:pt idx="80">
                  <c:v>0.96124031007752009</c:v>
                </c:pt>
                <c:pt idx="81">
                  <c:v>0.96124031007752009</c:v>
                </c:pt>
                <c:pt idx="82">
                  <c:v>0.96124031007752009</c:v>
                </c:pt>
                <c:pt idx="83">
                  <c:v>0.96124031007752009</c:v>
                </c:pt>
                <c:pt idx="84">
                  <c:v>0.97674418604651214</c:v>
                </c:pt>
                <c:pt idx="85">
                  <c:v>0.96899224806201623</c:v>
                </c:pt>
                <c:pt idx="86">
                  <c:v>0.96899224806201623</c:v>
                </c:pt>
                <c:pt idx="87">
                  <c:v>0.97674418604651214</c:v>
                </c:pt>
                <c:pt idx="88">
                  <c:v>0.97674418604651214</c:v>
                </c:pt>
                <c:pt idx="89">
                  <c:v>0.96899224806201623</c:v>
                </c:pt>
                <c:pt idx="90">
                  <c:v>0.97674418604651214</c:v>
                </c:pt>
                <c:pt idx="91">
                  <c:v>0.97674418604651214</c:v>
                </c:pt>
                <c:pt idx="92">
                  <c:v>0.96899224806201623</c:v>
                </c:pt>
                <c:pt idx="93">
                  <c:v>0.97674418604651214</c:v>
                </c:pt>
                <c:pt idx="94">
                  <c:v>0.97674418604651214</c:v>
                </c:pt>
                <c:pt idx="95">
                  <c:v>0.96899224806201623</c:v>
                </c:pt>
                <c:pt idx="96">
                  <c:v>0.97674418604651214</c:v>
                </c:pt>
                <c:pt idx="97">
                  <c:v>0.97674418604651214</c:v>
                </c:pt>
                <c:pt idx="98">
                  <c:v>0.96899224806201623</c:v>
                </c:pt>
                <c:pt idx="99">
                  <c:v>0.96899224806201623</c:v>
                </c:pt>
                <c:pt idx="100">
                  <c:v>0.97674418604651214</c:v>
                </c:pt>
                <c:pt idx="101">
                  <c:v>0.96899224806201623</c:v>
                </c:pt>
                <c:pt idx="102">
                  <c:v>0.96899224806201623</c:v>
                </c:pt>
                <c:pt idx="103">
                  <c:v>0.97674418604651214</c:v>
                </c:pt>
                <c:pt idx="104">
                  <c:v>0.96899224806201623</c:v>
                </c:pt>
                <c:pt idx="105">
                  <c:v>0.96899224806201623</c:v>
                </c:pt>
                <c:pt idx="106">
                  <c:v>0.97674418604651214</c:v>
                </c:pt>
                <c:pt idx="107">
                  <c:v>0.96899224806201623</c:v>
                </c:pt>
                <c:pt idx="108">
                  <c:v>0.96899224806201623</c:v>
                </c:pt>
                <c:pt idx="109">
                  <c:v>0.97674418604651214</c:v>
                </c:pt>
                <c:pt idx="110">
                  <c:v>0.97674418604651214</c:v>
                </c:pt>
                <c:pt idx="111">
                  <c:v>0.97674418604651214</c:v>
                </c:pt>
                <c:pt idx="112">
                  <c:v>0.99224806201550408</c:v>
                </c:pt>
                <c:pt idx="113">
                  <c:v>0.97674418604651214</c:v>
                </c:pt>
                <c:pt idx="114">
                  <c:v>0.97674418604651214</c:v>
                </c:pt>
                <c:pt idx="115">
                  <c:v>0.97674418604651214</c:v>
                </c:pt>
                <c:pt idx="116">
                  <c:v>0.97674418604651214</c:v>
                </c:pt>
                <c:pt idx="117">
                  <c:v>0.97674418604651214</c:v>
                </c:pt>
                <c:pt idx="118">
                  <c:v>0.97674418604651214</c:v>
                </c:pt>
                <c:pt idx="119">
                  <c:v>0.98449612403100806</c:v>
                </c:pt>
                <c:pt idx="120">
                  <c:v>0.97674418604651214</c:v>
                </c:pt>
                <c:pt idx="121">
                  <c:v>0.96899224806201623</c:v>
                </c:pt>
                <c:pt idx="122">
                  <c:v>0.97674418604651214</c:v>
                </c:pt>
                <c:pt idx="123">
                  <c:v>0.97674418604651214</c:v>
                </c:pt>
                <c:pt idx="124">
                  <c:v>0.97674418604651214</c:v>
                </c:pt>
                <c:pt idx="125">
                  <c:v>0.97674418604651214</c:v>
                </c:pt>
                <c:pt idx="126">
                  <c:v>0.99224806201550408</c:v>
                </c:pt>
                <c:pt idx="127">
                  <c:v>0.97674418604651214</c:v>
                </c:pt>
                <c:pt idx="128">
                  <c:v>0.98449612403100806</c:v>
                </c:pt>
                <c:pt idx="129">
                  <c:v>0.98449612403100806</c:v>
                </c:pt>
                <c:pt idx="130">
                  <c:v>0.98449612403100806</c:v>
                </c:pt>
                <c:pt idx="131">
                  <c:v>0.98449612403100806</c:v>
                </c:pt>
                <c:pt idx="132">
                  <c:v>0.97674418604651214</c:v>
                </c:pt>
                <c:pt idx="133">
                  <c:v>0.98449612403100806</c:v>
                </c:pt>
                <c:pt idx="134">
                  <c:v>0.98449612403100806</c:v>
                </c:pt>
                <c:pt idx="135">
                  <c:v>0.98449612403100806</c:v>
                </c:pt>
                <c:pt idx="136">
                  <c:v>0.98449612403100806</c:v>
                </c:pt>
                <c:pt idx="137">
                  <c:v>0.98449612403100806</c:v>
                </c:pt>
                <c:pt idx="138">
                  <c:v>0.98449612403100806</c:v>
                </c:pt>
                <c:pt idx="139">
                  <c:v>0.98449612403100806</c:v>
                </c:pt>
                <c:pt idx="140">
                  <c:v>0.99224806201550408</c:v>
                </c:pt>
                <c:pt idx="141">
                  <c:v>0.97674418604651214</c:v>
                </c:pt>
                <c:pt idx="142">
                  <c:v>0.99224806201550408</c:v>
                </c:pt>
                <c:pt idx="143">
                  <c:v>0.98449612403100806</c:v>
                </c:pt>
                <c:pt idx="144">
                  <c:v>0.97674418604651214</c:v>
                </c:pt>
                <c:pt idx="145">
                  <c:v>0.97674418604651214</c:v>
                </c:pt>
                <c:pt idx="146">
                  <c:v>0.97674418604651214</c:v>
                </c:pt>
                <c:pt idx="147">
                  <c:v>0.98449612403100806</c:v>
                </c:pt>
                <c:pt idx="148">
                  <c:v>0.99224806201550408</c:v>
                </c:pt>
                <c:pt idx="149">
                  <c:v>0.98449612403100806</c:v>
                </c:pt>
                <c:pt idx="150">
                  <c:v>0.98449612403100806</c:v>
                </c:pt>
                <c:pt idx="151">
                  <c:v>0.98449612403100806</c:v>
                </c:pt>
                <c:pt idx="152">
                  <c:v>0.98449612403100806</c:v>
                </c:pt>
                <c:pt idx="153">
                  <c:v>0.97674418604651214</c:v>
                </c:pt>
                <c:pt idx="154">
                  <c:v>0.97674418604651214</c:v>
                </c:pt>
                <c:pt idx="155">
                  <c:v>0.97674418604651214</c:v>
                </c:pt>
                <c:pt idx="156">
                  <c:v>0.97674418604651214</c:v>
                </c:pt>
                <c:pt idx="15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E9-4165-B0B3-9D3C58AB8E1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'3'!$AM$8:$AM$165</c:f>
              <c:numCache>
                <c:formatCode>General</c:formatCode>
                <c:ptCount val="1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xVal>
          <c:yVal>
            <c:numRef>
              <c:f>'3'!$AO$8:$AO$165</c:f>
              <c:numCache>
                <c:formatCode>General</c:formatCode>
                <c:ptCount val="158"/>
                <c:pt idx="0">
                  <c:v>8.1300813008128338E-3</c:v>
                </c:pt>
                <c:pt idx="1">
                  <c:v>8.1300813008128338E-3</c:v>
                </c:pt>
                <c:pt idx="2">
                  <c:v>8.1300813008128338E-3</c:v>
                </c:pt>
                <c:pt idx="3">
                  <c:v>8.1300813008128338E-3</c:v>
                </c:pt>
                <c:pt idx="4">
                  <c:v>8.1300813008128338E-3</c:v>
                </c:pt>
                <c:pt idx="5">
                  <c:v>8.1300813008128338E-3</c:v>
                </c:pt>
                <c:pt idx="6">
                  <c:v>8.1300813008128338E-3</c:v>
                </c:pt>
                <c:pt idx="7">
                  <c:v>8.1300813008128338E-3</c:v>
                </c:pt>
                <c:pt idx="8">
                  <c:v>8.1300813008128338E-3</c:v>
                </c:pt>
                <c:pt idx="9">
                  <c:v>8.1300813008128338E-3</c:v>
                </c:pt>
                <c:pt idx="10">
                  <c:v>8.1300813008128338E-3</c:v>
                </c:pt>
                <c:pt idx="11">
                  <c:v>2.4390243902438498E-2</c:v>
                </c:pt>
                <c:pt idx="12">
                  <c:v>5.6910569105691269E-2</c:v>
                </c:pt>
                <c:pt idx="13">
                  <c:v>0.12195121951219393</c:v>
                </c:pt>
                <c:pt idx="14">
                  <c:v>0.21951219512195227</c:v>
                </c:pt>
                <c:pt idx="15">
                  <c:v>0.3252032520325191</c:v>
                </c:pt>
                <c:pt idx="16">
                  <c:v>0.44715447154471588</c:v>
                </c:pt>
                <c:pt idx="17">
                  <c:v>0.55284552845528412</c:v>
                </c:pt>
                <c:pt idx="18">
                  <c:v>0.65853658536585391</c:v>
                </c:pt>
                <c:pt idx="19">
                  <c:v>0.73170731707316938</c:v>
                </c:pt>
                <c:pt idx="20">
                  <c:v>0.79674796747967491</c:v>
                </c:pt>
                <c:pt idx="21">
                  <c:v>0.85365853658536617</c:v>
                </c:pt>
                <c:pt idx="22">
                  <c:v>0.90243902439024326</c:v>
                </c:pt>
                <c:pt idx="23">
                  <c:v>0.92682926829268175</c:v>
                </c:pt>
                <c:pt idx="24">
                  <c:v>0.94308943089430886</c:v>
                </c:pt>
                <c:pt idx="25">
                  <c:v>0.95934959349593585</c:v>
                </c:pt>
                <c:pt idx="26">
                  <c:v>0.96747967479674868</c:v>
                </c:pt>
                <c:pt idx="27">
                  <c:v>0.98373983739837434</c:v>
                </c:pt>
                <c:pt idx="28">
                  <c:v>0.98373983739837434</c:v>
                </c:pt>
                <c:pt idx="29">
                  <c:v>0.98373983739837434</c:v>
                </c:pt>
                <c:pt idx="30">
                  <c:v>0.98373983739837434</c:v>
                </c:pt>
                <c:pt idx="31">
                  <c:v>0.99186991869918728</c:v>
                </c:pt>
                <c:pt idx="32">
                  <c:v>0.98373983739837434</c:v>
                </c:pt>
                <c:pt idx="33">
                  <c:v>0.98373983739837434</c:v>
                </c:pt>
                <c:pt idx="34">
                  <c:v>0.99186991869918728</c:v>
                </c:pt>
                <c:pt idx="35">
                  <c:v>0.99186991869918728</c:v>
                </c:pt>
                <c:pt idx="36">
                  <c:v>0.99186991869918728</c:v>
                </c:pt>
                <c:pt idx="37">
                  <c:v>0.98373983739837434</c:v>
                </c:pt>
                <c:pt idx="38">
                  <c:v>1</c:v>
                </c:pt>
                <c:pt idx="39">
                  <c:v>0.99186991869918728</c:v>
                </c:pt>
                <c:pt idx="40">
                  <c:v>0.99186991869918728</c:v>
                </c:pt>
                <c:pt idx="41">
                  <c:v>1</c:v>
                </c:pt>
                <c:pt idx="42">
                  <c:v>1</c:v>
                </c:pt>
                <c:pt idx="43">
                  <c:v>0.99186991869918728</c:v>
                </c:pt>
                <c:pt idx="44">
                  <c:v>0.98373983739837434</c:v>
                </c:pt>
                <c:pt idx="45">
                  <c:v>1</c:v>
                </c:pt>
                <c:pt idx="46">
                  <c:v>0.98373983739837434</c:v>
                </c:pt>
                <c:pt idx="47">
                  <c:v>0.98373983739837434</c:v>
                </c:pt>
                <c:pt idx="48">
                  <c:v>0.98373983739837434</c:v>
                </c:pt>
                <c:pt idx="49">
                  <c:v>0.98373983739837434</c:v>
                </c:pt>
                <c:pt idx="50">
                  <c:v>0.99186991869918728</c:v>
                </c:pt>
                <c:pt idx="51">
                  <c:v>1</c:v>
                </c:pt>
                <c:pt idx="52">
                  <c:v>0.99186991869918728</c:v>
                </c:pt>
                <c:pt idx="53">
                  <c:v>0.98373983739837434</c:v>
                </c:pt>
                <c:pt idx="54">
                  <c:v>0.98373983739837434</c:v>
                </c:pt>
                <c:pt idx="55">
                  <c:v>0.99186991869918728</c:v>
                </c:pt>
                <c:pt idx="56">
                  <c:v>0.99186991869918728</c:v>
                </c:pt>
                <c:pt idx="57">
                  <c:v>0.99186991869918728</c:v>
                </c:pt>
                <c:pt idx="58">
                  <c:v>0.99186991869918728</c:v>
                </c:pt>
                <c:pt idx="59">
                  <c:v>0.99186991869918728</c:v>
                </c:pt>
                <c:pt idx="60">
                  <c:v>0.98373983739837434</c:v>
                </c:pt>
                <c:pt idx="61">
                  <c:v>0.99186991869918728</c:v>
                </c:pt>
                <c:pt idx="62">
                  <c:v>0.98373983739837434</c:v>
                </c:pt>
                <c:pt idx="63">
                  <c:v>0.98373983739837434</c:v>
                </c:pt>
                <c:pt idx="64">
                  <c:v>0.98373983739837434</c:v>
                </c:pt>
                <c:pt idx="65">
                  <c:v>0.98373983739837434</c:v>
                </c:pt>
                <c:pt idx="66">
                  <c:v>1.0081300813008127</c:v>
                </c:pt>
                <c:pt idx="67">
                  <c:v>1</c:v>
                </c:pt>
                <c:pt idx="68">
                  <c:v>0.98373983739837434</c:v>
                </c:pt>
                <c:pt idx="69">
                  <c:v>0.99186991869918728</c:v>
                </c:pt>
                <c:pt idx="70">
                  <c:v>1</c:v>
                </c:pt>
                <c:pt idx="71">
                  <c:v>1</c:v>
                </c:pt>
                <c:pt idx="72">
                  <c:v>0.99186991869918728</c:v>
                </c:pt>
                <c:pt idx="73">
                  <c:v>0.98373983739837434</c:v>
                </c:pt>
                <c:pt idx="74">
                  <c:v>0.98373983739837434</c:v>
                </c:pt>
                <c:pt idx="75">
                  <c:v>1</c:v>
                </c:pt>
                <c:pt idx="76">
                  <c:v>0.99186991869918728</c:v>
                </c:pt>
                <c:pt idx="77">
                  <c:v>0.99186991869918728</c:v>
                </c:pt>
                <c:pt idx="78">
                  <c:v>0.99186991869918728</c:v>
                </c:pt>
                <c:pt idx="79">
                  <c:v>1.0081300813008127</c:v>
                </c:pt>
                <c:pt idx="80">
                  <c:v>1.0081300813008127</c:v>
                </c:pt>
                <c:pt idx="81">
                  <c:v>1</c:v>
                </c:pt>
                <c:pt idx="82">
                  <c:v>0.98373983739837434</c:v>
                </c:pt>
                <c:pt idx="83">
                  <c:v>0.99186991869918728</c:v>
                </c:pt>
                <c:pt idx="84">
                  <c:v>1</c:v>
                </c:pt>
                <c:pt idx="85">
                  <c:v>0.99186991869918728</c:v>
                </c:pt>
                <c:pt idx="86">
                  <c:v>0.99186991869918728</c:v>
                </c:pt>
                <c:pt idx="87">
                  <c:v>0.99186991869918728</c:v>
                </c:pt>
                <c:pt idx="88">
                  <c:v>1</c:v>
                </c:pt>
                <c:pt idx="89">
                  <c:v>0.98373983739837434</c:v>
                </c:pt>
                <c:pt idx="90">
                  <c:v>0.98373983739837434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0.99186991869918728</c:v>
                </c:pt>
                <c:pt idx="95">
                  <c:v>1</c:v>
                </c:pt>
                <c:pt idx="96">
                  <c:v>0.99186991869918728</c:v>
                </c:pt>
                <c:pt idx="97">
                  <c:v>0.98373983739837434</c:v>
                </c:pt>
                <c:pt idx="98">
                  <c:v>0.98780487804878081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0.98780487804878081</c:v>
                </c:pt>
                <c:pt idx="105">
                  <c:v>1</c:v>
                </c:pt>
                <c:pt idx="106">
                  <c:v>1</c:v>
                </c:pt>
                <c:pt idx="107">
                  <c:v>0.98780487804878081</c:v>
                </c:pt>
                <c:pt idx="108">
                  <c:v>0.98780487804878081</c:v>
                </c:pt>
                <c:pt idx="109">
                  <c:v>0.98780487804878081</c:v>
                </c:pt>
                <c:pt idx="110">
                  <c:v>0.98780487804878081</c:v>
                </c:pt>
                <c:pt idx="111">
                  <c:v>0.98780487804878081</c:v>
                </c:pt>
                <c:pt idx="112">
                  <c:v>0.98780487804878081</c:v>
                </c:pt>
                <c:pt idx="113">
                  <c:v>1.0121951219512193</c:v>
                </c:pt>
                <c:pt idx="114">
                  <c:v>1.0121951219512193</c:v>
                </c:pt>
                <c:pt idx="115">
                  <c:v>0.98780487804878081</c:v>
                </c:pt>
                <c:pt idx="116">
                  <c:v>0.98780487804878081</c:v>
                </c:pt>
                <c:pt idx="117">
                  <c:v>1</c:v>
                </c:pt>
                <c:pt idx="118">
                  <c:v>0.98780487804878081</c:v>
                </c:pt>
                <c:pt idx="119">
                  <c:v>0.98780487804878081</c:v>
                </c:pt>
                <c:pt idx="120">
                  <c:v>0.98780487804878081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0.98780487804878081</c:v>
                </c:pt>
                <c:pt idx="130">
                  <c:v>0.98780487804878081</c:v>
                </c:pt>
                <c:pt idx="131">
                  <c:v>0.98780487804878081</c:v>
                </c:pt>
                <c:pt idx="132">
                  <c:v>1.0121951219512193</c:v>
                </c:pt>
                <c:pt idx="133">
                  <c:v>0.98780487804878081</c:v>
                </c:pt>
                <c:pt idx="134">
                  <c:v>0.98780487804878081</c:v>
                </c:pt>
                <c:pt idx="135">
                  <c:v>1</c:v>
                </c:pt>
                <c:pt idx="136">
                  <c:v>1</c:v>
                </c:pt>
                <c:pt idx="137">
                  <c:v>0.98780487804878081</c:v>
                </c:pt>
                <c:pt idx="138">
                  <c:v>0.98780487804878081</c:v>
                </c:pt>
                <c:pt idx="139">
                  <c:v>1</c:v>
                </c:pt>
                <c:pt idx="140">
                  <c:v>1</c:v>
                </c:pt>
                <c:pt idx="141">
                  <c:v>0.98780487804878081</c:v>
                </c:pt>
                <c:pt idx="142">
                  <c:v>0.98780487804878081</c:v>
                </c:pt>
                <c:pt idx="143">
                  <c:v>0.98780487804878081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E9-4165-B0B3-9D3C58AB8E1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'3'!$AM$8:$AM$165</c:f>
              <c:numCache>
                <c:formatCode>General</c:formatCode>
                <c:ptCount val="1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xVal>
          <c:yVal>
            <c:numRef>
              <c:f>'3'!$AP$8:$AP$165</c:f>
              <c:numCache>
                <c:formatCode>General</c:formatCode>
                <c:ptCount val="158"/>
                <c:pt idx="0">
                  <c:v>8.3333333333331858E-3</c:v>
                </c:pt>
                <c:pt idx="1">
                  <c:v>8.3333333333331858E-3</c:v>
                </c:pt>
                <c:pt idx="2">
                  <c:v>8.3333333333331858E-3</c:v>
                </c:pt>
                <c:pt idx="3">
                  <c:v>8.3333333333331858E-3</c:v>
                </c:pt>
                <c:pt idx="4">
                  <c:v>8.3333333333331858E-3</c:v>
                </c:pt>
                <c:pt idx="5">
                  <c:v>8.3333333333331858E-3</c:v>
                </c:pt>
                <c:pt idx="6">
                  <c:v>8.3333333333331858E-3</c:v>
                </c:pt>
                <c:pt idx="7">
                  <c:v>8.3333333333331858E-3</c:v>
                </c:pt>
                <c:pt idx="8">
                  <c:v>8.3333333333331858E-3</c:v>
                </c:pt>
                <c:pt idx="9">
                  <c:v>4.1666666666667407E-2</c:v>
                </c:pt>
                <c:pt idx="10">
                  <c:v>0.15833333333333199</c:v>
                </c:pt>
                <c:pt idx="11">
                  <c:v>0.32500000000000018</c:v>
                </c:pt>
                <c:pt idx="12">
                  <c:v>0.49166666666666831</c:v>
                </c:pt>
                <c:pt idx="13">
                  <c:v>0.64166666666666861</c:v>
                </c:pt>
                <c:pt idx="14">
                  <c:v>0.75000000000000155</c:v>
                </c:pt>
                <c:pt idx="15">
                  <c:v>0.83333333333333626</c:v>
                </c:pt>
                <c:pt idx="16">
                  <c:v>0.87500000000000222</c:v>
                </c:pt>
                <c:pt idx="17">
                  <c:v>0.90833333333333632</c:v>
                </c:pt>
                <c:pt idx="18">
                  <c:v>0.93333333333333601</c:v>
                </c:pt>
                <c:pt idx="19">
                  <c:v>0.95833333333333559</c:v>
                </c:pt>
                <c:pt idx="20">
                  <c:v>0.96666666666666867</c:v>
                </c:pt>
                <c:pt idx="21">
                  <c:v>0.97500000000000187</c:v>
                </c:pt>
                <c:pt idx="22">
                  <c:v>0.98333333333333506</c:v>
                </c:pt>
                <c:pt idx="23">
                  <c:v>0.98333333333333506</c:v>
                </c:pt>
                <c:pt idx="24">
                  <c:v>0.9916666666666698</c:v>
                </c:pt>
                <c:pt idx="25">
                  <c:v>1.0000000000000029</c:v>
                </c:pt>
                <c:pt idx="26">
                  <c:v>1.0000000000000016</c:v>
                </c:pt>
                <c:pt idx="27">
                  <c:v>0.99166666666666825</c:v>
                </c:pt>
                <c:pt idx="28">
                  <c:v>1.0000000000000029</c:v>
                </c:pt>
                <c:pt idx="29">
                  <c:v>1.0083333333333362</c:v>
                </c:pt>
                <c:pt idx="30">
                  <c:v>1.0083333333333362</c:v>
                </c:pt>
                <c:pt idx="31">
                  <c:v>1.0083333333333362</c:v>
                </c:pt>
                <c:pt idx="32">
                  <c:v>1.0083333333333362</c:v>
                </c:pt>
                <c:pt idx="33">
                  <c:v>1.0083333333333362</c:v>
                </c:pt>
                <c:pt idx="34">
                  <c:v>1.0000000000000029</c:v>
                </c:pt>
                <c:pt idx="35">
                  <c:v>1.0000000000000029</c:v>
                </c:pt>
                <c:pt idx="36">
                  <c:v>1.0166666666666693</c:v>
                </c:pt>
                <c:pt idx="37">
                  <c:v>1.0083333333333362</c:v>
                </c:pt>
                <c:pt idx="38">
                  <c:v>1.0000000000000029</c:v>
                </c:pt>
                <c:pt idx="39">
                  <c:v>1.0083333333333362</c:v>
                </c:pt>
                <c:pt idx="40">
                  <c:v>1.0083333333333362</c:v>
                </c:pt>
                <c:pt idx="41">
                  <c:v>1.0083333333333362</c:v>
                </c:pt>
                <c:pt idx="42">
                  <c:v>1.0083333333333362</c:v>
                </c:pt>
                <c:pt idx="43">
                  <c:v>0.99166666666666825</c:v>
                </c:pt>
                <c:pt idx="44">
                  <c:v>0.99166666666666825</c:v>
                </c:pt>
                <c:pt idx="45">
                  <c:v>1.0000000000000029</c:v>
                </c:pt>
                <c:pt idx="46">
                  <c:v>1.0083333333333362</c:v>
                </c:pt>
                <c:pt idx="47">
                  <c:v>1.0083333333333362</c:v>
                </c:pt>
                <c:pt idx="48">
                  <c:v>1.0000000000000029</c:v>
                </c:pt>
                <c:pt idx="49">
                  <c:v>1.0083333333333362</c:v>
                </c:pt>
                <c:pt idx="50">
                  <c:v>1.0000000000000029</c:v>
                </c:pt>
                <c:pt idx="51">
                  <c:v>1.0000000000000029</c:v>
                </c:pt>
                <c:pt idx="52">
                  <c:v>1.0083333333333362</c:v>
                </c:pt>
                <c:pt idx="53">
                  <c:v>1.0083333333333362</c:v>
                </c:pt>
                <c:pt idx="54">
                  <c:v>1.0000000000000029</c:v>
                </c:pt>
                <c:pt idx="55">
                  <c:v>1.0083333333333362</c:v>
                </c:pt>
                <c:pt idx="56">
                  <c:v>1.0083333333333362</c:v>
                </c:pt>
                <c:pt idx="57">
                  <c:v>1.0083333333333362</c:v>
                </c:pt>
                <c:pt idx="58">
                  <c:v>1.0083333333333362</c:v>
                </c:pt>
                <c:pt idx="59">
                  <c:v>1.0000000000000029</c:v>
                </c:pt>
                <c:pt idx="60">
                  <c:v>0.99166666666666825</c:v>
                </c:pt>
                <c:pt idx="61">
                  <c:v>0.99166666666666825</c:v>
                </c:pt>
                <c:pt idx="62">
                  <c:v>1.0083333333333362</c:v>
                </c:pt>
                <c:pt idx="63">
                  <c:v>1.0083333333333362</c:v>
                </c:pt>
                <c:pt idx="64">
                  <c:v>1.0083333333333362</c:v>
                </c:pt>
                <c:pt idx="65">
                  <c:v>1.0083333333333362</c:v>
                </c:pt>
                <c:pt idx="66">
                  <c:v>1.0000000000000029</c:v>
                </c:pt>
                <c:pt idx="67">
                  <c:v>1.0083333333333362</c:v>
                </c:pt>
                <c:pt idx="68">
                  <c:v>1.0083333333333362</c:v>
                </c:pt>
                <c:pt idx="69">
                  <c:v>1.0083333333333362</c:v>
                </c:pt>
                <c:pt idx="70">
                  <c:v>1.0000000000000029</c:v>
                </c:pt>
                <c:pt idx="71">
                  <c:v>1.0083333333333362</c:v>
                </c:pt>
                <c:pt idx="72">
                  <c:v>1.0083333333333362</c:v>
                </c:pt>
                <c:pt idx="73">
                  <c:v>1.0083333333333362</c:v>
                </c:pt>
                <c:pt idx="74">
                  <c:v>1.0083333333333362</c:v>
                </c:pt>
                <c:pt idx="75">
                  <c:v>1.0000000000000029</c:v>
                </c:pt>
                <c:pt idx="76">
                  <c:v>1.0000000000000029</c:v>
                </c:pt>
                <c:pt idx="77">
                  <c:v>1.0083333333333362</c:v>
                </c:pt>
                <c:pt idx="78">
                  <c:v>1.0083333333333362</c:v>
                </c:pt>
                <c:pt idx="79">
                  <c:v>1.0000000000000029</c:v>
                </c:pt>
                <c:pt idx="80">
                  <c:v>1.0083333333333362</c:v>
                </c:pt>
                <c:pt idx="81">
                  <c:v>1.0083333333333362</c:v>
                </c:pt>
                <c:pt idx="82">
                  <c:v>1.0083333333333362</c:v>
                </c:pt>
                <c:pt idx="83">
                  <c:v>1.0083333333333362</c:v>
                </c:pt>
                <c:pt idx="84">
                  <c:v>1.0000000000000029</c:v>
                </c:pt>
                <c:pt idx="85">
                  <c:v>1.0000000000000029</c:v>
                </c:pt>
                <c:pt idx="86">
                  <c:v>0.9916666666666698</c:v>
                </c:pt>
                <c:pt idx="87">
                  <c:v>1.0083333333333362</c:v>
                </c:pt>
                <c:pt idx="88">
                  <c:v>1.0083333333333362</c:v>
                </c:pt>
                <c:pt idx="89">
                  <c:v>1.0083333333333362</c:v>
                </c:pt>
                <c:pt idx="90">
                  <c:v>1.0083333333333362</c:v>
                </c:pt>
                <c:pt idx="91">
                  <c:v>1.0000000000000029</c:v>
                </c:pt>
                <c:pt idx="92">
                  <c:v>1.0000000000000029</c:v>
                </c:pt>
                <c:pt idx="93">
                  <c:v>1.0083333333333362</c:v>
                </c:pt>
                <c:pt idx="94">
                  <c:v>1.0083333333333362</c:v>
                </c:pt>
                <c:pt idx="95">
                  <c:v>1.0000000000000029</c:v>
                </c:pt>
                <c:pt idx="96">
                  <c:v>1.0083333333333362</c:v>
                </c:pt>
                <c:pt idx="97">
                  <c:v>1.0083333333333362</c:v>
                </c:pt>
                <c:pt idx="98">
                  <c:v>1.0083333333333362</c:v>
                </c:pt>
                <c:pt idx="99">
                  <c:v>1.012500000000002</c:v>
                </c:pt>
                <c:pt idx="100">
                  <c:v>0.98750000000000238</c:v>
                </c:pt>
                <c:pt idx="101">
                  <c:v>0.98750000000000238</c:v>
                </c:pt>
                <c:pt idx="102">
                  <c:v>1.012500000000002</c:v>
                </c:pt>
                <c:pt idx="103">
                  <c:v>1.0000000000000022</c:v>
                </c:pt>
                <c:pt idx="104">
                  <c:v>0.98750000000000238</c:v>
                </c:pt>
                <c:pt idx="105">
                  <c:v>1.012500000000002</c:v>
                </c:pt>
                <c:pt idx="106">
                  <c:v>1.012500000000002</c:v>
                </c:pt>
                <c:pt idx="107">
                  <c:v>1.0000000000000022</c:v>
                </c:pt>
                <c:pt idx="108">
                  <c:v>1</c:v>
                </c:pt>
                <c:pt idx="109">
                  <c:v>1.0249999999999995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E9-4165-B0B3-9D3C58AB8E1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'3'!$AM$8:$AM$165</c:f>
              <c:numCache>
                <c:formatCode>General</c:formatCode>
                <c:ptCount val="1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xVal>
          <c:yVal>
            <c:numRef>
              <c:f>'3'!$AQ$8:$AQ$165</c:f>
              <c:numCache>
                <c:formatCode>General</c:formatCode>
                <c:ptCount val="158"/>
                <c:pt idx="0">
                  <c:v>2.4390243902438602E-2</c:v>
                </c:pt>
                <c:pt idx="1">
                  <c:v>2.4390243902438602E-2</c:v>
                </c:pt>
                <c:pt idx="2">
                  <c:v>2.4390243902438602E-2</c:v>
                </c:pt>
                <c:pt idx="3">
                  <c:v>2.4390243902438602E-2</c:v>
                </c:pt>
                <c:pt idx="4">
                  <c:v>2.4390243902438602E-2</c:v>
                </c:pt>
                <c:pt idx="5">
                  <c:v>2.4390243902438602E-2</c:v>
                </c:pt>
                <c:pt idx="6">
                  <c:v>2.4390243902438602E-2</c:v>
                </c:pt>
                <c:pt idx="7">
                  <c:v>2.4390243902438602E-2</c:v>
                </c:pt>
                <c:pt idx="8">
                  <c:v>0.13008130081300731</c:v>
                </c:pt>
                <c:pt idx="9">
                  <c:v>0.30894308943089477</c:v>
                </c:pt>
                <c:pt idx="10">
                  <c:v>0.50406504065040791</c:v>
                </c:pt>
                <c:pt idx="11">
                  <c:v>0.63414634146341664</c:v>
                </c:pt>
                <c:pt idx="12">
                  <c:v>0.73170731707317394</c:v>
                </c:pt>
                <c:pt idx="13">
                  <c:v>0.78861788617886408</c:v>
                </c:pt>
                <c:pt idx="14">
                  <c:v>0.83739837398374262</c:v>
                </c:pt>
                <c:pt idx="15">
                  <c:v>0.87804878048780699</c:v>
                </c:pt>
                <c:pt idx="16">
                  <c:v>0.89430894308943276</c:v>
                </c:pt>
                <c:pt idx="17">
                  <c:v>0.92682926829268708</c:v>
                </c:pt>
                <c:pt idx="18">
                  <c:v>0.93495934959349858</c:v>
                </c:pt>
                <c:pt idx="19">
                  <c:v>0.94308943089431296</c:v>
                </c:pt>
                <c:pt idx="20">
                  <c:v>0.93495934959349858</c:v>
                </c:pt>
                <c:pt idx="21">
                  <c:v>0.95121951219512568</c:v>
                </c:pt>
                <c:pt idx="22">
                  <c:v>0.95934959349593862</c:v>
                </c:pt>
                <c:pt idx="23">
                  <c:v>0.95934959349593862</c:v>
                </c:pt>
                <c:pt idx="24">
                  <c:v>0.95934959349593862</c:v>
                </c:pt>
                <c:pt idx="25">
                  <c:v>0.96747967479675145</c:v>
                </c:pt>
                <c:pt idx="26">
                  <c:v>0.95934959349593862</c:v>
                </c:pt>
                <c:pt idx="27">
                  <c:v>0.9756097560975644</c:v>
                </c:pt>
                <c:pt idx="28">
                  <c:v>0.95934959349593862</c:v>
                </c:pt>
                <c:pt idx="29">
                  <c:v>0.96747967479675145</c:v>
                </c:pt>
                <c:pt idx="30">
                  <c:v>0.96747967479675145</c:v>
                </c:pt>
                <c:pt idx="31">
                  <c:v>0.96747967479675145</c:v>
                </c:pt>
                <c:pt idx="32">
                  <c:v>0.9756097560975644</c:v>
                </c:pt>
                <c:pt idx="33">
                  <c:v>0.96747967479675145</c:v>
                </c:pt>
                <c:pt idx="34">
                  <c:v>0.9756097560975644</c:v>
                </c:pt>
                <c:pt idx="35">
                  <c:v>0.95934959349593862</c:v>
                </c:pt>
                <c:pt idx="36">
                  <c:v>0.95934959349593862</c:v>
                </c:pt>
                <c:pt idx="37">
                  <c:v>0.95934959349593862</c:v>
                </c:pt>
                <c:pt idx="38">
                  <c:v>0.95934959349593862</c:v>
                </c:pt>
                <c:pt idx="39">
                  <c:v>0.95934959349593862</c:v>
                </c:pt>
                <c:pt idx="40">
                  <c:v>0.96747967479675145</c:v>
                </c:pt>
                <c:pt idx="41">
                  <c:v>0.95934959349593862</c:v>
                </c:pt>
                <c:pt idx="42">
                  <c:v>0.98373983739837723</c:v>
                </c:pt>
                <c:pt idx="43">
                  <c:v>0.9756097560975644</c:v>
                </c:pt>
                <c:pt idx="44">
                  <c:v>0.9756097560975644</c:v>
                </c:pt>
                <c:pt idx="45">
                  <c:v>0.98373983739837723</c:v>
                </c:pt>
                <c:pt idx="46">
                  <c:v>0.9756097560975644</c:v>
                </c:pt>
                <c:pt idx="47">
                  <c:v>0.96747967479675145</c:v>
                </c:pt>
                <c:pt idx="48">
                  <c:v>0.96747967479675145</c:v>
                </c:pt>
                <c:pt idx="49">
                  <c:v>0.96341463414634421</c:v>
                </c:pt>
                <c:pt idx="50">
                  <c:v>0.96341463414634421</c:v>
                </c:pt>
                <c:pt idx="51">
                  <c:v>0.96341463414634421</c:v>
                </c:pt>
                <c:pt idx="52">
                  <c:v>0.96341463414634421</c:v>
                </c:pt>
                <c:pt idx="53">
                  <c:v>0.97560975609756362</c:v>
                </c:pt>
                <c:pt idx="54">
                  <c:v>0.97560975609756362</c:v>
                </c:pt>
                <c:pt idx="55">
                  <c:v>0.96341463414634421</c:v>
                </c:pt>
                <c:pt idx="56">
                  <c:v>0.97560975609756362</c:v>
                </c:pt>
                <c:pt idx="57">
                  <c:v>0.96341463414634421</c:v>
                </c:pt>
                <c:pt idx="58">
                  <c:v>0.96341463414634421</c:v>
                </c:pt>
                <c:pt idx="59">
                  <c:v>0.96341463414634421</c:v>
                </c:pt>
                <c:pt idx="60">
                  <c:v>0.97560975609756362</c:v>
                </c:pt>
                <c:pt idx="61">
                  <c:v>0.97560975609756362</c:v>
                </c:pt>
                <c:pt idx="62">
                  <c:v>0.98780487804878292</c:v>
                </c:pt>
                <c:pt idx="63">
                  <c:v>0.97560975609756362</c:v>
                </c:pt>
                <c:pt idx="64">
                  <c:v>0.97560975609756362</c:v>
                </c:pt>
                <c:pt idx="65">
                  <c:v>0.98780487804878292</c:v>
                </c:pt>
                <c:pt idx="66">
                  <c:v>0.98780487804878292</c:v>
                </c:pt>
                <c:pt idx="67">
                  <c:v>0.98780487804878292</c:v>
                </c:pt>
                <c:pt idx="68">
                  <c:v>0.96341463414634421</c:v>
                </c:pt>
                <c:pt idx="69">
                  <c:v>0.96341463414634421</c:v>
                </c:pt>
                <c:pt idx="70">
                  <c:v>0.96341463414634421</c:v>
                </c:pt>
                <c:pt idx="71">
                  <c:v>0.96341463414634421</c:v>
                </c:pt>
                <c:pt idx="72">
                  <c:v>0.96341463414634421</c:v>
                </c:pt>
                <c:pt idx="73">
                  <c:v>0.96341463414634421</c:v>
                </c:pt>
                <c:pt idx="74">
                  <c:v>0.96341463414634421</c:v>
                </c:pt>
                <c:pt idx="75">
                  <c:v>0.96341463414634421</c:v>
                </c:pt>
                <c:pt idx="76">
                  <c:v>0.97560975609756362</c:v>
                </c:pt>
                <c:pt idx="77">
                  <c:v>0.97560975609756362</c:v>
                </c:pt>
                <c:pt idx="78">
                  <c:v>0.97560975609756362</c:v>
                </c:pt>
                <c:pt idx="79">
                  <c:v>0.96341463414634421</c:v>
                </c:pt>
                <c:pt idx="80">
                  <c:v>0.96341463414634421</c:v>
                </c:pt>
                <c:pt idx="81">
                  <c:v>0.96341463414634421</c:v>
                </c:pt>
                <c:pt idx="82">
                  <c:v>0.96341463414634421</c:v>
                </c:pt>
                <c:pt idx="83">
                  <c:v>0.97560975609756362</c:v>
                </c:pt>
                <c:pt idx="84">
                  <c:v>0.98780487804878292</c:v>
                </c:pt>
                <c:pt idx="85">
                  <c:v>0.97560975609756362</c:v>
                </c:pt>
                <c:pt idx="86">
                  <c:v>0.97560975609756362</c:v>
                </c:pt>
                <c:pt idx="87">
                  <c:v>0.97560975609756362</c:v>
                </c:pt>
                <c:pt idx="88">
                  <c:v>0.97560975609756362</c:v>
                </c:pt>
                <c:pt idx="89">
                  <c:v>0.97560975609756362</c:v>
                </c:pt>
                <c:pt idx="90">
                  <c:v>0.96341463414634421</c:v>
                </c:pt>
                <c:pt idx="91">
                  <c:v>0.96341463414634421</c:v>
                </c:pt>
                <c:pt idx="92">
                  <c:v>0.96341463414634421</c:v>
                </c:pt>
                <c:pt idx="93">
                  <c:v>0.96341463414634421</c:v>
                </c:pt>
                <c:pt idx="94">
                  <c:v>0.96341463414634421</c:v>
                </c:pt>
                <c:pt idx="95">
                  <c:v>0.96341463414634421</c:v>
                </c:pt>
                <c:pt idx="96">
                  <c:v>0.96341463414634421</c:v>
                </c:pt>
                <c:pt idx="97">
                  <c:v>0.96341463414634421</c:v>
                </c:pt>
                <c:pt idx="98">
                  <c:v>0.96341463414634421</c:v>
                </c:pt>
                <c:pt idx="99">
                  <c:v>0.9756097560975614</c:v>
                </c:pt>
                <c:pt idx="100">
                  <c:v>0.9756097560975614</c:v>
                </c:pt>
                <c:pt idx="101">
                  <c:v>0.9756097560975614</c:v>
                </c:pt>
                <c:pt idx="102">
                  <c:v>0.9756097560975614</c:v>
                </c:pt>
                <c:pt idx="103">
                  <c:v>0.9756097560975614</c:v>
                </c:pt>
                <c:pt idx="104">
                  <c:v>0.9756097560975614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E9-4165-B0B3-9D3C58AB8E1F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'3'!$AM$8:$AM$165</c:f>
              <c:numCache>
                <c:formatCode>General</c:formatCode>
                <c:ptCount val="15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</c:numCache>
            </c:numRef>
          </c:xVal>
          <c:yVal>
            <c:numRef>
              <c:f>'3'!$AR$8:$AR$165</c:f>
              <c:numCache>
                <c:formatCode>General</c:formatCode>
                <c:ptCount val="158"/>
                <c:pt idx="0">
                  <c:v>1.9658119658119963E-2</c:v>
                </c:pt>
                <c:pt idx="1">
                  <c:v>1.9658119658119963E-2</c:v>
                </c:pt>
                <c:pt idx="2">
                  <c:v>1.9658119658119963E-2</c:v>
                </c:pt>
                <c:pt idx="3">
                  <c:v>1.9658119658119963E-2</c:v>
                </c:pt>
                <c:pt idx="4">
                  <c:v>1.9658119658119963E-2</c:v>
                </c:pt>
                <c:pt idx="5">
                  <c:v>1.9658119658119963E-2</c:v>
                </c:pt>
                <c:pt idx="6">
                  <c:v>1.9658119658119963E-2</c:v>
                </c:pt>
                <c:pt idx="7">
                  <c:v>1.9658119658119963E-2</c:v>
                </c:pt>
                <c:pt idx="8">
                  <c:v>0.30769230769230677</c:v>
                </c:pt>
                <c:pt idx="9">
                  <c:v>0.49572649572649508</c:v>
                </c:pt>
                <c:pt idx="10">
                  <c:v>0.64102564102564008</c:v>
                </c:pt>
                <c:pt idx="11">
                  <c:v>0.72649572649572514</c:v>
                </c:pt>
                <c:pt idx="12">
                  <c:v>0.81196581196581175</c:v>
                </c:pt>
                <c:pt idx="13">
                  <c:v>0.85470085470085344</c:v>
                </c:pt>
                <c:pt idx="14">
                  <c:v>0.9059829059829051</c:v>
                </c:pt>
                <c:pt idx="15">
                  <c:v>0.92307692307692191</c:v>
                </c:pt>
                <c:pt idx="16">
                  <c:v>0.94871794871794835</c:v>
                </c:pt>
                <c:pt idx="17">
                  <c:v>0.97435897435897334</c:v>
                </c:pt>
                <c:pt idx="18">
                  <c:v>0.97435897435897334</c:v>
                </c:pt>
                <c:pt idx="19">
                  <c:v>0.99145299145299015</c:v>
                </c:pt>
                <c:pt idx="20">
                  <c:v>0.99145299145299015</c:v>
                </c:pt>
                <c:pt idx="21">
                  <c:v>0.99999999999999845</c:v>
                </c:pt>
                <c:pt idx="22">
                  <c:v>0.99999999999999845</c:v>
                </c:pt>
                <c:pt idx="23">
                  <c:v>0.99999999999999845</c:v>
                </c:pt>
                <c:pt idx="24">
                  <c:v>0.99999999999999845</c:v>
                </c:pt>
                <c:pt idx="25">
                  <c:v>0.99999999999999845</c:v>
                </c:pt>
                <c:pt idx="26">
                  <c:v>0.99999999999999845</c:v>
                </c:pt>
                <c:pt idx="27">
                  <c:v>0.99999999999999845</c:v>
                </c:pt>
                <c:pt idx="28">
                  <c:v>0.99145299145299015</c:v>
                </c:pt>
                <c:pt idx="29">
                  <c:v>0.99999999999999845</c:v>
                </c:pt>
                <c:pt idx="30">
                  <c:v>0.98290598290598186</c:v>
                </c:pt>
                <c:pt idx="31">
                  <c:v>0.98290598290598186</c:v>
                </c:pt>
                <c:pt idx="32">
                  <c:v>0.98290598290598186</c:v>
                </c:pt>
                <c:pt idx="33">
                  <c:v>0.99145299145299015</c:v>
                </c:pt>
                <c:pt idx="34">
                  <c:v>0.98290598290598186</c:v>
                </c:pt>
                <c:pt idx="35">
                  <c:v>0.98290598290598186</c:v>
                </c:pt>
                <c:pt idx="36">
                  <c:v>0.98290598290598186</c:v>
                </c:pt>
                <c:pt idx="37">
                  <c:v>0.98290598290598186</c:v>
                </c:pt>
                <c:pt idx="38">
                  <c:v>0.97435897435897334</c:v>
                </c:pt>
                <c:pt idx="39">
                  <c:v>0.99145299145299015</c:v>
                </c:pt>
                <c:pt idx="40">
                  <c:v>0.97435897435897334</c:v>
                </c:pt>
                <c:pt idx="41">
                  <c:v>0.99145299145299015</c:v>
                </c:pt>
                <c:pt idx="42">
                  <c:v>0.99145299145299015</c:v>
                </c:pt>
                <c:pt idx="43">
                  <c:v>0.98290598290598186</c:v>
                </c:pt>
                <c:pt idx="44">
                  <c:v>0.99145299145299015</c:v>
                </c:pt>
                <c:pt idx="45">
                  <c:v>0.98290598290598186</c:v>
                </c:pt>
                <c:pt idx="46">
                  <c:v>0.98290598290598186</c:v>
                </c:pt>
                <c:pt idx="47">
                  <c:v>0.98290598290598186</c:v>
                </c:pt>
                <c:pt idx="48">
                  <c:v>0.98290598290598186</c:v>
                </c:pt>
                <c:pt idx="49">
                  <c:v>0.98290598290598186</c:v>
                </c:pt>
                <c:pt idx="50">
                  <c:v>0.98290598290598186</c:v>
                </c:pt>
                <c:pt idx="51">
                  <c:v>0.99145299145299015</c:v>
                </c:pt>
                <c:pt idx="52">
                  <c:v>0.99145299145299015</c:v>
                </c:pt>
                <c:pt idx="53">
                  <c:v>0.99145299145299015</c:v>
                </c:pt>
                <c:pt idx="54">
                  <c:v>0.99145299145299015</c:v>
                </c:pt>
                <c:pt idx="55">
                  <c:v>0.99999999999999845</c:v>
                </c:pt>
                <c:pt idx="56">
                  <c:v>0.99145299145299015</c:v>
                </c:pt>
                <c:pt idx="57">
                  <c:v>0.99999999999999845</c:v>
                </c:pt>
                <c:pt idx="58">
                  <c:v>0.99145299145299015</c:v>
                </c:pt>
                <c:pt idx="59">
                  <c:v>0.99999999999999845</c:v>
                </c:pt>
                <c:pt idx="60">
                  <c:v>0.99145299145299015</c:v>
                </c:pt>
                <c:pt idx="61">
                  <c:v>0.99145299145299015</c:v>
                </c:pt>
                <c:pt idx="62">
                  <c:v>1.0128205128205126</c:v>
                </c:pt>
                <c:pt idx="63">
                  <c:v>1</c:v>
                </c:pt>
                <c:pt idx="64">
                  <c:v>1.0128205128205126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0.97435897435897501</c:v>
                </c:pt>
                <c:pt idx="73">
                  <c:v>1</c:v>
                </c:pt>
                <c:pt idx="74">
                  <c:v>0.97435897435897501</c:v>
                </c:pt>
                <c:pt idx="75">
                  <c:v>1</c:v>
                </c:pt>
                <c:pt idx="76">
                  <c:v>0.97435897435897501</c:v>
                </c:pt>
                <c:pt idx="77">
                  <c:v>1</c:v>
                </c:pt>
                <c:pt idx="78">
                  <c:v>0.97435897435897501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EE9-4165-B0B3-9D3C58AB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693120"/>
        <c:axId val="584695744"/>
      </c:scatterChart>
      <c:valAx>
        <c:axId val="58469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695744"/>
        <c:crosses val="autoZero"/>
        <c:crossBetween val="midCat"/>
      </c:valAx>
      <c:valAx>
        <c:axId val="58469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69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P for 2 L @ 200 rpm (Rep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'10'!$S$11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'10'!$Q$12:$Q$59</c:f>
              <c:numCache>
                <c:formatCode>0.0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'10'!$S$12:$S$59</c:f>
              <c:numCache>
                <c:formatCode>0.0</c:formatCode>
                <c:ptCount val="48"/>
                <c:pt idx="0">
                  <c:v>50</c:v>
                </c:pt>
                <c:pt idx="1">
                  <c:v>49</c:v>
                </c:pt>
                <c:pt idx="2">
                  <c:v>47.5</c:v>
                </c:pt>
                <c:pt idx="3">
                  <c:v>46.5</c:v>
                </c:pt>
                <c:pt idx="4">
                  <c:v>45.5</c:v>
                </c:pt>
                <c:pt idx="5">
                  <c:v>44.5</c:v>
                </c:pt>
                <c:pt idx="6">
                  <c:v>43.5</c:v>
                </c:pt>
                <c:pt idx="7">
                  <c:v>42.5</c:v>
                </c:pt>
                <c:pt idx="8">
                  <c:v>42</c:v>
                </c:pt>
                <c:pt idx="9">
                  <c:v>41</c:v>
                </c:pt>
                <c:pt idx="10">
                  <c:v>40.5</c:v>
                </c:pt>
                <c:pt idx="11">
                  <c:v>39.5</c:v>
                </c:pt>
                <c:pt idx="12">
                  <c:v>39</c:v>
                </c:pt>
                <c:pt idx="13">
                  <c:v>38.5</c:v>
                </c:pt>
                <c:pt idx="14">
                  <c:v>38</c:v>
                </c:pt>
                <c:pt idx="15">
                  <c:v>37.5</c:v>
                </c:pt>
                <c:pt idx="16">
                  <c:v>37</c:v>
                </c:pt>
                <c:pt idx="17">
                  <c:v>36</c:v>
                </c:pt>
                <c:pt idx="18">
                  <c:v>36</c:v>
                </c:pt>
                <c:pt idx="19">
                  <c:v>35.5</c:v>
                </c:pt>
                <c:pt idx="20">
                  <c:v>35</c:v>
                </c:pt>
                <c:pt idx="21">
                  <c:v>34.5</c:v>
                </c:pt>
                <c:pt idx="22">
                  <c:v>34</c:v>
                </c:pt>
                <c:pt idx="23">
                  <c:v>33.5</c:v>
                </c:pt>
                <c:pt idx="24">
                  <c:v>33.5</c:v>
                </c:pt>
                <c:pt idx="25">
                  <c:v>33</c:v>
                </c:pt>
                <c:pt idx="26">
                  <c:v>32.5</c:v>
                </c:pt>
                <c:pt idx="27">
                  <c:v>32.5</c:v>
                </c:pt>
                <c:pt idx="28">
                  <c:v>32</c:v>
                </c:pt>
                <c:pt idx="29">
                  <c:v>32</c:v>
                </c:pt>
                <c:pt idx="30">
                  <c:v>31.5</c:v>
                </c:pt>
                <c:pt idx="31">
                  <c:v>31.5</c:v>
                </c:pt>
                <c:pt idx="32">
                  <c:v>31</c:v>
                </c:pt>
                <c:pt idx="33">
                  <c:v>31</c:v>
                </c:pt>
                <c:pt idx="34">
                  <c:v>30.5</c:v>
                </c:pt>
                <c:pt idx="35">
                  <c:v>30.5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29.5</c:v>
                </c:pt>
                <c:pt idx="40">
                  <c:v>29.5</c:v>
                </c:pt>
                <c:pt idx="41">
                  <c:v>29.5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28.5</c:v>
                </c:pt>
                <c:pt idx="46">
                  <c:v>28.5</c:v>
                </c:pt>
                <c:pt idx="47">
                  <c:v>28.5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BC-4ED4-81B1-400D0A424FF5}"/>
            </c:ext>
          </c:extLst>
        </c:ser>
        <c:ser>
          <c:idx val="2"/>
          <c:order val="2"/>
          <c:tx>
            <c:strRef>
              <c:f>'10'!$V$11</c:f>
              <c:strCache>
                <c:ptCount val="1"/>
                <c:pt idx="0">
                  <c:v>Tmodel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'10'!$Q$12:$Q$59</c:f>
              <c:numCache>
                <c:formatCode>0.0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'10'!$V$12:$V$59</c:f>
              <c:numCache>
                <c:formatCode>0.0</c:formatCode>
                <c:ptCount val="48"/>
                <c:pt idx="0">
                  <c:v>50</c:v>
                </c:pt>
                <c:pt idx="1">
                  <c:v>48.895673766218479</c:v>
                </c:pt>
                <c:pt idx="2">
                  <c:v>47.840525076929936</c:v>
                </c:pt>
                <c:pt idx="3">
                  <c:v>46.832363971587952</c:v>
                </c:pt>
                <c:pt idx="4">
                  <c:v>45.869098012351742</c:v>
                </c:pt>
                <c:pt idx="5">
                  <c:v>44.948727941232477</c:v>
                </c:pt>
                <c:pt idx="6">
                  <c:v>44.069343530634455</c:v>
                </c:pt>
                <c:pt idx="7">
                  <c:v>43.229119618678695</c:v>
                </c:pt>
                <c:pt idx="8">
                  <c:v>42.426312321080438</c:v>
                </c:pt>
                <c:pt idx="9">
                  <c:v>41.659255411718213</c:v>
                </c:pt>
                <c:pt idx="10">
                  <c:v>40.926356864382434</c:v>
                </c:pt>
                <c:pt idx="11">
                  <c:v>40.226095548525819</c:v>
                </c:pt>
                <c:pt idx="12">
                  <c:v>39.557018072157767</c:v>
                </c:pt>
                <c:pt idx="13">
                  <c:v>38.917735765330036</c:v>
                </c:pt>
                <c:pt idx="14">
                  <c:v>38.306921797952995</c:v>
                </c:pt>
                <c:pt idx="15">
                  <c:v>37.723308425960482</c:v>
                </c:pt>
                <c:pt idx="16">
                  <c:v>37.16568436010769</c:v>
                </c:pt>
                <c:pt idx="17">
                  <c:v>36.632892251940916</c:v>
                </c:pt>
                <c:pt idx="18">
                  <c:v>36.123826291721528</c:v>
                </c:pt>
                <c:pt idx="19">
                  <c:v>35.6374299133184</c:v>
                </c:pt>
                <c:pt idx="20">
                  <c:v>35.172693601305468</c:v>
                </c:pt>
                <c:pt idx="21">
                  <c:v>34.728652795713003</c:v>
                </c:pt>
                <c:pt idx="22">
                  <c:v>34.304385890083921</c:v>
                </c:pt>
                <c:pt idx="23">
                  <c:v>33.899012318680008</c:v>
                </c:pt>
                <c:pt idx="24">
                  <c:v>33.511690728868295</c:v>
                </c:pt>
                <c:pt idx="25">
                  <c:v>33.141617234894014</c:v>
                </c:pt>
                <c:pt idx="26">
                  <c:v>32.788023749416197</c:v>
                </c:pt>
                <c:pt idx="27">
                  <c:v>32.450176389342801</c:v>
                </c:pt>
                <c:pt idx="28">
                  <c:v>32.127373952656718</c:v>
                </c:pt>
                <c:pt idx="29">
                  <c:v>31.818946463071384</c:v>
                </c:pt>
                <c:pt idx="30">
                  <c:v>31.524253779495318</c:v>
                </c:pt>
                <c:pt idx="31">
                  <c:v>31.242684267419666</c:v>
                </c:pt>
                <c:pt idx="32">
                  <c:v>30.973653529471065</c:v>
                </c:pt>
                <c:pt idx="33">
                  <c:v>30.716603192495231</c:v>
                </c:pt>
                <c:pt idx="34">
                  <c:v>30.470999748653753</c:v>
                </c:pt>
                <c:pt idx="35">
                  <c:v>30.236333448128871</c:v>
                </c:pt>
                <c:pt idx="36">
                  <c:v>30.01211724113799</c:v>
                </c:pt>
                <c:pt idx="37">
                  <c:v>29.797885767062109</c:v>
                </c:pt>
                <c:pt idx="38">
                  <c:v>29.593194388590124</c:v>
                </c:pt>
                <c:pt idx="39">
                  <c:v>29.3976182688743</c:v>
                </c:pt>
                <c:pt idx="40">
                  <c:v>29.210751489781629</c:v>
                </c:pt>
                <c:pt idx="41">
                  <c:v>29.032206209410965</c:v>
                </c:pt>
                <c:pt idx="42">
                  <c:v>28.86161185712735</c:v>
                </c:pt>
                <c:pt idx="43">
                  <c:v>28.698614364442868</c:v>
                </c:pt>
                <c:pt idx="44">
                  <c:v>28.542875430147685</c:v>
                </c:pt>
                <c:pt idx="45">
                  <c:v>28.394071818166058</c:v>
                </c:pt>
                <c:pt idx="46">
                  <c:v>28.251894686680039</c:v>
                </c:pt>
                <c:pt idx="47">
                  <c:v>28.116048947128448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BC-4ED4-81B1-400D0A424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530344"/>
        <c:axId val="31652870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'10'!$R$11</c15:sqref>
                        </c15:formulaRef>
                      </c:ext>
                    </c:extLst>
                    <c:strCache>
                      <c:ptCount val="1"/>
                      <c:pt idx="0">
                        <c:v>T∞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'10'!$Q$12:$Q$59</c15:sqref>
                        </c15:formulaRef>
                      </c:ext>
                    </c:extLst>
                    <c:numCache>
                      <c:formatCode>0.0</c:formatCode>
                      <c:ptCount val="48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1</c:v>
                      </c:pt>
                      <c:pt idx="3">
                        <c:v>1.5</c:v>
                      </c:pt>
                      <c:pt idx="4">
                        <c:v>2</c:v>
                      </c:pt>
                      <c:pt idx="5">
                        <c:v>2.5</c:v>
                      </c:pt>
                      <c:pt idx="6">
                        <c:v>3</c:v>
                      </c:pt>
                      <c:pt idx="7">
                        <c:v>3.5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5</c:v>
                      </c:pt>
                      <c:pt idx="11">
                        <c:v>5.5</c:v>
                      </c:pt>
                      <c:pt idx="12">
                        <c:v>6</c:v>
                      </c:pt>
                      <c:pt idx="13">
                        <c:v>6.5</c:v>
                      </c:pt>
                      <c:pt idx="14">
                        <c:v>7</c:v>
                      </c:pt>
                      <c:pt idx="15">
                        <c:v>7.5</c:v>
                      </c:pt>
                      <c:pt idx="16">
                        <c:v>8</c:v>
                      </c:pt>
                      <c:pt idx="17">
                        <c:v>8.5</c:v>
                      </c:pt>
                      <c:pt idx="18">
                        <c:v>9</c:v>
                      </c:pt>
                      <c:pt idx="19">
                        <c:v>9.5</c:v>
                      </c:pt>
                      <c:pt idx="20">
                        <c:v>10</c:v>
                      </c:pt>
                      <c:pt idx="21">
                        <c:v>10.5</c:v>
                      </c:pt>
                      <c:pt idx="22">
                        <c:v>11</c:v>
                      </c:pt>
                      <c:pt idx="23">
                        <c:v>11.5</c:v>
                      </c:pt>
                      <c:pt idx="24">
                        <c:v>12</c:v>
                      </c:pt>
                      <c:pt idx="25">
                        <c:v>12.5</c:v>
                      </c:pt>
                      <c:pt idx="26">
                        <c:v>13</c:v>
                      </c:pt>
                      <c:pt idx="27">
                        <c:v>13.5</c:v>
                      </c:pt>
                      <c:pt idx="28">
                        <c:v>14</c:v>
                      </c:pt>
                      <c:pt idx="29">
                        <c:v>14.5</c:v>
                      </c:pt>
                      <c:pt idx="30">
                        <c:v>15</c:v>
                      </c:pt>
                      <c:pt idx="31">
                        <c:v>15.5</c:v>
                      </c:pt>
                      <c:pt idx="32">
                        <c:v>16</c:v>
                      </c:pt>
                      <c:pt idx="33">
                        <c:v>16.5</c:v>
                      </c:pt>
                      <c:pt idx="34">
                        <c:v>17</c:v>
                      </c:pt>
                      <c:pt idx="35">
                        <c:v>17.5</c:v>
                      </c:pt>
                      <c:pt idx="36">
                        <c:v>18</c:v>
                      </c:pt>
                      <c:pt idx="37">
                        <c:v>18.5</c:v>
                      </c:pt>
                      <c:pt idx="38">
                        <c:v>19</c:v>
                      </c:pt>
                      <c:pt idx="39">
                        <c:v>19.5</c:v>
                      </c:pt>
                      <c:pt idx="40">
                        <c:v>20</c:v>
                      </c:pt>
                      <c:pt idx="41">
                        <c:v>20.5</c:v>
                      </c:pt>
                      <c:pt idx="42">
                        <c:v>21</c:v>
                      </c:pt>
                      <c:pt idx="43">
                        <c:v>21.5</c:v>
                      </c:pt>
                      <c:pt idx="44">
                        <c:v>22</c:v>
                      </c:pt>
                      <c:pt idx="45">
                        <c:v>22.5</c:v>
                      </c:pt>
                      <c:pt idx="46">
                        <c:v>23</c:v>
                      </c:pt>
                      <c:pt idx="47">
                        <c:v>23.5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'10'!$R$12:$R$59</c15:sqref>
                        </c15:formulaRef>
                      </c:ext>
                    </c:extLst>
                    <c:numCache>
                      <c:formatCode>0.0</c:formatCode>
                      <c:ptCount val="48"/>
                      <c:pt idx="0">
                        <c:v>28.5</c:v>
                      </c:pt>
                      <c:pt idx="1">
                        <c:v>28</c:v>
                      </c:pt>
                      <c:pt idx="2">
                        <c:v>28</c:v>
                      </c:pt>
                      <c:pt idx="3">
                        <c:v>27.5</c:v>
                      </c:pt>
                      <c:pt idx="4">
                        <c:v>27.5</c:v>
                      </c:pt>
                      <c:pt idx="5">
                        <c:v>27</c:v>
                      </c:pt>
                      <c:pt idx="6">
                        <c:v>27</c:v>
                      </c:pt>
                      <c:pt idx="7">
                        <c:v>26.5</c:v>
                      </c:pt>
                      <c:pt idx="8">
                        <c:v>26.5</c:v>
                      </c:pt>
                      <c:pt idx="9">
                        <c:v>26</c:v>
                      </c:pt>
                      <c:pt idx="10">
                        <c:v>25.5</c:v>
                      </c:pt>
                      <c:pt idx="11">
                        <c:v>25</c:v>
                      </c:pt>
                      <c:pt idx="12">
                        <c:v>25</c:v>
                      </c:pt>
                      <c:pt idx="13">
                        <c:v>24.5</c:v>
                      </c:pt>
                      <c:pt idx="14">
                        <c:v>24.5</c:v>
                      </c:pt>
                      <c:pt idx="15">
                        <c:v>25</c:v>
                      </c:pt>
                      <c:pt idx="16">
                        <c:v>24.5</c:v>
                      </c:pt>
                      <c:pt idx="17">
                        <c:v>24</c:v>
                      </c:pt>
                      <c:pt idx="18">
                        <c:v>24</c:v>
                      </c:pt>
                      <c:pt idx="19">
                        <c:v>24.5</c:v>
                      </c:pt>
                      <c:pt idx="20">
                        <c:v>24.5</c:v>
                      </c:pt>
                      <c:pt idx="21">
                        <c:v>25</c:v>
                      </c:pt>
                      <c:pt idx="22">
                        <c:v>24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24.5</c:v>
                      </c:pt>
                      <c:pt idx="26">
                        <c:v>25</c:v>
                      </c:pt>
                      <c:pt idx="27">
                        <c:v>24</c:v>
                      </c:pt>
                      <c:pt idx="28">
                        <c:v>24</c:v>
                      </c:pt>
                      <c:pt idx="29">
                        <c:v>25</c:v>
                      </c:pt>
                      <c:pt idx="30">
                        <c:v>22</c:v>
                      </c:pt>
                      <c:pt idx="31">
                        <c:v>23</c:v>
                      </c:pt>
                      <c:pt idx="32">
                        <c:v>24</c:v>
                      </c:pt>
                      <c:pt idx="33">
                        <c:v>23</c:v>
                      </c:pt>
                      <c:pt idx="34">
                        <c:v>25</c:v>
                      </c:pt>
                      <c:pt idx="35">
                        <c:v>22</c:v>
                      </c:pt>
                      <c:pt idx="36">
                        <c:v>25</c:v>
                      </c:pt>
                      <c:pt idx="37">
                        <c:v>25</c:v>
                      </c:pt>
                      <c:pt idx="38">
                        <c:v>23</c:v>
                      </c:pt>
                      <c:pt idx="39">
                        <c:v>23</c:v>
                      </c:pt>
                      <c:pt idx="40">
                        <c:v>25</c:v>
                      </c:pt>
                      <c:pt idx="41">
                        <c:v>22</c:v>
                      </c:pt>
                      <c:pt idx="42">
                        <c:v>23</c:v>
                      </c:pt>
                      <c:pt idx="43">
                        <c:v>24</c:v>
                      </c:pt>
                      <c:pt idx="44">
                        <c:v>22</c:v>
                      </c:pt>
                      <c:pt idx="45">
                        <c:v>25</c:v>
                      </c:pt>
                      <c:pt idx="46">
                        <c:v>25</c:v>
                      </c:pt>
                      <c:pt idx="47">
                        <c:v>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0BC-4ED4-81B1-400D0A424FF5}"/>
                  </c:ext>
                </c:extLst>
              </c15:ser>
            </c15:filteredScatterSeries>
          </c:ext>
        </c:extLst>
      </c:scatterChart>
      <c:valAx>
        <c:axId val="316530344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528704"/>
        <c:crosses val="autoZero"/>
        <c:crossBetween val="midCat"/>
      </c:valAx>
      <c:valAx>
        <c:axId val="3165287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530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u="none" strike="noStrike" baseline="0">
                <a:effectLst/>
              </a:rPr>
              <a:t>P for 2 L @ 200 rpm (Rep )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'10'!$AA$11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'10'!$Y$12:$Y$59</c:f>
              <c:numCache>
                <c:formatCode>0.0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'10'!$AA$12:$AA$59</c:f>
              <c:numCache>
                <c:formatCode>0.0</c:formatCode>
                <c:ptCount val="48"/>
                <c:pt idx="0">
                  <c:v>44.5</c:v>
                </c:pt>
                <c:pt idx="1">
                  <c:v>44.5</c:v>
                </c:pt>
                <c:pt idx="2">
                  <c:v>43.5</c:v>
                </c:pt>
                <c:pt idx="3">
                  <c:v>43</c:v>
                </c:pt>
                <c:pt idx="4">
                  <c:v>42</c:v>
                </c:pt>
                <c:pt idx="5">
                  <c:v>41.5</c:v>
                </c:pt>
                <c:pt idx="6">
                  <c:v>40.5</c:v>
                </c:pt>
                <c:pt idx="7">
                  <c:v>40</c:v>
                </c:pt>
                <c:pt idx="8">
                  <c:v>39.5</c:v>
                </c:pt>
                <c:pt idx="9">
                  <c:v>39</c:v>
                </c:pt>
                <c:pt idx="10">
                  <c:v>38</c:v>
                </c:pt>
                <c:pt idx="11">
                  <c:v>37.5</c:v>
                </c:pt>
                <c:pt idx="12">
                  <c:v>37</c:v>
                </c:pt>
                <c:pt idx="13">
                  <c:v>36.5</c:v>
                </c:pt>
                <c:pt idx="14">
                  <c:v>36</c:v>
                </c:pt>
                <c:pt idx="15">
                  <c:v>36</c:v>
                </c:pt>
                <c:pt idx="16">
                  <c:v>35.5</c:v>
                </c:pt>
                <c:pt idx="17">
                  <c:v>35</c:v>
                </c:pt>
                <c:pt idx="18">
                  <c:v>34.5</c:v>
                </c:pt>
                <c:pt idx="19">
                  <c:v>34</c:v>
                </c:pt>
                <c:pt idx="20">
                  <c:v>34</c:v>
                </c:pt>
                <c:pt idx="21">
                  <c:v>33.5</c:v>
                </c:pt>
                <c:pt idx="22">
                  <c:v>33</c:v>
                </c:pt>
                <c:pt idx="23">
                  <c:v>33</c:v>
                </c:pt>
                <c:pt idx="24">
                  <c:v>32.5</c:v>
                </c:pt>
                <c:pt idx="25">
                  <c:v>32.5</c:v>
                </c:pt>
                <c:pt idx="26">
                  <c:v>32</c:v>
                </c:pt>
                <c:pt idx="27">
                  <c:v>32</c:v>
                </c:pt>
                <c:pt idx="28">
                  <c:v>31.5</c:v>
                </c:pt>
                <c:pt idx="29">
                  <c:v>31.5</c:v>
                </c:pt>
                <c:pt idx="30">
                  <c:v>31</c:v>
                </c:pt>
                <c:pt idx="31">
                  <c:v>31</c:v>
                </c:pt>
                <c:pt idx="32">
                  <c:v>30.5</c:v>
                </c:pt>
                <c:pt idx="33">
                  <c:v>30.5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29.5</c:v>
                </c:pt>
                <c:pt idx="38">
                  <c:v>29.5</c:v>
                </c:pt>
                <c:pt idx="39">
                  <c:v>29.5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28.5</c:v>
                </c:pt>
                <c:pt idx="44">
                  <c:v>28.5</c:v>
                </c:pt>
                <c:pt idx="45">
                  <c:v>28.5</c:v>
                </c:pt>
                <c:pt idx="46">
                  <c:v>28</c:v>
                </c:pt>
                <c:pt idx="47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33-46CC-86B4-8F3A64CDA4F1}"/>
            </c:ext>
          </c:extLst>
        </c:ser>
        <c:ser>
          <c:idx val="2"/>
          <c:order val="2"/>
          <c:tx>
            <c:strRef>
              <c:f>'10'!$AD$11</c:f>
              <c:strCache>
                <c:ptCount val="1"/>
                <c:pt idx="0">
                  <c:v>Tmodel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'10'!$Y$12:$Y$59</c:f>
              <c:numCache>
                <c:formatCode>0.0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'10'!$AD$12:$AD$59</c:f>
              <c:numCache>
                <c:formatCode>0.0</c:formatCode>
                <c:ptCount val="48"/>
                <c:pt idx="0">
                  <c:v>44.5</c:v>
                </c:pt>
                <c:pt idx="1">
                  <c:v>43.694842532394254</c:v>
                </c:pt>
                <c:pt idx="2">
                  <c:v>42.925540110132722</c:v>
                </c:pt>
                <c:pt idx="3">
                  <c:v>42.190496046444977</c:v>
                </c:pt>
                <c:pt idx="4">
                  <c:v>41.48818475776568</c:v>
                </c:pt>
                <c:pt idx="5">
                  <c:v>40.817148597386726</c:v>
                </c:pt>
                <c:pt idx="6">
                  <c:v>40.175994830112238</c:v>
                </c:pt>
                <c:pt idx="7">
                  <c:v>39.563392741637429</c:v>
                </c:pt>
                <c:pt idx="8">
                  <c:v>38.978070876651735</c:v>
                </c:pt>
                <c:pt idx="9">
                  <c:v>38.418814399934035</c:v>
                </c:pt>
                <c:pt idx="10">
                  <c:v>37.884462574962768</c:v>
                </c:pt>
                <c:pt idx="11">
                  <c:v>37.373906354807886</c:v>
                </c:pt>
                <c:pt idx="12">
                  <c:v>36.886086080304544</c:v>
                </c:pt>
                <c:pt idx="13">
                  <c:v>36.419989280731087</c:v>
                </c:pt>
                <c:pt idx="14">
                  <c:v>35.974648572426574</c:v>
                </c:pt>
                <c:pt idx="15">
                  <c:v>35.549139650986518</c:v>
                </c:pt>
                <c:pt idx="16">
                  <c:v>35.142579372869577</c:v>
                </c:pt>
                <c:pt idx="17">
                  <c:v>34.754123922433578</c:v>
                </c:pt>
                <c:pt idx="18">
                  <c:v>34.38296706059667</c:v>
                </c:pt>
                <c:pt idx="19">
                  <c:v>34.028338451488445</c:v>
                </c:pt>
                <c:pt idx="20">
                  <c:v>33.689502063618306</c:v>
                </c:pt>
                <c:pt idx="21">
                  <c:v>33.365754642242486</c:v>
                </c:pt>
                <c:pt idx="22">
                  <c:v>33.056424249759182</c:v>
                </c:pt>
                <c:pt idx="23">
                  <c:v>32.760868871102446</c:v>
                </c:pt>
                <c:pt idx="24">
                  <c:v>32.478475081240234</c:v>
                </c:pt>
                <c:pt idx="25">
                  <c:v>32.208656772011068</c:v>
                </c:pt>
                <c:pt idx="26">
                  <c:v>31.950853935656891</c:v>
                </c:pt>
                <c:pt idx="27">
                  <c:v>31.704531502527228</c:v>
                </c:pt>
                <c:pt idx="28">
                  <c:v>31.469178230542433</c:v>
                </c:pt>
                <c:pt idx="29">
                  <c:v>31.244305644111005</c:v>
                </c:pt>
                <c:pt idx="30">
                  <c:v>31.029447020298772</c:v>
                </c:pt>
                <c:pt idx="31">
                  <c:v>30.824156420145677</c:v>
                </c:pt>
                <c:pt idx="32">
                  <c:v>30.628007763119701</c:v>
                </c:pt>
                <c:pt idx="33">
                  <c:v>30.440593942786958</c:v>
                </c:pt>
                <c:pt idx="34">
                  <c:v>30.261525981862491</c:v>
                </c:pt>
                <c:pt idx="35">
                  <c:v>30.090432224888136</c:v>
                </c:pt>
                <c:pt idx="36">
                  <c:v>29.926957566861798</c:v>
                </c:pt>
                <c:pt idx="37">
                  <c:v>29.770762716217234</c:v>
                </c:pt>
                <c:pt idx="38">
                  <c:v>29.621523490624558</c:v>
                </c:pt>
                <c:pt idx="39">
                  <c:v>29.478930144149999</c:v>
                </c:pt>
                <c:pt idx="40">
                  <c:v>29.342686724378392</c:v>
                </c:pt>
                <c:pt idx="41">
                  <c:v>29.212510458164072</c:v>
                </c:pt>
                <c:pt idx="42">
                  <c:v>29.088131164735376</c:v>
                </c:pt>
                <c:pt idx="43">
                  <c:v>28.969290694934596</c:v>
                </c:pt>
                <c:pt idx="44">
                  <c:v>28.85574239542953</c:v>
                </c:pt>
                <c:pt idx="45">
                  <c:v>28.747250596784621</c:v>
                </c:pt>
                <c:pt idx="46">
                  <c:v>28.64359012432918</c:v>
                </c:pt>
                <c:pt idx="47">
                  <c:v>28.544545830807461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33-46CC-86B4-8F3A64CDA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2011432"/>
        <c:axId val="67200388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'10'!$Z$11</c15:sqref>
                        </c15:formulaRef>
                      </c:ext>
                    </c:extLst>
                    <c:strCache>
                      <c:ptCount val="1"/>
                      <c:pt idx="0">
                        <c:v>T∞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'10'!$Y$12:$Y$59</c15:sqref>
                        </c15:formulaRef>
                      </c:ext>
                    </c:extLst>
                    <c:numCache>
                      <c:formatCode>0.0</c:formatCode>
                      <c:ptCount val="48"/>
                      <c:pt idx="0">
                        <c:v>0</c:v>
                      </c:pt>
                      <c:pt idx="1">
                        <c:v>0.5</c:v>
                      </c:pt>
                      <c:pt idx="2">
                        <c:v>1</c:v>
                      </c:pt>
                      <c:pt idx="3">
                        <c:v>1.5</c:v>
                      </c:pt>
                      <c:pt idx="4">
                        <c:v>2</c:v>
                      </c:pt>
                      <c:pt idx="5">
                        <c:v>2.5</c:v>
                      </c:pt>
                      <c:pt idx="6">
                        <c:v>3</c:v>
                      </c:pt>
                      <c:pt idx="7">
                        <c:v>3.5</c:v>
                      </c:pt>
                      <c:pt idx="8">
                        <c:v>4</c:v>
                      </c:pt>
                      <c:pt idx="9">
                        <c:v>4.5</c:v>
                      </c:pt>
                      <c:pt idx="10">
                        <c:v>5</c:v>
                      </c:pt>
                      <c:pt idx="11">
                        <c:v>5.5</c:v>
                      </c:pt>
                      <c:pt idx="12">
                        <c:v>6</c:v>
                      </c:pt>
                      <c:pt idx="13">
                        <c:v>6.5</c:v>
                      </c:pt>
                      <c:pt idx="14">
                        <c:v>7</c:v>
                      </c:pt>
                      <c:pt idx="15">
                        <c:v>7.5</c:v>
                      </c:pt>
                      <c:pt idx="16">
                        <c:v>8</c:v>
                      </c:pt>
                      <c:pt idx="17">
                        <c:v>8.5</c:v>
                      </c:pt>
                      <c:pt idx="18">
                        <c:v>9</c:v>
                      </c:pt>
                      <c:pt idx="19">
                        <c:v>9.5</c:v>
                      </c:pt>
                      <c:pt idx="20">
                        <c:v>10</c:v>
                      </c:pt>
                      <c:pt idx="21">
                        <c:v>10.5</c:v>
                      </c:pt>
                      <c:pt idx="22">
                        <c:v>11</c:v>
                      </c:pt>
                      <c:pt idx="23">
                        <c:v>11.5</c:v>
                      </c:pt>
                      <c:pt idx="24">
                        <c:v>12</c:v>
                      </c:pt>
                      <c:pt idx="25">
                        <c:v>12.5</c:v>
                      </c:pt>
                      <c:pt idx="26">
                        <c:v>13</c:v>
                      </c:pt>
                      <c:pt idx="27">
                        <c:v>13.5</c:v>
                      </c:pt>
                      <c:pt idx="28">
                        <c:v>14</c:v>
                      </c:pt>
                      <c:pt idx="29">
                        <c:v>14.5</c:v>
                      </c:pt>
                      <c:pt idx="30">
                        <c:v>15</c:v>
                      </c:pt>
                      <c:pt idx="31">
                        <c:v>15.5</c:v>
                      </c:pt>
                      <c:pt idx="32">
                        <c:v>16</c:v>
                      </c:pt>
                      <c:pt idx="33">
                        <c:v>16.5</c:v>
                      </c:pt>
                      <c:pt idx="34">
                        <c:v>17</c:v>
                      </c:pt>
                      <c:pt idx="35">
                        <c:v>17.5</c:v>
                      </c:pt>
                      <c:pt idx="36">
                        <c:v>18</c:v>
                      </c:pt>
                      <c:pt idx="37">
                        <c:v>18.5</c:v>
                      </c:pt>
                      <c:pt idx="38">
                        <c:v>19</c:v>
                      </c:pt>
                      <c:pt idx="39">
                        <c:v>19.5</c:v>
                      </c:pt>
                      <c:pt idx="40">
                        <c:v>20</c:v>
                      </c:pt>
                      <c:pt idx="41">
                        <c:v>20.5</c:v>
                      </c:pt>
                      <c:pt idx="42">
                        <c:v>21</c:v>
                      </c:pt>
                      <c:pt idx="43">
                        <c:v>21.5</c:v>
                      </c:pt>
                      <c:pt idx="44">
                        <c:v>22</c:v>
                      </c:pt>
                      <c:pt idx="45">
                        <c:v>22.5</c:v>
                      </c:pt>
                      <c:pt idx="46">
                        <c:v>23</c:v>
                      </c:pt>
                      <c:pt idx="47">
                        <c:v>23.5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'10'!$Z$12:$Z$59</c15:sqref>
                        </c15:formulaRef>
                      </c:ext>
                    </c:extLst>
                    <c:numCache>
                      <c:formatCode>0.0</c:formatCode>
                      <c:ptCount val="48"/>
                      <c:pt idx="0">
                        <c:v>29.4</c:v>
                      </c:pt>
                      <c:pt idx="1">
                        <c:v>28.5</c:v>
                      </c:pt>
                      <c:pt idx="2">
                        <c:v>27.4</c:v>
                      </c:pt>
                      <c:pt idx="3">
                        <c:v>26.8</c:v>
                      </c:pt>
                      <c:pt idx="4">
                        <c:v>26.4</c:v>
                      </c:pt>
                      <c:pt idx="5">
                        <c:v>26.4</c:v>
                      </c:pt>
                      <c:pt idx="6">
                        <c:v>25.8</c:v>
                      </c:pt>
                      <c:pt idx="7">
                        <c:v>26</c:v>
                      </c:pt>
                      <c:pt idx="8">
                        <c:v>25.5</c:v>
                      </c:pt>
                      <c:pt idx="9">
                        <c:v>25.8</c:v>
                      </c:pt>
                      <c:pt idx="10">
                        <c:v>26.6</c:v>
                      </c:pt>
                      <c:pt idx="11">
                        <c:v>25.8</c:v>
                      </c:pt>
                      <c:pt idx="12">
                        <c:v>25.4</c:v>
                      </c:pt>
                      <c:pt idx="13">
                        <c:v>25.6</c:v>
                      </c:pt>
                      <c:pt idx="14">
                        <c:v>25.6</c:v>
                      </c:pt>
                      <c:pt idx="15">
                        <c:v>25.6</c:v>
                      </c:pt>
                      <c:pt idx="16">
                        <c:v>25</c:v>
                      </c:pt>
                      <c:pt idx="17">
                        <c:v>25.7</c:v>
                      </c:pt>
                      <c:pt idx="18">
                        <c:v>25.3</c:v>
                      </c:pt>
                      <c:pt idx="19">
                        <c:v>25.4</c:v>
                      </c:pt>
                      <c:pt idx="20">
                        <c:v>25.7</c:v>
                      </c:pt>
                      <c:pt idx="21">
                        <c:v>26.5</c:v>
                      </c:pt>
                      <c:pt idx="22">
                        <c:v>26.5</c:v>
                      </c:pt>
                      <c:pt idx="23">
                        <c:v>26.5</c:v>
                      </c:pt>
                      <c:pt idx="24">
                        <c:v>26.8</c:v>
                      </c:pt>
                      <c:pt idx="25">
                        <c:v>26.4</c:v>
                      </c:pt>
                      <c:pt idx="26">
                        <c:v>26.2</c:v>
                      </c:pt>
                      <c:pt idx="27">
                        <c:v>25.7</c:v>
                      </c:pt>
                      <c:pt idx="28">
                        <c:v>25.5</c:v>
                      </c:pt>
                      <c:pt idx="29">
                        <c:v>25.2</c:v>
                      </c:pt>
                      <c:pt idx="30">
                        <c:v>24.6</c:v>
                      </c:pt>
                      <c:pt idx="31">
                        <c:v>24.6</c:v>
                      </c:pt>
                      <c:pt idx="32">
                        <c:v>25</c:v>
                      </c:pt>
                      <c:pt idx="33">
                        <c:v>25</c:v>
                      </c:pt>
                      <c:pt idx="34">
                        <c:v>25.5</c:v>
                      </c:pt>
                      <c:pt idx="35">
                        <c:v>25.5</c:v>
                      </c:pt>
                      <c:pt idx="36">
                        <c:v>25</c:v>
                      </c:pt>
                      <c:pt idx="37">
                        <c:v>25.8</c:v>
                      </c:pt>
                      <c:pt idx="38">
                        <c:v>26</c:v>
                      </c:pt>
                      <c:pt idx="39">
                        <c:v>26</c:v>
                      </c:pt>
                      <c:pt idx="40">
                        <c:v>26.4</c:v>
                      </c:pt>
                      <c:pt idx="41">
                        <c:v>26</c:v>
                      </c:pt>
                      <c:pt idx="42">
                        <c:v>26.2</c:v>
                      </c:pt>
                      <c:pt idx="43">
                        <c:v>25.8</c:v>
                      </c:pt>
                      <c:pt idx="44">
                        <c:v>26</c:v>
                      </c:pt>
                      <c:pt idx="45">
                        <c:v>26.6</c:v>
                      </c:pt>
                      <c:pt idx="46">
                        <c:v>26.6</c:v>
                      </c:pt>
                      <c:pt idx="47">
                        <c:v>26.4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6033-46CC-86B4-8F3A64CDA4F1}"/>
                  </c:ext>
                </c:extLst>
              </c15:ser>
            </c15:filteredScatterSeries>
          </c:ext>
        </c:extLst>
      </c:scatterChart>
      <c:valAx>
        <c:axId val="672011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003888"/>
        <c:crosses val="autoZero"/>
        <c:crossBetween val="midCat"/>
      </c:valAx>
      <c:valAx>
        <c:axId val="672003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Temp (Deg 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2011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/>
              <a:t>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'10'!$A$88:$A$93</c:f>
              <c:strCache>
                <c:ptCount val="6"/>
                <c:pt idx="0">
                  <c:v>42%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'10'!$N$112:$N$115</c:f>
                <c:numCache>
                  <c:formatCode>General</c:formatCode>
                  <c:ptCount val="4"/>
                  <c:pt idx="0">
                    <c:v>2.8E-3</c:v>
                  </c:pt>
                  <c:pt idx="1">
                    <c:v>1.0999999999999999E-2</c:v>
                  </c:pt>
                  <c:pt idx="2">
                    <c:v>2.5999999999999999E-2</c:v>
                  </c:pt>
                  <c:pt idx="3">
                    <c:v>6.0000000000000001E-3</c:v>
                  </c:pt>
                </c:numCache>
              </c:numRef>
            </c:plus>
            <c:minus>
              <c:numRef>
                <c:f>'10'!$N$112:$N$115</c:f>
                <c:numCache>
                  <c:formatCode>General</c:formatCode>
                  <c:ptCount val="4"/>
                  <c:pt idx="0">
                    <c:v>2.8E-3</c:v>
                  </c:pt>
                  <c:pt idx="1">
                    <c:v>1.0999999999999999E-2</c:v>
                  </c:pt>
                  <c:pt idx="2">
                    <c:v>2.5999999999999999E-2</c:v>
                  </c:pt>
                  <c:pt idx="3">
                    <c:v>6.0000000000000001E-3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'10'!$L$112:$L$115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'10'!$M$112:$M$115</c:f>
              <c:numCache>
                <c:formatCode>0.000</c:formatCode>
                <c:ptCount val="4"/>
                <c:pt idx="0">
                  <c:v>8.6999999999999994E-2</c:v>
                </c:pt>
                <c:pt idx="1">
                  <c:v>0.20899999999999999</c:v>
                </c:pt>
                <c:pt idx="2">
                  <c:v>0.29449999999999998</c:v>
                </c:pt>
                <c:pt idx="3">
                  <c:v>0.47799999999999998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C9-40F4-B4C8-80DDCC47CA74}"/>
            </c:ext>
          </c:extLst>
        </c:ser>
        <c:ser>
          <c:idx val="1"/>
          <c:order val="1"/>
          <c:tx>
            <c:strRef>
              <c:f>'10'!$A$94:$A$99</c:f>
              <c:strCache>
                <c:ptCount val="6"/>
                <c:pt idx="0">
                  <c:v>79%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'10'!$N$118:$N$121</c:f>
                <c:numCache>
                  <c:formatCode>General</c:formatCode>
                  <c:ptCount val="4"/>
                  <c:pt idx="0">
                    <c:v>2.1000000000000001E-2</c:v>
                  </c:pt>
                  <c:pt idx="1">
                    <c:v>1.4E-2</c:v>
                  </c:pt>
                  <c:pt idx="2">
                    <c:v>6.4000000000000001E-2</c:v>
                  </c:pt>
                  <c:pt idx="3">
                    <c:v>2.8000000000000001E-2</c:v>
                  </c:pt>
                </c:numCache>
              </c:numRef>
            </c:plus>
            <c:minus>
              <c:numRef>
                <c:f>'10'!$N$118:$N$121</c:f>
                <c:numCache>
                  <c:formatCode>General</c:formatCode>
                  <c:ptCount val="4"/>
                  <c:pt idx="0">
                    <c:v>2.1000000000000001E-2</c:v>
                  </c:pt>
                  <c:pt idx="1">
                    <c:v>1.4E-2</c:v>
                  </c:pt>
                  <c:pt idx="2">
                    <c:v>6.4000000000000001E-2</c:v>
                  </c:pt>
                  <c:pt idx="3">
                    <c:v>2.8000000000000001E-2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'10'!$L$118:$L$121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'10'!$M$118:$M$121</c:f>
              <c:numCache>
                <c:formatCode>0.000</c:formatCode>
                <c:ptCount val="4"/>
                <c:pt idx="0">
                  <c:v>0.16500000000000001</c:v>
                </c:pt>
                <c:pt idx="1">
                  <c:v>0.39</c:v>
                </c:pt>
                <c:pt idx="2">
                  <c:v>0.58499999999999996</c:v>
                </c:pt>
                <c:pt idx="3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C9-40F4-B4C8-80DDCC47CA74}"/>
            </c:ext>
          </c:extLst>
        </c:ser>
        <c:ser>
          <c:idx val="2"/>
          <c:order val="2"/>
          <c:tx>
            <c:strRef>
              <c:f>'10'!$A$100:$A$105</c:f>
              <c:strCache>
                <c:ptCount val="6"/>
                <c:pt idx="0">
                  <c:v>Fully immersed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'10'!$N$123:$N$126</c:f>
                <c:numCache>
                  <c:formatCode>General</c:formatCode>
                  <c:ptCount val="4"/>
                  <c:pt idx="0">
                    <c:v>4.9500000000000002E-2</c:v>
                  </c:pt>
                  <c:pt idx="1">
                    <c:v>9.1920000000000002E-2</c:v>
                  </c:pt>
                  <c:pt idx="2">
                    <c:v>7.7780000000000002E-2</c:v>
                  </c:pt>
                  <c:pt idx="3">
                    <c:v>9.8989999999999995E-2</c:v>
                  </c:pt>
                </c:numCache>
              </c:numRef>
            </c:plus>
            <c:minus>
              <c:numRef>
                <c:f>'10'!$N$123:$N$126</c:f>
                <c:numCache>
                  <c:formatCode>General</c:formatCode>
                  <c:ptCount val="4"/>
                  <c:pt idx="0">
                    <c:v>4.9500000000000002E-2</c:v>
                  </c:pt>
                  <c:pt idx="1">
                    <c:v>9.1920000000000002E-2</c:v>
                  </c:pt>
                  <c:pt idx="2">
                    <c:v>7.7780000000000002E-2</c:v>
                  </c:pt>
                  <c:pt idx="3">
                    <c:v>9.8989999999999995E-2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'10'!$L$123:$L$126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'10'!$M$123:$M$126</c:f>
              <c:numCache>
                <c:formatCode>0.000</c:formatCode>
                <c:ptCount val="4"/>
                <c:pt idx="0">
                  <c:v>0.215</c:v>
                </c:pt>
                <c:pt idx="1">
                  <c:v>0.69499999999999995</c:v>
                </c:pt>
                <c:pt idx="2">
                  <c:v>0.90500000000000003</c:v>
                </c:pt>
                <c:pt idx="3">
                  <c:v>1.26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C9-40F4-B4C8-80DDCC47C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119576"/>
        <c:axId val="647120888"/>
      </c:scatterChart>
      <c:valAx>
        <c:axId val="64711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120888"/>
        <c:crosses val="autoZero"/>
        <c:crossBetween val="midCat"/>
      </c:valAx>
      <c:valAx>
        <c:axId val="64712088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7119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Mixing time Vs Power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'10'!$A$115:$A$119</c:f>
              <c:strCache>
                <c:ptCount val="5"/>
                <c:pt idx="0">
                  <c:v>2 L (MT)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'10'!$D$115:$D$119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plus>
            <c:minus>
              <c:numRef>
                <c:f>'10'!$D$115:$D$119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'10'!$B$115:$B$119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'10'!$C$115:$C$119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B9-4F3C-9DF4-340F20180459}"/>
            </c:ext>
          </c:extLst>
        </c:ser>
        <c:ser>
          <c:idx val="1"/>
          <c:order val="1"/>
          <c:tx>
            <c:strRef>
              <c:f>'10'!$E$109:$E$113</c:f>
              <c:strCache>
                <c:ptCount val="5"/>
                <c:pt idx="0">
                  <c:v>3 L (MT)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'10'!$H$109:$H$113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'10'!$F$109:$F$113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'10'!$G$109:$G$113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B9-4F3C-9DF4-340F20180459}"/>
            </c:ext>
          </c:extLst>
        </c:ser>
        <c:ser>
          <c:idx val="2"/>
          <c:order val="2"/>
          <c:tx>
            <c:strRef>
              <c:f>'10'!$E$115:$E$119</c:f>
              <c:strCache>
                <c:ptCount val="5"/>
                <c:pt idx="0">
                  <c:v>4L (MT)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'10'!$H$115:$H$119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plus>
            <c:minus>
              <c:numRef>
                <c:f>'10'!$H$115:$H$119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'10'!$F$115:$F$119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'10'!$G$115:$G$119</c:f>
              <c:numCache>
                <c:formatCode>0</c:formatCode>
                <c:ptCount val="5"/>
                <c:pt idx="0">
                  <c:v>135.33333333333334</c:v>
                </c:pt>
                <c:pt idx="1">
                  <c:v>68.666666666666671</c:v>
                </c:pt>
                <c:pt idx="2">
                  <c:v>46</c:v>
                </c:pt>
                <c:pt idx="3">
                  <c:v>35.333333333333336</c:v>
                </c:pt>
                <c:pt idx="4">
                  <c:v>33.333333333333336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B9-4F3C-9DF4-340F2018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440576"/>
        <c:axId val="639442544"/>
      </c:scatterChart>
      <c:scatterChart>
        <c:scatterStyle val="smoothMarker"/>
        <c:varyColors val="0"/>
        <c:ser>
          <c:idx val="3"/>
          <c:order val="3"/>
          <c:tx>
            <c:strRef>
              <c:f>'10'!$J$111:$J$115</c:f>
              <c:strCache>
                <c:ptCount val="5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'10'!$N$112:$N$115</c:f>
                <c:numCache>
                  <c:formatCode>General</c:formatCode>
                  <c:ptCount val="4"/>
                  <c:pt idx="0">
                    <c:v>2.8E-3</c:v>
                  </c:pt>
                  <c:pt idx="1">
                    <c:v>1.0999999999999999E-2</c:v>
                  </c:pt>
                  <c:pt idx="2">
                    <c:v>2.5999999999999999E-2</c:v>
                  </c:pt>
                  <c:pt idx="3">
                    <c:v>6.0000000000000001E-3</c:v>
                  </c:pt>
                </c:numCache>
              </c:numRef>
            </c:plus>
            <c:minus>
              <c:numRef>
                <c:f>'10'!$N$112:$N$115</c:f>
                <c:numCache>
                  <c:formatCode>General</c:formatCode>
                  <c:ptCount val="4"/>
                  <c:pt idx="0">
                    <c:v>2.8E-3</c:v>
                  </c:pt>
                  <c:pt idx="1">
                    <c:v>1.0999999999999999E-2</c:v>
                  </c:pt>
                  <c:pt idx="2">
                    <c:v>2.5999999999999999E-2</c:v>
                  </c:pt>
                  <c:pt idx="3">
                    <c:v>6.0000000000000001E-3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'10'!$L$112:$L$115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'10'!$M$112:$M$115</c:f>
              <c:numCache>
                <c:formatCode>0.000</c:formatCode>
                <c:ptCount val="4"/>
                <c:pt idx="0">
                  <c:v>8.6999999999999994E-2</c:v>
                </c:pt>
                <c:pt idx="1">
                  <c:v>0.20899999999999999</c:v>
                </c:pt>
                <c:pt idx="2">
                  <c:v>0.29449999999999998</c:v>
                </c:pt>
                <c:pt idx="3">
                  <c:v>0.47799999999999998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B9-4F3C-9DF4-340F20180459}"/>
            </c:ext>
          </c:extLst>
        </c:ser>
        <c:ser>
          <c:idx val="4"/>
          <c:order val="4"/>
          <c:tx>
            <c:strRef>
              <c:f>'10'!$J$117:$J$121</c:f>
              <c:strCache>
                <c:ptCount val="5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'10'!$N$118:$N$121</c:f>
                <c:numCache>
                  <c:formatCode>General</c:formatCode>
                  <c:ptCount val="4"/>
                  <c:pt idx="0">
                    <c:v>2.1000000000000001E-2</c:v>
                  </c:pt>
                  <c:pt idx="1">
                    <c:v>1.4E-2</c:v>
                  </c:pt>
                  <c:pt idx="2">
                    <c:v>6.4000000000000001E-2</c:v>
                  </c:pt>
                  <c:pt idx="3">
                    <c:v>2.8000000000000001E-2</c:v>
                  </c:pt>
                </c:numCache>
              </c:numRef>
            </c:plus>
            <c:minus>
              <c:numRef>
                <c:f>'10'!$N$118:$N$121</c:f>
                <c:numCache>
                  <c:formatCode>General</c:formatCode>
                  <c:ptCount val="4"/>
                  <c:pt idx="0">
                    <c:v>2.1000000000000001E-2</c:v>
                  </c:pt>
                  <c:pt idx="1">
                    <c:v>1.4E-2</c:v>
                  </c:pt>
                  <c:pt idx="2">
                    <c:v>6.4000000000000001E-2</c:v>
                  </c:pt>
                  <c:pt idx="3">
                    <c:v>2.8000000000000001E-2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'10'!$L$118:$L$121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'10'!$M$118:$M$121</c:f>
              <c:numCache>
                <c:formatCode>0.000</c:formatCode>
                <c:ptCount val="4"/>
                <c:pt idx="0">
                  <c:v>0.16500000000000001</c:v>
                </c:pt>
                <c:pt idx="1">
                  <c:v>0.39</c:v>
                </c:pt>
                <c:pt idx="2">
                  <c:v>0.58499999999999996</c:v>
                </c:pt>
                <c:pt idx="3">
                  <c:v>0.97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9B9-4F3C-9DF4-340F20180459}"/>
            </c:ext>
          </c:extLst>
        </c:ser>
        <c:ser>
          <c:idx val="5"/>
          <c:order val="5"/>
          <c:tx>
            <c:strRef>
              <c:f>'10'!$J$122:$J$126</c:f>
              <c:strCache>
                <c:ptCount val="5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'10'!$N$123:$N$126</c:f>
                <c:numCache>
                  <c:formatCode>General</c:formatCode>
                  <c:ptCount val="4"/>
                  <c:pt idx="0">
                    <c:v>4.9500000000000002E-2</c:v>
                  </c:pt>
                  <c:pt idx="1">
                    <c:v>9.1920000000000002E-2</c:v>
                  </c:pt>
                  <c:pt idx="2">
                    <c:v>7.7780000000000002E-2</c:v>
                  </c:pt>
                  <c:pt idx="3">
                    <c:v>9.8989999999999995E-2</c:v>
                  </c:pt>
                </c:numCache>
              </c:numRef>
            </c:plus>
            <c:minus>
              <c:numRef>
                <c:f>'10'!$N$123:$N$126</c:f>
                <c:numCache>
                  <c:formatCode>General</c:formatCode>
                  <c:ptCount val="4"/>
                  <c:pt idx="0">
                    <c:v>4.9500000000000002E-2</c:v>
                  </c:pt>
                  <c:pt idx="1">
                    <c:v>9.1920000000000002E-2</c:v>
                  </c:pt>
                  <c:pt idx="2">
                    <c:v>7.7780000000000002E-2</c:v>
                  </c:pt>
                  <c:pt idx="3">
                    <c:v>9.8989999999999995E-2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'10'!$L$123:$L$126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'10'!$M$123:$M$126</c:f>
              <c:numCache>
                <c:formatCode>0.000</c:formatCode>
                <c:ptCount val="4"/>
                <c:pt idx="0">
                  <c:v>0.215</c:v>
                </c:pt>
                <c:pt idx="1">
                  <c:v>0.69499999999999995</c:v>
                </c:pt>
                <c:pt idx="2">
                  <c:v>0.90500000000000003</c:v>
                </c:pt>
                <c:pt idx="3">
                  <c:v>1.26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9B9-4F3C-9DF4-340F20180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98968"/>
        <c:axId val="672008808"/>
      </c:scatterChart>
      <c:valAx>
        <c:axId val="63944057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442544"/>
        <c:crosses val="autoZero"/>
        <c:crossBetween val="midCat"/>
      </c:valAx>
      <c:valAx>
        <c:axId val="639442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440576"/>
        <c:crosses val="autoZero"/>
        <c:crossBetween val="midCat"/>
      </c:valAx>
      <c:valAx>
        <c:axId val="672008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Power (W)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998968"/>
        <c:crosses val="max"/>
        <c:crossBetween val="midCat"/>
      </c:valAx>
      <c:valAx>
        <c:axId val="671998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2008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/>
              <a:t>Mass transfer efficiency Vs Power input (42 %)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'10'!$B$123</c:f>
              <c:strCache>
                <c:ptCount val="1"/>
                <c:pt idx="0">
                  <c:v>0.2 LPM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'10'!$O$112:$O$115</c:f>
              <c:numCache>
                <c:formatCode>0.00</c:formatCode>
                <c:ptCount val="4"/>
                <c:pt idx="0">
                  <c:v>43.499999999999993</c:v>
                </c:pt>
                <c:pt idx="1">
                  <c:v>104.5</c:v>
                </c:pt>
                <c:pt idx="2">
                  <c:v>147.25</c:v>
                </c:pt>
                <c:pt idx="3">
                  <c:v>238.99999999999997</c:v>
                </c:pt>
              </c:numCache>
            </c:numRef>
          </c:xVal>
          <c:yVal>
            <c:numRef>
              <c:f>'10'!$B$125:$B$128</c:f>
              <c:numCache>
                <c:formatCode>General</c:formatCode>
                <c:ptCount val="4"/>
                <c:pt idx="0">
                  <c:v>6.92</c:v>
                </c:pt>
                <c:pt idx="1">
                  <c:v>7.16</c:v>
                </c:pt>
                <c:pt idx="2">
                  <c:v>7.64</c:v>
                </c:pt>
                <c:pt idx="3">
                  <c:v>8.4499999999999993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DD-45B6-A9F9-6437D5D81C95}"/>
            </c:ext>
          </c:extLst>
        </c:ser>
        <c:ser>
          <c:idx val="1"/>
          <c:order val="1"/>
          <c:tx>
            <c:strRef>
              <c:f>'10'!$C$123</c:f>
              <c:strCache>
                <c:ptCount val="1"/>
                <c:pt idx="0">
                  <c:v>0.3 LPM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'10'!$O$112:$O$115</c:f>
              <c:numCache>
                <c:formatCode>0.00</c:formatCode>
                <c:ptCount val="4"/>
                <c:pt idx="0">
                  <c:v>43.499999999999993</c:v>
                </c:pt>
                <c:pt idx="1">
                  <c:v>104.5</c:v>
                </c:pt>
                <c:pt idx="2">
                  <c:v>147.25</c:v>
                </c:pt>
                <c:pt idx="3">
                  <c:v>238.99999999999997</c:v>
                </c:pt>
              </c:numCache>
            </c:numRef>
          </c:xVal>
          <c:yVal>
            <c:numRef>
              <c:f>'10'!$C$125:$C$128</c:f>
              <c:numCache>
                <c:formatCode>General</c:formatCode>
                <c:ptCount val="4"/>
                <c:pt idx="0">
                  <c:v>8.75</c:v>
                </c:pt>
                <c:pt idx="1">
                  <c:v>10.07</c:v>
                </c:pt>
                <c:pt idx="2">
                  <c:v>10.85</c:v>
                </c:pt>
                <c:pt idx="3">
                  <c:v>11.43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DD-45B6-A9F9-6437D5D81C95}"/>
            </c:ext>
          </c:extLst>
        </c:ser>
        <c:ser>
          <c:idx val="2"/>
          <c:order val="2"/>
          <c:tx>
            <c:strRef>
              <c:f>'10'!$D$123</c:f>
              <c:strCache>
                <c:ptCount val="1"/>
                <c:pt idx="0">
                  <c:v>0.4 LPM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'10'!$O$112:$O$115</c:f>
              <c:numCache>
                <c:formatCode>0.00</c:formatCode>
                <c:ptCount val="4"/>
                <c:pt idx="0">
                  <c:v>43.499999999999993</c:v>
                </c:pt>
                <c:pt idx="1">
                  <c:v>104.5</c:v>
                </c:pt>
                <c:pt idx="2">
                  <c:v>147.25</c:v>
                </c:pt>
                <c:pt idx="3">
                  <c:v>238.99999999999997</c:v>
                </c:pt>
              </c:numCache>
            </c:numRef>
          </c:xVal>
          <c:yVal>
            <c:numRef>
              <c:f>'10'!$D$125:$D$128</c:f>
              <c:numCache>
                <c:formatCode>General</c:formatCode>
                <c:ptCount val="4"/>
                <c:pt idx="0">
                  <c:v>10.029999999999999</c:v>
                </c:pt>
                <c:pt idx="1">
                  <c:v>10.62</c:v>
                </c:pt>
                <c:pt idx="2">
                  <c:v>12.97</c:v>
                </c:pt>
                <c:pt idx="3">
                  <c:v>13.7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DD-45B6-A9F9-6437D5D81C95}"/>
            </c:ext>
          </c:extLst>
        </c:ser>
        <c:ser>
          <c:idx val="3"/>
          <c:order val="3"/>
          <c:tx>
            <c:strRef>
              <c:f>'10'!$E$123</c:f>
              <c:strCache>
                <c:ptCount val="1"/>
                <c:pt idx="0">
                  <c:v>0.5 LPM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'10'!$O$112:$O$115</c:f>
              <c:numCache>
                <c:formatCode>0.00</c:formatCode>
                <c:ptCount val="4"/>
                <c:pt idx="0">
                  <c:v>43.499999999999993</c:v>
                </c:pt>
                <c:pt idx="1">
                  <c:v>104.5</c:v>
                </c:pt>
                <c:pt idx="2">
                  <c:v>147.25</c:v>
                </c:pt>
                <c:pt idx="3">
                  <c:v>238.99999999999997</c:v>
                </c:pt>
              </c:numCache>
            </c:numRef>
          </c:xVal>
          <c:yVal>
            <c:numRef>
              <c:f>'10'!$E$125:$E$128</c:f>
              <c:numCache>
                <c:formatCode>General</c:formatCode>
                <c:ptCount val="4"/>
                <c:pt idx="0">
                  <c:v>9.9700000000000006</c:v>
                </c:pt>
                <c:pt idx="1">
                  <c:v>12.77</c:v>
                </c:pt>
                <c:pt idx="2">
                  <c:v>12.54</c:v>
                </c:pt>
                <c:pt idx="3">
                  <c:v>15.97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DD-45B6-A9F9-6437D5D8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783440"/>
        <c:axId val="675783768"/>
      </c:scatterChart>
      <c:valAx>
        <c:axId val="67578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P/V (Wm^-3)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783768"/>
        <c:crosses val="autoZero"/>
        <c:crossBetween val="midCat"/>
      </c:valAx>
      <c:valAx>
        <c:axId val="675783768"/>
        <c:scaling>
          <c:orientation val="minMax"/>
          <c:max val="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5783440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 i="0" baseline="0">
                <a:effectLst/>
              </a:rPr>
              <a:t>Mass transfer efficiency Vs Power input (79 %)</a:t>
            </a:r>
            <a:endParaRPr lang="en-ZA" sz="11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endParaRPr lang="en-ZA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'10'!$B$123</c:f>
              <c:strCache>
                <c:ptCount val="1"/>
                <c:pt idx="0">
                  <c:v>0.2 LPM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'10'!$O$118:$O$121</c:f>
              <c:numCache>
                <c:formatCode>0.00</c:formatCode>
                <c:ptCount val="4"/>
                <c:pt idx="0">
                  <c:v>55</c:v>
                </c:pt>
                <c:pt idx="1">
                  <c:v>130</c:v>
                </c:pt>
                <c:pt idx="2">
                  <c:v>194.99999999999997</c:v>
                </c:pt>
                <c:pt idx="3">
                  <c:v>323.33333333333331</c:v>
                </c:pt>
              </c:numCache>
            </c:numRef>
          </c:xVal>
          <c:yVal>
            <c:numRef>
              <c:f>'10'!$B$131:$B$134</c:f>
              <c:numCache>
                <c:formatCode>General</c:formatCode>
                <c:ptCount val="4"/>
                <c:pt idx="0">
                  <c:v>6.89</c:v>
                </c:pt>
                <c:pt idx="1">
                  <c:v>7.84</c:v>
                </c:pt>
                <c:pt idx="2">
                  <c:v>8.94</c:v>
                </c:pt>
                <c:pt idx="3">
                  <c:v>9.2899999999999991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C0-4EAE-A18D-2489DE800F00}"/>
            </c:ext>
          </c:extLst>
        </c:ser>
        <c:ser>
          <c:idx val="1"/>
          <c:order val="1"/>
          <c:tx>
            <c:strRef>
              <c:f>'10'!$C$123</c:f>
              <c:strCache>
                <c:ptCount val="1"/>
                <c:pt idx="0">
                  <c:v>0.3 LPM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'10'!$O$118:$O$121</c:f>
              <c:numCache>
                <c:formatCode>0.00</c:formatCode>
                <c:ptCount val="4"/>
                <c:pt idx="0">
                  <c:v>55</c:v>
                </c:pt>
                <c:pt idx="1">
                  <c:v>130</c:v>
                </c:pt>
                <c:pt idx="2">
                  <c:v>194.99999999999997</c:v>
                </c:pt>
                <c:pt idx="3">
                  <c:v>323.33333333333331</c:v>
                </c:pt>
              </c:numCache>
            </c:numRef>
          </c:xVal>
          <c:yVal>
            <c:numRef>
              <c:f>'10'!$C$131:$C$134</c:f>
              <c:numCache>
                <c:formatCode>General</c:formatCode>
                <c:ptCount val="4"/>
                <c:pt idx="0">
                  <c:v>8.2200000000000006</c:v>
                </c:pt>
                <c:pt idx="1">
                  <c:v>10.19</c:v>
                </c:pt>
                <c:pt idx="2">
                  <c:v>10.85</c:v>
                </c:pt>
                <c:pt idx="3">
                  <c:v>11.6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C0-4EAE-A18D-2489DE800F00}"/>
            </c:ext>
          </c:extLst>
        </c:ser>
        <c:ser>
          <c:idx val="2"/>
          <c:order val="2"/>
          <c:tx>
            <c:strRef>
              <c:f>'10'!$D$123</c:f>
              <c:strCache>
                <c:ptCount val="1"/>
                <c:pt idx="0">
                  <c:v>0.4 LPM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'10'!$O$118:$O$121</c:f>
              <c:numCache>
                <c:formatCode>0.00</c:formatCode>
                <c:ptCount val="4"/>
                <c:pt idx="0">
                  <c:v>55</c:v>
                </c:pt>
                <c:pt idx="1">
                  <c:v>130</c:v>
                </c:pt>
                <c:pt idx="2">
                  <c:v>194.99999999999997</c:v>
                </c:pt>
                <c:pt idx="3">
                  <c:v>323.33333333333331</c:v>
                </c:pt>
              </c:numCache>
            </c:numRef>
          </c:xVal>
          <c:yVal>
            <c:numRef>
              <c:f>'10'!$D$131:$D$134</c:f>
              <c:numCache>
                <c:formatCode>General</c:formatCode>
                <c:ptCount val="4"/>
                <c:pt idx="0">
                  <c:v>8.5399999999999991</c:v>
                </c:pt>
                <c:pt idx="1">
                  <c:v>10.5</c:v>
                </c:pt>
                <c:pt idx="2">
                  <c:v>12.06</c:v>
                </c:pt>
                <c:pt idx="3">
                  <c:v>14.25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C0-4EAE-A18D-2489DE800F00}"/>
            </c:ext>
          </c:extLst>
        </c:ser>
        <c:ser>
          <c:idx val="3"/>
          <c:order val="3"/>
          <c:tx>
            <c:strRef>
              <c:f>'10'!$E$123</c:f>
              <c:strCache>
                <c:ptCount val="1"/>
                <c:pt idx="0">
                  <c:v>0.5 LPM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'10'!$O$118:$O$121</c:f>
              <c:numCache>
                <c:formatCode>0.00</c:formatCode>
                <c:ptCount val="4"/>
                <c:pt idx="0">
                  <c:v>55</c:v>
                </c:pt>
                <c:pt idx="1">
                  <c:v>130</c:v>
                </c:pt>
                <c:pt idx="2">
                  <c:v>194.99999999999997</c:v>
                </c:pt>
                <c:pt idx="3">
                  <c:v>323.33333333333331</c:v>
                </c:pt>
              </c:numCache>
            </c:numRef>
          </c:xVal>
          <c:yVal>
            <c:numRef>
              <c:f>'10'!$E$131:$E$134</c:f>
              <c:numCache>
                <c:formatCode>General</c:formatCode>
                <c:ptCount val="4"/>
                <c:pt idx="0">
                  <c:v>9.68</c:v>
                </c:pt>
                <c:pt idx="1">
                  <c:v>10.01</c:v>
                </c:pt>
                <c:pt idx="2">
                  <c:v>13.17</c:v>
                </c:pt>
                <c:pt idx="3">
                  <c:v>15.666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C0-4EAE-A18D-2489DE800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442216"/>
        <c:axId val="639440248"/>
      </c:scatterChart>
      <c:valAx>
        <c:axId val="639442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P/V (Wm^-3)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440248"/>
        <c:crosses val="autoZero"/>
        <c:crossBetween val="midCat"/>
      </c:valAx>
      <c:valAx>
        <c:axId val="639440248"/>
        <c:scaling>
          <c:orientation val="minMax"/>
          <c:max val="1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9442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Fully immersed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'3'!$AS$8:$AS$217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</c:numCache>
            </c:numRef>
          </c:xVal>
          <c:yVal>
            <c:numRef>
              <c:f>'3'!$AT$8:$AT$217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1.6260162601628554E-2</c:v>
                </c:pt>
                <c:pt idx="10">
                  <c:v>8.1300813008142771E-3</c:v>
                </c:pt>
                <c:pt idx="11">
                  <c:v>0</c:v>
                </c:pt>
                <c:pt idx="12">
                  <c:v>8.1300813008142771E-3</c:v>
                </c:pt>
                <c:pt idx="13">
                  <c:v>8.1300813008142771E-3</c:v>
                </c:pt>
                <c:pt idx="14">
                  <c:v>0</c:v>
                </c:pt>
                <c:pt idx="15">
                  <c:v>0</c:v>
                </c:pt>
                <c:pt idx="16">
                  <c:v>1.6260162601628554E-2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8.1300813008142771E-3</c:v>
                </c:pt>
                <c:pt idx="21">
                  <c:v>0</c:v>
                </c:pt>
                <c:pt idx="22">
                  <c:v>8.1300813008142771E-3</c:v>
                </c:pt>
                <c:pt idx="23">
                  <c:v>8.1300813008142771E-3</c:v>
                </c:pt>
                <c:pt idx="24">
                  <c:v>8.1300813008142771E-3</c:v>
                </c:pt>
                <c:pt idx="25">
                  <c:v>2.4390243902442831E-2</c:v>
                </c:pt>
                <c:pt idx="26">
                  <c:v>2.4390243902442831E-2</c:v>
                </c:pt>
                <c:pt idx="27">
                  <c:v>2.4390243902442831E-2</c:v>
                </c:pt>
                <c:pt idx="28">
                  <c:v>3.2520325203254215E-2</c:v>
                </c:pt>
                <c:pt idx="29">
                  <c:v>3.2520325203254215E-2</c:v>
                </c:pt>
                <c:pt idx="30">
                  <c:v>3.2520325203254215E-2</c:v>
                </c:pt>
                <c:pt idx="31">
                  <c:v>4.8780487804876996E-2</c:v>
                </c:pt>
                <c:pt idx="32">
                  <c:v>5.6910569105691269E-2</c:v>
                </c:pt>
                <c:pt idx="33">
                  <c:v>6.5040650406505543E-2</c:v>
                </c:pt>
                <c:pt idx="34">
                  <c:v>8.1300813008131204E-2</c:v>
                </c:pt>
                <c:pt idx="35">
                  <c:v>8.9430894308945491E-2</c:v>
                </c:pt>
                <c:pt idx="36">
                  <c:v>0.10569105691056827</c:v>
                </c:pt>
                <c:pt idx="37">
                  <c:v>0.12195121951219683</c:v>
                </c:pt>
                <c:pt idx="38">
                  <c:v>0.13821138211382247</c:v>
                </c:pt>
                <c:pt idx="39">
                  <c:v>0.16260162601626241</c:v>
                </c:pt>
                <c:pt idx="40">
                  <c:v>0.16260162601626241</c:v>
                </c:pt>
                <c:pt idx="41">
                  <c:v>0.1788617886178881</c:v>
                </c:pt>
                <c:pt idx="42">
                  <c:v>0.19512195121951376</c:v>
                </c:pt>
                <c:pt idx="43">
                  <c:v>0.21138211382114233</c:v>
                </c:pt>
                <c:pt idx="44">
                  <c:v>0.21951219512195369</c:v>
                </c:pt>
                <c:pt idx="45">
                  <c:v>0.24390243902439077</c:v>
                </c:pt>
                <c:pt idx="46">
                  <c:v>0.25203252032520507</c:v>
                </c:pt>
                <c:pt idx="47">
                  <c:v>0.27642276422764206</c:v>
                </c:pt>
                <c:pt idx="48">
                  <c:v>0.29268292682926778</c:v>
                </c:pt>
                <c:pt idx="49">
                  <c:v>0.29268292682926778</c:v>
                </c:pt>
                <c:pt idx="50">
                  <c:v>0.31707317073170771</c:v>
                </c:pt>
                <c:pt idx="51">
                  <c:v>0.33333333333333337</c:v>
                </c:pt>
                <c:pt idx="52">
                  <c:v>0.34146341463414764</c:v>
                </c:pt>
                <c:pt idx="53">
                  <c:v>0.35772357723577325</c:v>
                </c:pt>
                <c:pt idx="54">
                  <c:v>0.37398373983740185</c:v>
                </c:pt>
                <c:pt idx="55">
                  <c:v>0.38211382113821613</c:v>
                </c:pt>
                <c:pt idx="56">
                  <c:v>0.3983739837398389</c:v>
                </c:pt>
                <c:pt idx="57">
                  <c:v>0.42276422764227883</c:v>
                </c:pt>
                <c:pt idx="58">
                  <c:v>0.42276422764227883</c:v>
                </c:pt>
                <c:pt idx="59">
                  <c:v>0.44715447154471588</c:v>
                </c:pt>
                <c:pt idx="60">
                  <c:v>0.46341463414634154</c:v>
                </c:pt>
                <c:pt idx="61">
                  <c:v>0.47154471544715582</c:v>
                </c:pt>
                <c:pt idx="62">
                  <c:v>0.47967479674797009</c:v>
                </c:pt>
                <c:pt idx="63">
                  <c:v>0.49593495934959292</c:v>
                </c:pt>
                <c:pt idx="64">
                  <c:v>0.49593495934959292</c:v>
                </c:pt>
                <c:pt idx="65">
                  <c:v>0.5203252032520328</c:v>
                </c:pt>
                <c:pt idx="66">
                  <c:v>0.52845528455284707</c:v>
                </c:pt>
                <c:pt idx="67">
                  <c:v>0.53658536585366134</c:v>
                </c:pt>
                <c:pt idx="68">
                  <c:v>0.55284552845528712</c:v>
                </c:pt>
                <c:pt idx="69">
                  <c:v>0.56097560975609839</c:v>
                </c:pt>
                <c:pt idx="70">
                  <c:v>0.56910569105691278</c:v>
                </c:pt>
                <c:pt idx="71">
                  <c:v>0.58536585365853833</c:v>
                </c:pt>
                <c:pt idx="72">
                  <c:v>0.5934959349593526</c:v>
                </c:pt>
                <c:pt idx="73">
                  <c:v>0.60975609756097826</c:v>
                </c:pt>
                <c:pt idx="74">
                  <c:v>0.61788617886178976</c:v>
                </c:pt>
                <c:pt idx="75">
                  <c:v>0.62601626016260103</c:v>
                </c:pt>
                <c:pt idx="76">
                  <c:v>0.63414634146341542</c:v>
                </c:pt>
                <c:pt idx="77">
                  <c:v>0.64227642276422958</c:v>
                </c:pt>
                <c:pt idx="78">
                  <c:v>0.65853658536585524</c:v>
                </c:pt>
                <c:pt idx="79">
                  <c:v>0.66666666666666674</c:v>
                </c:pt>
                <c:pt idx="80">
                  <c:v>0.66666666666666674</c:v>
                </c:pt>
                <c:pt idx="81">
                  <c:v>0.67479674796747813</c:v>
                </c:pt>
                <c:pt idx="82">
                  <c:v>0.6829268292682924</c:v>
                </c:pt>
                <c:pt idx="83">
                  <c:v>0.69105691056910667</c:v>
                </c:pt>
                <c:pt idx="84">
                  <c:v>0.69918699186992095</c:v>
                </c:pt>
                <c:pt idx="85">
                  <c:v>0.71544715447154372</c:v>
                </c:pt>
                <c:pt idx="86">
                  <c:v>0.71544715447154372</c:v>
                </c:pt>
                <c:pt idx="87">
                  <c:v>0.71544715447154372</c:v>
                </c:pt>
                <c:pt idx="88">
                  <c:v>0.73983739837398654</c:v>
                </c:pt>
                <c:pt idx="89">
                  <c:v>0.73983739837398654</c:v>
                </c:pt>
                <c:pt idx="90">
                  <c:v>0.74796747967479793</c:v>
                </c:pt>
                <c:pt idx="91">
                  <c:v>0.76422764227642359</c:v>
                </c:pt>
                <c:pt idx="92">
                  <c:v>0.76422764227642359</c:v>
                </c:pt>
                <c:pt idx="93">
                  <c:v>0.77235772357723786</c:v>
                </c:pt>
                <c:pt idx="94">
                  <c:v>0.78048780487805214</c:v>
                </c:pt>
                <c:pt idx="95">
                  <c:v>0.78861788617886364</c:v>
                </c:pt>
                <c:pt idx="96">
                  <c:v>0.78861788617886364</c:v>
                </c:pt>
                <c:pt idx="97">
                  <c:v>0.8048780487804893</c:v>
                </c:pt>
                <c:pt idx="98">
                  <c:v>0.8048780487804893</c:v>
                </c:pt>
                <c:pt idx="99">
                  <c:v>0.8048780487804893</c:v>
                </c:pt>
                <c:pt idx="100">
                  <c:v>0.81300813008130057</c:v>
                </c:pt>
                <c:pt idx="101">
                  <c:v>0.82113821138211485</c:v>
                </c:pt>
                <c:pt idx="102">
                  <c:v>0.81300813008130346</c:v>
                </c:pt>
                <c:pt idx="103">
                  <c:v>0.82926829268292912</c:v>
                </c:pt>
                <c:pt idx="104">
                  <c:v>0.83739837398374051</c:v>
                </c:pt>
                <c:pt idx="105">
                  <c:v>0.83739837398374051</c:v>
                </c:pt>
                <c:pt idx="106">
                  <c:v>0.83739837398374051</c:v>
                </c:pt>
                <c:pt idx="107">
                  <c:v>0.84552845528455478</c:v>
                </c:pt>
                <c:pt idx="108">
                  <c:v>0.85365853658536617</c:v>
                </c:pt>
                <c:pt idx="109">
                  <c:v>0.85365853658536617</c:v>
                </c:pt>
                <c:pt idx="110">
                  <c:v>0.85365853658536617</c:v>
                </c:pt>
                <c:pt idx="111">
                  <c:v>0.86178861788618055</c:v>
                </c:pt>
                <c:pt idx="112">
                  <c:v>0.86178861788618055</c:v>
                </c:pt>
                <c:pt idx="113">
                  <c:v>0.86991869918699183</c:v>
                </c:pt>
                <c:pt idx="114">
                  <c:v>0.86991869918699183</c:v>
                </c:pt>
                <c:pt idx="115">
                  <c:v>0.86991869918699183</c:v>
                </c:pt>
                <c:pt idx="116">
                  <c:v>0.86991869918699183</c:v>
                </c:pt>
                <c:pt idx="117">
                  <c:v>0.87804878048780621</c:v>
                </c:pt>
                <c:pt idx="118">
                  <c:v>0.88617886178861749</c:v>
                </c:pt>
                <c:pt idx="119">
                  <c:v>0.88617886178861749</c:v>
                </c:pt>
                <c:pt idx="120">
                  <c:v>0.88617886178861749</c:v>
                </c:pt>
                <c:pt idx="121">
                  <c:v>0.89430894308943176</c:v>
                </c:pt>
                <c:pt idx="122">
                  <c:v>0.90243902439024615</c:v>
                </c:pt>
                <c:pt idx="123">
                  <c:v>0.91056910569105742</c:v>
                </c:pt>
                <c:pt idx="124">
                  <c:v>0.91056910569105742</c:v>
                </c:pt>
                <c:pt idx="125">
                  <c:v>0.91056910569105742</c:v>
                </c:pt>
                <c:pt idx="126">
                  <c:v>0.91056910569105742</c:v>
                </c:pt>
                <c:pt idx="127">
                  <c:v>0.91056910569105742</c:v>
                </c:pt>
                <c:pt idx="128">
                  <c:v>0.91056910569105742</c:v>
                </c:pt>
                <c:pt idx="129">
                  <c:v>0.91056910569105742</c:v>
                </c:pt>
                <c:pt idx="130">
                  <c:v>0.91056910569105742</c:v>
                </c:pt>
                <c:pt idx="131">
                  <c:v>0.91056910569105742</c:v>
                </c:pt>
                <c:pt idx="132">
                  <c:v>0.9268292682926802</c:v>
                </c:pt>
                <c:pt idx="133">
                  <c:v>0.9268292682926802</c:v>
                </c:pt>
                <c:pt idx="134">
                  <c:v>0.91056910569105742</c:v>
                </c:pt>
                <c:pt idx="135">
                  <c:v>0.9268292682926802</c:v>
                </c:pt>
                <c:pt idx="136">
                  <c:v>0.93495934959349447</c:v>
                </c:pt>
                <c:pt idx="137">
                  <c:v>0.93495934959349447</c:v>
                </c:pt>
                <c:pt idx="138">
                  <c:v>0.94308943089430886</c:v>
                </c:pt>
                <c:pt idx="139">
                  <c:v>0.94308943089430886</c:v>
                </c:pt>
                <c:pt idx="140">
                  <c:v>0.93495934959349447</c:v>
                </c:pt>
                <c:pt idx="141">
                  <c:v>0.94308943089430886</c:v>
                </c:pt>
                <c:pt idx="142">
                  <c:v>0.94308943089430886</c:v>
                </c:pt>
                <c:pt idx="143">
                  <c:v>0.94308943089430886</c:v>
                </c:pt>
                <c:pt idx="144">
                  <c:v>0.95121951219512313</c:v>
                </c:pt>
                <c:pt idx="145">
                  <c:v>0.95121951219512313</c:v>
                </c:pt>
                <c:pt idx="146">
                  <c:v>0.95121951219512313</c:v>
                </c:pt>
                <c:pt idx="147">
                  <c:v>0.95121951219512313</c:v>
                </c:pt>
                <c:pt idx="148">
                  <c:v>0.95121951219512313</c:v>
                </c:pt>
                <c:pt idx="149">
                  <c:v>0.95121951219512313</c:v>
                </c:pt>
                <c:pt idx="150">
                  <c:v>0.95121951219512313</c:v>
                </c:pt>
                <c:pt idx="151">
                  <c:v>0.95121951219512313</c:v>
                </c:pt>
                <c:pt idx="152">
                  <c:v>0.95934959349593729</c:v>
                </c:pt>
                <c:pt idx="153">
                  <c:v>0.96747967479675168</c:v>
                </c:pt>
                <c:pt idx="154">
                  <c:v>0.96747967479675168</c:v>
                </c:pt>
                <c:pt idx="155">
                  <c:v>0.96747967479675168</c:v>
                </c:pt>
                <c:pt idx="156">
                  <c:v>0.97560975609756595</c:v>
                </c:pt>
                <c:pt idx="157">
                  <c:v>0.97560975609756595</c:v>
                </c:pt>
                <c:pt idx="158">
                  <c:v>0.96747967479675168</c:v>
                </c:pt>
                <c:pt idx="159">
                  <c:v>0.97560975609756595</c:v>
                </c:pt>
                <c:pt idx="160">
                  <c:v>0.97560975609756595</c:v>
                </c:pt>
                <c:pt idx="161">
                  <c:v>0.96747967479675168</c:v>
                </c:pt>
                <c:pt idx="162">
                  <c:v>0.97560975609756595</c:v>
                </c:pt>
                <c:pt idx="163">
                  <c:v>0.97560975609756595</c:v>
                </c:pt>
                <c:pt idx="164">
                  <c:v>0.96747967479675168</c:v>
                </c:pt>
                <c:pt idx="165">
                  <c:v>0.97560975609756595</c:v>
                </c:pt>
                <c:pt idx="166">
                  <c:v>0.97560975609756595</c:v>
                </c:pt>
                <c:pt idx="167">
                  <c:v>0.96747967479675168</c:v>
                </c:pt>
                <c:pt idx="168">
                  <c:v>0.97560975609756595</c:v>
                </c:pt>
                <c:pt idx="169">
                  <c:v>0.97560975609756595</c:v>
                </c:pt>
                <c:pt idx="170">
                  <c:v>0.97560975609756595</c:v>
                </c:pt>
                <c:pt idx="171">
                  <c:v>0.97560975609756595</c:v>
                </c:pt>
                <c:pt idx="172">
                  <c:v>0.97560975609756595</c:v>
                </c:pt>
                <c:pt idx="173">
                  <c:v>0.97560975609756595</c:v>
                </c:pt>
                <c:pt idx="174">
                  <c:v>0.97560975609756595</c:v>
                </c:pt>
                <c:pt idx="175">
                  <c:v>0.97560975609756595</c:v>
                </c:pt>
                <c:pt idx="176">
                  <c:v>0.98373983739837723</c:v>
                </c:pt>
                <c:pt idx="177">
                  <c:v>0.97560975609756595</c:v>
                </c:pt>
                <c:pt idx="178">
                  <c:v>0.97560975609756595</c:v>
                </c:pt>
                <c:pt idx="179">
                  <c:v>0.98373983739837723</c:v>
                </c:pt>
                <c:pt idx="180">
                  <c:v>0.97560975609756595</c:v>
                </c:pt>
                <c:pt idx="181">
                  <c:v>0.99186991869918872</c:v>
                </c:pt>
                <c:pt idx="182">
                  <c:v>0.99186991869918872</c:v>
                </c:pt>
                <c:pt idx="183">
                  <c:v>0.98373983739837723</c:v>
                </c:pt>
                <c:pt idx="184">
                  <c:v>0.98373983739837723</c:v>
                </c:pt>
                <c:pt idx="185">
                  <c:v>0.98373983739837723</c:v>
                </c:pt>
                <c:pt idx="186">
                  <c:v>0.99186991869918872</c:v>
                </c:pt>
                <c:pt idx="187">
                  <c:v>0.98373983739837723</c:v>
                </c:pt>
                <c:pt idx="188">
                  <c:v>0.98373983739837723</c:v>
                </c:pt>
                <c:pt idx="189">
                  <c:v>0.98373983739837723</c:v>
                </c:pt>
                <c:pt idx="190">
                  <c:v>0.99186991869918872</c:v>
                </c:pt>
                <c:pt idx="191">
                  <c:v>0.98373983739837723</c:v>
                </c:pt>
                <c:pt idx="192">
                  <c:v>0.98373983739837723</c:v>
                </c:pt>
                <c:pt idx="193">
                  <c:v>0.99186991869918872</c:v>
                </c:pt>
                <c:pt idx="194">
                  <c:v>0.99186991869918872</c:v>
                </c:pt>
                <c:pt idx="195">
                  <c:v>0.99186991869918872</c:v>
                </c:pt>
                <c:pt idx="196">
                  <c:v>0.99186991869918872</c:v>
                </c:pt>
                <c:pt idx="197">
                  <c:v>0.99186991869918872</c:v>
                </c:pt>
                <c:pt idx="198">
                  <c:v>0.99186991869918872</c:v>
                </c:pt>
                <c:pt idx="199">
                  <c:v>0.99186991869918872</c:v>
                </c:pt>
                <c:pt idx="200">
                  <c:v>0.99186991869918872</c:v>
                </c:pt>
                <c:pt idx="201">
                  <c:v>0.99186991869918872</c:v>
                </c:pt>
                <c:pt idx="202">
                  <c:v>0.99186991869918872</c:v>
                </c:pt>
                <c:pt idx="203">
                  <c:v>0.98373983739837723</c:v>
                </c:pt>
                <c:pt idx="204">
                  <c:v>0.99186991869918872</c:v>
                </c:pt>
                <c:pt idx="205">
                  <c:v>0.99186991869918872</c:v>
                </c:pt>
                <c:pt idx="206">
                  <c:v>0.98780487804878303</c:v>
                </c:pt>
                <c:pt idx="207">
                  <c:v>0.98780487804878303</c:v>
                </c:pt>
                <c:pt idx="208">
                  <c:v>0.97560975609756595</c:v>
                </c:pt>
                <c:pt idx="20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2D-42B9-A677-BF4BDE20F88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'3'!$AS$8:$AS$217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</c:numCache>
            </c:numRef>
          </c:xVal>
          <c:yVal>
            <c:numRef>
              <c:f>'3'!$AU$8:$AU$217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8.1300813008128338E-3</c:v>
                </c:pt>
                <c:pt idx="15">
                  <c:v>2.4390243902438498E-2</c:v>
                </c:pt>
                <c:pt idx="16">
                  <c:v>4.0650406504064165E-2</c:v>
                </c:pt>
                <c:pt idx="17">
                  <c:v>4.8780487804876996E-2</c:v>
                </c:pt>
                <c:pt idx="18">
                  <c:v>6.504065040650267E-2</c:v>
                </c:pt>
                <c:pt idx="19">
                  <c:v>9.7560975609753992E-2</c:v>
                </c:pt>
                <c:pt idx="20">
                  <c:v>0.12195121951219248</c:v>
                </c:pt>
                <c:pt idx="21">
                  <c:v>0.15447154471544527</c:v>
                </c:pt>
                <c:pt idx="22">
                  <c:v>0.19512195121951087</c:v>
                </c:pt>
                <c:pt idx="23">
                  <c:v>0.2195121951219508</c:v>
                </c:pt>
                <c:pt idx="24">
                  <c:v>0.25203252032520213</c:v>
                </c:pt>
                <c:pt idx="25">
                  <c:v>0.30081300813007911</c:v>
                </c:pt>
                <c:pt idx="26">
                  <c:v>0.3252032520325176</c:v>
                </c:pt>
                <c:pt idx="27">
                  <c:v>0.35772357723577042</c:v>
                </c:pt>
                <c:pt idx="28">
                  <c:v>0.39024390243902318</c:v>
                </c:pt>
                <c:pt idx="29">
                  <c:v>0.41463414634146317</c:v>
                </c:pt>
                <c:pt idx="30">
                  <c:v>0.45528455284552727</c:v>
                </c:pt>
                <c:pt idx="31">
                  <c:v>0.47967479674796581</c:v>
                </c:pt>
                <c:pt idx="32">
                  <c:v>0.51219512195121719</c:v>
                </c:pt>
                <c:pt idx="33">
                  <c:v>0.5447154471544714</c:v>
                </c:pt>
                <c:pt idx="34">
                  <c:v>0.56910569105690978</c:v>
                </c:pt>
                <c:pt idx="35">
                  <c:v>0.59349593495934982</c:v>
                </c:pt>
                <c:pt idx="36">
                  <c:v>0.61788617886178687</c:v>
                </c:pt>
                <c:pt idx="37">
                  <c:v>0.62601626016260103</c:v>
                </c:pt>
                <c:pt idx="38">
                  <c:v>0.65040650406503964</c:v>
                </c:pt>
                <c:pt idx="39">
                  <c:v>0.66666666666666385</c:v>
                </c:pt>
                <c:pt idx="40">
                  <c:v>0.69105691056910379</c:v>
                </c:pt>
                <c:pt idx="41">
                  <c:v>0.70731707317072789</c:v>
                </c:pt>
                <c:pt idx="42">
                  <c:v>0.73170731707316794</c:v>
                </c:pt>
                <c:pt idx="43">
                  <c:v>0.73983739837398077</c:v>
                </c:pt>
                <c:pt idx="44">
                  <c:v>0.75609756097560932</c:v>
                </c:pt>
                <c:pt idx="45">
                  <c:v>0.7642276422764207</c:v>
                </c:pt>
                <c:pt idx="46">
                  <c:v>0.7804878048780477</c:v>
                </c:pt>
                <c:pt idx="47">
                  <c:v>0.79674796747967491</c:v>
                </c:pt>
                <c:pt idx="48">
                  <c:v>0.80487804878048774</c:v>
                </c:pt>
                <c:pt idx="49">
                  <c:v>0.81300813008130057</c:v>
                </c:pt>
                <c:pt idx="50">
                  <c:v>0.82926829268292479</c:v>
                </c:pt>
                <c:pt idx="51">
                  <c:v>0.83739837398373895</c:v>
                </c:pt>
                <c:pt idx="52">
                  <c:v>0.85365853658536484</c:v>
                </c:pt>
                <c:pt idx="53">
                  <c:v>0.85365853658536484</c:v>
                </c:pt>
                <c:pt idx="54">
                  <c:v>0.85365853658536484</c:v>
                </c:pt>
                <c:pt idx="55">
                  <c:v>0.86178861788617622</c:v>
                </c:pt>
                <c:pt idx="56">
                  <c:v>0.86991869918698905</c:v>
                </c:pt>
                <c:pt idx="57">
                  <c:v>0.87804878048780177</c:v>
                </c:pt>
                <c:pt idx="58">
                  <c:v>0.88617886178861605</c:v>
                </c:pt>
                <c:pt idx="59">
                  <c:v>0.89430894308942888</c:v>
                </c:pt>
                <c:pt idx="60">
                  <c:v>0.90243902439024171</c:v>
                </c:pt>
                <c:pt idx="61">
                  <c:v>0.90243902439024171</c:v>
                </c:pt>
                <c:pt idx="62">
                  <c:v>0.91056910569105609</c:v>
                </c:pt>
                <c:pt idx="63">
                  <c:v>0.91056910569105454</c:v>
                </c:pt>
                <c:pt idx="64">
                  <c:v>0.91869918699186892</c:v>
                </c:pt>
                <c:pt idx="65">
                  <c:v>0.91869918699186892</c:v>
                </c:pt>
                <c:pt idx="66">
                  <c:v>0.91869918699186892</c:v>
                </c:pt>
                <c:pt idx="67">
                  <c:v>0.91869918699186892</c:v>
                </c:pt>
                <c:pt idx="68">
                  <c:v>0.92682926829268175</c:v>
                </c:pt>
                <c:pt idx="69">
                  <c:v>0.93495934959349303</c:v>
                </c:pt>
                <c:pt idx="70">
                  <c:v>0.93495934959349303</c:v>
                </c:pt>
                <c:pt idx="71">
                  <c:v>0.94308943089430597</c:v>
                </c:pt>
                <c:pt idx="72">
                  <c:v>0.9512195121951188</c:v>
                </c:pt>
                <c:pt idx="73">
                  <c:v>0.94308943089430597</c:v>
                </c:pt>
                <c:pt idx="74">
                  <c:v>0.93495934959349303</c:v>
                </c:pt>
                <c:pt idx="75">
                  <c:v>0.94308943089430597</c:v>
                </c:pt>
                <c:pt idx="76">
                  <c:v>0.9512195121951188</c:v>
                </c:pt>
                <c:pt idx="77">
                  <c:v>0.9512195121951188</c:v>
                </c:pt>
                <c:pt idx="78">
                  <c:v>0.9512195121951188</c:v>
                </c:pt>
                <c:pt idx="79">
                  <c:v>0.9512195121951188</c:v>
                </c:pt>
                <c:pt idx="80">
                  <c:v>0.95934959349593296</c:v>
                </c:pt>
                <c:pt idx="81">
                  <c:v>0.95934959349593296</c:v>
                </c:pt>
                <c:pt idx="82">
                  <c:v>0.95934959349593296</c:v>
                </c:pt>
                <c:pt idx="83">
                  <c:v>0.95934959349593296</c:v>
                </c:pt>
                <c:pt idx="84">
                  <c:v>0.96747967479674735</c:v>
                </c:pt>
                <c:pt idx="85">
                  <c:v>0.95934959349593296</c:v>
                </c:pt>
                <c:pt idx="86">
                  <c:v>0.96747967479674735</c:v>
                </c:pt>
                <c:pt idx="87">
                  <c:v>0.96747967479674735</c:v>
                </c:pt>
                <c:pt idx="88">
                  <c:v>0.96747967479674735</c:v>
                </c:pt>
                <c:pt idx="89">
                  <c:v>0.96747967479674735</c:v>
                </c:pt>
                <c:pt idx="90">
                  <c:v>0.96747967479674735</c:v>
                </c:pt>
                <c:pt idx="91">
                  <c:v>0.97560975609756151</c:v>
                </c:pt>
                <c:pt idx="92">
                  <c:v>0.96747967479674735</c:v>
                </c:pt>
                <c:pt idx="93">
                  <c:v>0.96747967479674735</c:v>
                </c:pt>
                <c:pt idx="94">
                  <c:v>0.96747967479674735</c:v>
                </c:pt>
                <c:pt idx="95">
                  <c:v>0.97560975609756151</c:v>
                </c:pt>
                <c:pt idx="96">
                  <c:v>0.96747967479674735</c:v>
                </c:pt>
                <c:pt idx="97">
                  <c:v>0.97560975609755873</c:v>
                </c:pt>
                <c:pt idx="98">
                  <c:v>0.98373983739837301</c:v>
                </c:pt>
                <c:pt idx="99">
                  <c:v>0.97560975609756151</c:v>
                </c:pt>
                <c:pt idx="100">
                  <c:v>0.96747967479674735</c:v>
                </c:pt>
                <c:pt idx="101">
                  <c:v>0.97560975609756151</c:v>
                </c:pt>
                <c:pt idx="102">
                  <c:v>0.99186991869918584</c:v>
                </c:pt>
                <c:pt idx="103">
                  <c:v>0.97560975609756018</c:v>
                </c:pt>
                <c:pt idx="104">
                  <c:v>0.96747967479674735</c:v>
                </c:pt>
                <c:pt idx="105">
                  <c:v>0.97560975609755873</c:v>
                </c:pt>
                <c:pt idx="106">
                  <c:v>0.98373983739837301</c:v>
                </c:pt>
                <c:pt idx="107">
                  <c:v>0.98373983739837301</c:v>
                </c:pt>
                <c:pt idx="108">
                  <c:v>0.97560975609755873</c:v>
                </c:pt>
                <c:pt idx="109">
                  <c:v>0.98373983739837301</c:v>
                </c:pt>
                <c:pt idx="110">
                  <c:v>0.98373983739837434</c:v>
                </c:pt>
                <c:pt idx="111">
                  <c:v>0.98373983739837156</c:v>
                </c:pt>
                <c:pt idx="112">
                  <c:v>0.98373983739837301</c:v>
                </c:pt>
                <c:pt idx="113">
                  <c:v>0.98373983739837301</c:v>
                </c:pt>
                <c:pt idx="114">
                  <c:v>0.98373983739837301</c:v>
                </c:pt>
                <c:pt idx="115">
                  <c:v>0.97560975609756151</c:v>
                </c:pt>
                <c:pt idx="116">
                  <c:v>0.97560975609755873</c:v>
                </c:pt>
                <c:pt idx="117">
                  <c:v>0.98373983739837301</c:v>
                </c:pt>
                <c:pt idx="118">
                  <c:v>0.98373983739837434</c:v>
                </c:pt>
                <c:pt idx="119">
                  <c:v>0.99186991869918584</c:v>
                </c:pt>
                <c:pt idx="120">
                  <c:v>0.98373983739837301</c:v>
                </c:pt>
                <c:pt idx="121">
                  <c:v>0.98373983739837301</c:v>
                </c:pt>
                <c:pt idx="122">
                  <c:v>0.98373983739837301</c:v>
                </c:pt>
                <c:pt idx="123">
                  <c:v>0.98373983739837301</c:v>
                </c:pt>
                <c:pt idx="124">
                  <c:v>0.97560975609756151</c:v>
                </c:pt>
                <c:pt idx="125">
                  <c:v>0.98373983739837301</c:v>
                </c:pt>
                <c:pt idx="126">
                  <c:v>0.98373983739837301</c:v>
                </c:pt>
                <c:pt idx="127">
                  <c:v>0.98373983739837156</c:v>
                </c:pt>
                <c:pt idx="128">
                  <c:v>0.98373983739837301</c:v>
                </c:pt>
                <c:pt idx="129">
                  <c:v>0.97560975609756151</c:v>
                </c:pt>
                <c:pt idx="130">
                  <c:v>0.99186991869918584</c:v>
                </c:pt>
                <c:pt idx="131">
                  <c:v>0.99186991869918584</c:v>
                </c:pt>
                <c:pt idx="132">
                  <c:v>0.99186991869918584</c:v>
                </c:pt>
                <c:pt idx="133">
                  <c:v>0.98373983739837301</c:v>
                </c:pt>
                <c:pt idx="134">
                  <c:v>0.99186991869918584</c:v>
                </c:pt>
                <c:pt idx="135">
                  <c:v>0.99186991869918584</c:v>
                </c:pt>
                <c:pt idx="136">
                  <c:v>0.98373983739837301</c:v>
                </c:pt>
                <c:pt idx="137">
                  <c:v>0.99186991869918584</c:v>
                </c:pt>
                <c:pt idx="138">
                  <c:v>0.98373983739837156</c:v>
                </c:pt>
                <c:pt idx="139">
                  <c:v>0.99186991869918584</c:v>
                </c:pt>
                <c:pt idx="140">
                  <c:v>0.99186991869918584</c:v>
                </c:pt>
                <c:pt idx="141">
                  <c:v>0.98373983739837301</c:v>
                </c:pt>
                <c:pt idx="142">
                  <c:v>0.99186991869918584</c:v>
                </c:pt>
                <c:pt idx="143">
                  <c:v>1</c:v>
                </c:pt>
                <c:pt idx="144">
                  <c:v>0.97560975609756151</c:v>
                </c:pt>
                <c:pt idx="145">
                  <c:v>1</c:v>
                </c:pt>
                <c:pt idx="146">
                  <c:v>1</c:v>
                </c:pt>
                <c:pt idx="147">
                  <c:v>0.97560975609756151</c:v>
                </c:pt>
                <c:pt idx="148">
                  <c:v>0.97560975609756151</c:v>
                </c:pt>
                <c:pt idx="149">
                  <c:v>0.97560975609756151</c:v>
                </c:pt>
                <c:pt idx="150">
                  <c:v>1</c:v>
                </c:pt>
                <c:pt idx="151">
                  <c:v>1</c:v>
                </c:pt>
                <c:pt idx="152">
                  <c:v>0.97560975609756151</c:v>
                </c:pt>
                <c:pt idx="15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2D-42B9-A677-BF4BDE20F880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'3'!$AS$8:$AS$217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</c:numCache>
            </c:numRef>
          </c:xVal>
          <c:yVal>
            <c:numRef>
              <c:f>'3'!$AV$8:$AV$217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8.3333333333331858E-3</c:v>
                </c:pt>
                <c:pt idx="4">
                  <c:v>8.3333333333331858E-3</c:v>
                </c:pt>
                <c:pt idx="5">
                  <c:v>8.3333333333331858E-3</c:v>
                </c:pt>
                <c:pt idx="6">
                  <c:v>8.3333333333331858E-3</c:v>
                </c:pt>
                <c:pt idx="7">
                  <c:v>1.6666666666666372E-2</c:v>
                </c:pt>
                <c:pt idx="8">
                  <c:v>1.6666666666666372E-2</c:v>
                </c:pt>
                <c:pt idx="9">
                  <c:v>8.3333333333331858E-3</c:v>
                </c:pt>
                <c:pt idx="10">
                  <c:v>1.6666666666666372E-2</c:v>
                </c:pt>
                <c:pt idx="11">
                  <c:v>4.1666666666665929E-2</c:v>
                </c:pt>
                <c:pt idx="12">
                  <c:v>6.6666666666665486E-2</c:v>
                </c:pt>
                <c:pt idx="13">
                  <c:v>9.9999999999998229E-2</c:v>
                </c:pt>
                <c:pt idx="14">
                  <c:v>0.13333333333333097</c:v>
                </c:pt>
                <c:pt idx="15">
                  <c:v>0.17499999999999838</c:v>
                </c:pt>
                <c:pt idx="16">
                  <c:v>0.23333333333333361</c:v>
                </c:pt>
                <c:pt idx="17">
                  <c:v>0.29166666666666596</c:v>
                </c:pt>
                <c:pt idx="18">
                  <c:v>0.33333333333333331</c:v>
                </c:pt>
                <c:pt idx="19">
                  <c:v>0.39166666666666561</c:v>
                </c:pt>
                <c:pt idx="20">
                  <c:v>0.43333333333333307</c:v>
                </c:pt>
                <c:pt idx="21">
                  <c:v>0.47500000000000042</c:v>
                </c:pt>
                <c:pt idx="22">
                  <c:v>0.53333333333333277</c:v>
                </c:pt>
                <c:pt idx="23">
                  <c:v>0.57500000000000018</c:v>
                </c:pt>
                <c:pt idx="24">
                  <c:v>0.61666666666666603</c:v>
                </c:pt>
                <c:pt idx="25">
                  <c:v>0.65833333333333488</c:v>
                </c:pt>
                <c:pt idx="26">
                  <c:v>0.68333333333333446</c:v>
                </c:pt>
                <c:pt idx="27">
                  <c:v>0.73333333333333361</c:v>
                </c:pt>
                <c:pt idx="28">
                  <c:v>0.75</c:v>
                </c:pt>
                <c:pt idx="29">
                  <c:v>0.7666666666666665</c:v>
                </c:pt>
                <c:pt idx="30">
                  <c:v>0.80833333333333379</c:v>
                </c:pt>
                <c:pt idx="31">
                  <c:v>0.80833333333333379</c:v>
                </c:pt>
                <c:pt idx="32">
                  <c:v>0.83333333333333626</c:v>
                </c:pt>
                <c:pt idx="33">
                  <c:v>0.84166666666666956</c:v>
                </c:pt>
                <c:pt idx="34">
                  <c:v>0.86666666666666903</c:v>
                </c:pt>
                <c:pt idx="35">
                  <c:v>0.88333333333333541</c:v>
                </c:pt>
                <c:pt idx="36">
                  <c:v>0.88333333333333541</c:v>
                </c:pt>
                <c:pt idx="37">
                  <c:v>0.90833333333333499</c:v>
                </c:pt>
                <c:pt idx="38">
                  <c:v>0.90833333333333499</c:v>
                </c:pt>
                <c:pt idx="39">
                  <c:v>0.93333333333333446</c:v>
                </c:pt>
                <c:pt idx="40">
                  <c:v>0.94166666666666776</c:v>
                </c:pt>
                <c:pt idx="41">
                  <c:v>0.95833333333333404</c:v>
                </c:pt>
                <c:pt idx="42">
                  <c:v>0.95833333333333404</c:v>
                </c:pt>
                <c:pt idx="43">
                  <c:v>0.96666666666666734</c:v>
                </c:pt>
                <c:pt idx="44">
                  <c:v>0.96666666666666734</c:v>
                </c:pt>
                <c:pt idx="45">
                  <c:v>0.97500000000000053</c:v>
                </c:pt>
                <c:pt idx="46">
                  <c:v>0.98333333333333361</c:v>
                </c:pt>
                <c:pt idx="47">
                  <c:v>0.99166666666666681</c:v>
                </c:pt>
                <c:pt idx="48">
                  <c:v>0.99166666666666681</c:v>
                </c:pt>
                <c:pt idx="49">
                  <c:v>1.0000000000000016</c:v>
                </c:pt>
                <c:pt idx="50">
                  <c:v>1.0000000000000016</c:v>
                </c:pt>
                <c:pt idx="51">
                  <c:v>1.0083333333333346</c:v>
                </c:pt>
                <c:pt idx="52">
                  <c:v>1</c:v>
                </c:pt>
                <c:pt idx="53">
                  <c:v>1.0083333333333346</c:v>
                </c:pt>
                <c:pt idx="54">
                  <c:v>1.0083333333333346</c:v>
                </c:pt>
                <c:pt idx="55">
                  <c:v>1.0083333333333346</c:v>
                </c:pt>
                <c:pt idx="56">
                  <c:v>1.0166666666666677</c:v>
                </c:pt>
                <c:pt idx="57">
                  <c:v>1.0166666666666677</c:v>
                </c:pt>
                <c:pt idx="58">
                  <c:v>1.0166666666666677</c:v>
                </c:pt>
                <c:pt idx="59">
                  <c:v>1.025000000000001</c:v>
                </c:pt>
                <c:pt idx="60">
                  <c:v>1.0250000000000026</c:v>
                </c:pt>
                <c:pt idx="61">
                  <c:v>1.0333333333333357</c:v>
                </c:pt>
                <c:pt idx="62">
                  <c:v>1.025000000000001</c:v>
                </c:pt>
                <c:pt idx="63">
                  <c:v>1.0333333333333357</c:v>
                </c:pt>
                <c:pt idx="64">
                  <c:v>1.0333333333333357</c:v>
                </c:pt>
                <c:pt idx="65">
                  <c:v>1.0166666666666677</c:v>
                </c:pt>
                <c:pt idx="66">
                  <c:v>1.025000000000001</c:v>
                </c:pt>
                <c:pt idx="67">
                  <c:v>1.0166666666666677</c:v>
                </c:pt>
                <c:pt idx="68">
                  <c:v>1.025000000000001</c:v>
                </c:pt>
                <c:pt idx="69">
                  <c:v>1.025000000000001</c:v>
                </c:pt>
                <c:pt idx="70">
                  <c:v>1.0333333333333357</c:v>
                </c:pt>
                <c:pt idx="71">
                  <c:v>1.0333333333333357</c:v>
                </c:pt>
                <c:pt idx="72">
                  <c:v>1.0250000000000026</c:v>
                </c:pt>
                <c:pt idx="73">
                  <c:v>1.0333333333333357</c:v>
                </c:pt>
                <c:pt idx="74">
                  <c:v>1.0333333333333357</c:v>
                </c:pt>
                <c:pt idx="75">
                  <c:v>1.0333333333333357</c:v>
                </c:pt>
                <c:pt idx="76">
                  <c:v>1.0333333333333357</c:v>
                </c:pt>
                <c:pt idx="77">
                  <c:v>1.025000000000001</c:v>
                </c:pt>
                <c:pt idx="78">
                  <c:v>1.0333333333333357</c:v>
                </c:pt>
                <c:pt idx="79">
                  <c:v>1.0333333333333357</c:v>
                </c:pt>
                <c:pt idx="80">
                  <c:v>1.0333333333333357</c:v>
                </c:pt>
                <c:pt idx="81">
                  <c:v>1.0333333333333357</c:v>
                </c:pt>
                <c:pt idx="82">
                  <c:v>1.025000000000001</c:v>
                </c:pt>
                <c:pt idx="83">
                  <c:v>1.0416666666666705</c:v>
                </c:pt>
                <c:pt idx="84">
                  <c:v>1.0333333333333357</c:v>
                </c:pt>
                <c:pt idx="85">
                  <c:v>1.0416666666666705</c:v>
                </c:pt>
                <c:pt idx="86">
                  <c:v>1.0416666666666705</c:v>
                </c:pt>
                <c:pt idx="87">
                  <c:v>1.0333333333333357</c:v>
                </c:pt>
                <c:pt idx="88">
                  <c:v>1.0333333333333357</c:v>
                </c:pt>
                <c:pt idx="89">
                  <c:v>1.0333333333333357</c:v>
                </c:pt>
                <c:pt idx="90">
                  <c:v>1.0416666666666705</c:v>
                </c:pt>
                <c:pt idx="91">
                  <c:v>1.0416666666666705</c:v>
                </c:pt>
                <c:pt idx="92">
                  <c:v>1.0333333333333357</c:v>
                </c:pt>
                <c:pt idx="93">
                  <c:v>1.025000000000001</c:v>
                </c:pt>
                <c:pt idx="94">
                  <c:v>1.0333333333333357</c:v>
                </c:pt>
                <c:pt idx="95">
                  <c:v>1.025000000000001</c:v>
                </c:pt>
                <c:pt idx="96">
                  <c:v>1.0416666666666705</c:v>
                </c:pt>
                <c:pt idx="97">
                  <c:v>1.0416666666666705</c:v>
                </c:pt>
                <c:pt idx="98">
                  <c:v>1.0416666666666705</c:v>
                </c:pt>
                <c:pt idx="99">
                  <c:v>1.0333333333333357</c:v>
                </c:pt>
                <c:pt idx="100">
                  <c:v>1.0416666666666705</c:v>
                </c:pt>
                <c:pt idx="101">
                  <c:v>1.0416666666666705</c:v>
                </c:pt>
                <c:pt idx="102">
                  <c:v>1.0416666666666705</c:v>
                </c:pt>
                <c:pt idx="103">
                  <c:v>1.0500000000000036</c:v>
                </c:pt>
                <c:pt idx="104">
                  <c:v>1.0500000000000036</c:v>
                </c:pt>
                <c:pt idx="105">
                  <c:v>1.0416666666666705</c:v>
                </c:pt>
                <c:pt idx="106">
                  <c:v>1.0375000000000039</c:v>
                </c:pt>
                <c:pt idx="107">
                  <c:v>1.0375000000000039</c:v>
                </c:pt>
                <c:pt idx="108">
                  <c:v>1.0375000000000039</c:v>
                </c:pt>
                <c:pt idx="109">
                  <c:v>1.0250000000000017</c:v>
                </c:pt>
                <c:pt idx="110">
                  <c:v>1.0250000000000017</c:v>
                </c:pt>
                <c:pt idx="111">
                  <c:v>1.0250000000000017</c:v>
                </c:pt>
                <c:pt idx="112">
                  <c:v>1.0375000000000039</c:v>
                </c:pt>
                <c:pt idx="113">
                  <c:v>1.0375000000000039</c:v>
                </c:pt>
                <c:pt idx="114">
                  <c:v>1.0250000000000039</c:v>
                </c:pt>
                <c:pt idx="115">
                  <c:v>1.0250000000000039</c:v>
                </c:pt>
                <c:pt idx="11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2D-42B9-A677-BF4BDE20F880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'3'!$AS$8:$AS$217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</c:numCache>
            </c:numRef>
          </c:xVal>
          <c:yVal>
            <c:numRef>
              <c:f>'3'!$AW$8:$AW$217</c:f>
              <c:numCache>
                <c:formatCode>General</c:formatCode>
                <c:ptCount val="210"/>
                <c:pt idx="0">
                  <c:v>8.3333333333316297E-3</c:v>
                </c:pt>
                <c:pt idx="1">
                  <c:v>8.3333333333316297E-3</c:v>
                </c:pt>
                <c:pt idx="2">
                  <c:v>8.3333333333316297E-3</c:v>
                </c:pt>
                <c:pt idx="3">
                  <c:v>8.3333333333316297E-3</c:v>
                </c:pt>
                <c:pt idx="4">
                  <c:v>8.3333333333316297E-3</c:v>
                </c:pt>
                <c:pt idx="5">
                  <c:v>1.6666666666666222E-2</c:v>
                </c:pt>
                <c:pt idx="6">
                  <c:v>1.6666666666666222E-2</c:v>
                </c:pt>
                <c:pt idx="7">
                  <c:v>3.3333333333332445E-2</c:v>
                </c:pt>
                <c:pt idx="8">
                  <c:v>4.9999999999998664E-2</c:v>
                </c:pt>
                <c:pt idx="9">
                  <c:v>6.6666666666664889E-2</c:v>
                </c:pt>
                <c:pt idx="10">
                  <c:v>0.10833333333333192</c:v>
                </c:pt>
                <c:pt idx="11">
                  <c:v>0.15000000000000191</c:v>
                </c:pt>
                <c:pt idx="12">
                  <c:v>0.20833333333333517</c:v>
                </c:pt>
                <c:pt idx="13">
                  <c:v>0.25833333333333086</c:v>
                </c:pt>
                <c:pt idx="14">
                  <c:v>0.32500000000000168</c:v>
                </c:pt>
                <c:pt idx="15">
                  <c:v>0.38333333333333197</c:v>
                </c:pt>
                <c:pt idx="16">
                  <c:v>0.43333333333333068</c:v>
                </c:pt>
                <c:pt idx="17">
                  <c:v>0.48333333333332934</c:v>
                </c:pt>
                <c:pt idx="18">
                  <c:v>0.54166666666666263</c:v>
                </c:pt>
                <c:pt idx="19">
                  <c:v>0.57499999999999796</c:v>
                </c:pt>
                <c:pt idx="20">
                  <c:v>0.61666666666666203</c:v>
                </c:pt>
                <c:pt idx="21">
                  <c:v>0.658333333333329</c:v>
                </c:pt>
                <c:pt idx="22">
                  <c:v>0.68333333333332991</c:v>
                </c:pt>
                <c:pt idx="23">
                  <c:v>0.71666666666666523</c:v>
                </c:pt>
                <c:pt idx="24">
                  <c:v>0.74166666666666314</c:v>
                </c:pt>
                <c:pt idx="25">
                  <c:v>0.77499999999999847</c:v>
                </c:pt>
                <c:pt idx="26">
                  <c:v>0.79166666666666174</c:v>
                </c:pt>
                <c:pt idx="27">
                  <c:v>0.82499999999999729</c:v>
                </c:pt>
                <c:pt idx="28">
                  <c:v>0.82499999999999429</c:v>
                </c:pt>
                <c:pt idx="29">
                  <c:v>0.84166666666666046</c:v>
                </c:pt>
                <c:pt idx="30">
                  <c:v>0.85833333333332962</c:v>
                </c:pt>
                <c:pt idx="31">
                  <c:v>0.87499999999999878</c:v>
                </c:pt>
                <c:pt idx="32">
                  <c:v>0.89166666666666206</c:v>
                </c:pt>
                <c:pt idx="33">
                  <c:v>0.89999999999999369</c:v>
                </c:pt>
                <c:pt idx="34">
                  <c:v>0.90833333333332822</c:v>
                </c:pt>
                <c:pt idx="35">
                  <c:v>0.90833333333332822</c:v>
                </c:pt>
                <c:pt idx="36">
                  <c:v>0.93333333333332913</c:v>
                </c:pt>
                <c:pt idx="37">
                  <c:v>0.93333333333332913</c:v>
                </c:pt>
                <c:pt idx="38">
                  <c:v>0.94166666666666377</c:v>
                </c:pt>
                <c:pt idx="39">
                  <c:v>0.93333333333332913</c:v>
                </c:pt>
                <c:pt idx="40">
                  <c:v>0.94166666666666377</c:v>
                </c:pt>
                <c:pt idx="41">
                  <c:v>0.93333333333332913</c:v>
                </c:pt>
                <c:pt idx="42">
                  <c:v>0.94166666666666377</c:v>
                </c:pt>
                <c:pt idx="43">
                  <c:v>0.93333333333332913</c:v>
                </c:pt>
                <c:pt idx="44">
                  <c:v>0.94166666666666377</c:v>
                </c:pt>
                <c:pt idx="45">
                  <c:v>0.94999999999999829</c:v>
                </c:pt>
                <c:pt idx="46">
                  <c:v>0.94999999999999829</c:v>
                </c:pt>
                <c:pt idx="47">
                  <c:v>0.94999999999999829</c:v>
                </c:pt>
                <c:pt idx="48">
                  <c:v>0.95833333333332993</c:v>
                </c:pt>
                <c:pt idx="49">
                  <c:v>0.95833333333332993</c:v>
                </c:pt>
                <c:pt idx="50">
                  <c:v>0.94999999999999829</c:v>
                </c:pt>
                <c:pt idx="51">
                  <c:v>0.95833333333332993</c:v>
                </c:pt>
                <c:pt idx="52">
                  <c:v>0.95833333333332993</c:v>
                </c:pt>
                <c:pt idx="53">
                  <c:v>0.95833333333332993</c:v>
                </c:pt>
                <c:pt idx="54">
                  <c:v>0.96666666666666168</c:v>
                </c:pt>
                <c:pt idx="55">
                  <c:v>0.96666666666666168</c:v>
                </c:pt>
                <c:pt idx="56">
                  <c:v>0.95833333333332993</c:v>
                </c:pt>
                <c:pt idx="57">
                  <c:v>0.95833333333332993</c:v>
                </c:pt>
                <c:pt idx="58">
                  <c:v>0.95833333333332993</c:v>
                </c:pt>
                <c:pt idx="59">
                  <c:v>0.94999999999999829</c:v>
                </c:pt>
                <c:pt idx="60">
                  <c:v>0.96666666666666168</c:v>
                </c:pt>
                <c:pt idx="61">
                  <c:v>0.95833333333332993</c:v>
                </c:pt>
                <c:pt idx="62">
                  <c:v>0.94999999999999829</c:v>
                </c:pt>
                <c:pt idx="63">
                  <c:v>0.96666666666666168</c:v>
                </c:pt>
                <c:pt idx="64">
                  <c:v>0.96666666666666168</c:v>
                </c:pt>
                <c:pt idx="65">
                  <c:v>0.95833333333332993</c:v>
                </c:pt>
                <c:pt idx="66">
                  <c:v>0.97499999999999321</c:v>
                </c:pt>
                <c:pt idx="67">
                  <c:v>0.97499999999999321</c:v>
                </c:pt>
                <c:pt idx="68">
                  <c:v>0.94999999999999829</c:v>
                </c:pt>
                <c:pt idx="69">
                  <c:v>0.97499999999999321</c:v>
                </c:pt>
                <c:pt idx="70">
                  <c:v>0.97499999999999321</c:v>
                </c:pt>
                <c:pt idx="71">
                  <c:v>0.95833333333332993</c:v>
                </c:pt>
                <c:pt idx="72">
                  <c:v>0.97499999999999321</c:v>
                </c:pt>
                <c:pt idx="73">
                  <c:v>0.96666666666666168</c:v>
                </c:pt>
                <c:pt idx="74">
                  <c:v>0.95833333333332993</c:v>
                </c:pt>
                <c:pt idx="75">
                  <c:v>0.97499999999999321</c:v>
                </c:pt>
                <c:pt idx="76">
                  <c:v>0.96666666666666168</c:v>
                </c:pt>
                <c:pt idx="77">
                  <c:v>0.95833333333332993</c:v>
                </c:pt>
                <c:pt idx="78">
                  <c:v>0.97499999999999321</c:v>
                </c:pt>
                <c:pt idx="79">
                  <c:v>0.96666666666666168</c:v>
                </c:pt>
                <c:pt idx="80">
                  <c:v>0.95833333333332993</c:v>
                </c:pt>
                <c:pt idx="81">
                  <c:v>0.95833333333332993</c:v>
                </c:pt>
                <c:pt idx="82">
                  <c:v>0.97499999999999321</c:v>
                </c:pt>
                <c:pt idx="83">
                  <c:v>0.98333333333332784</c:v>
                </c:pt>
                <c:pt idx="84">
                  <c:v>0.96666666666666168</c:v>
                </c:pt>
                <c:pt idx="85">
                  <c:v>0.97499999999999321</c:v>
                </c:pt>
                <c:pt idx="86">
                  <c:v>0.98333333333332784</c:v>
                </c:pt>
                <c:pt idx="87">
                  <c:v>0.96666666666666168</c:v>
                </c:pt>
                <c:pt idx="88">
                  <c:v>0.98333333333332784</c:v>
                </c:pt>
                <c:pt idx="89">
                  <c:v>0.98333333333332784</c:v>
                </c:pt>
                <c:pt idx="90">
                  <c:v>0.97499999999999321</c:v>
                </c:pt>
                <c:pt idx="91">
                  <c:v>0.98333333333332784</c:v>
                </c:pt>
                <c:pt idx="92">
                  <c:v>0.98333333333332784</c:v>
                </c:pt>
                <c:pt idx="93">
                  <c:v>0.96666666666666168</c:v>
                </c:pt>
                <c:pt idx="94">
                  <c:v>0.98333333333332784</c:v>
                </c:pt>
                <c:pt idx="95">
                  <c:v>0.98333333333332784</c:v>
                </c:pt>
                <c:pt idx="96">
                  <c:v>0.98333333333332784</c:v>
                </c:pt>
                <c:pt idx="97">
                  <c:v>0.9749999999999962</c:v>
                </c:pt>
                <c:pt idx="98">
                  <c:v>0.98333333333332784</c:v>
                </c:pt>
                <c:pt idx="99">
                  <c:v>0.98333333333332784</c:v>
                </c:pt>
                <c:pt idx="100">
                  <c:v>0.9749999999999962</c:v>
                </c:pt>
                <c:pt idx="101">
                  <c:v>0.98333333333332784</c:v>
                </c:pt>
                <c:pt idx="102">
                  <c:v>0.9749999999999962</c:v>
                </c:pt>
                <c:pt idx="103">
                  <c:v>0.98333333333332784</c:v>
                </c:pt>
                <c:pt idx="104">
                  <c:v>0.98333333333332784</c:v>
                </c:pt>
                <c:pt idx="105">
                  <c:v>0.9749999999999962</c:v>
                </c:pt>
                <c:pt idx="106">
                  <c:v>0.98333333333332784</c:v>
                </c:pt>
                <c:pt idx="107">
                  <c:v>0.98333333333332784</c:v>
                </c:pt>
                <c:pt idx="108">
                  <c:v>0.97499999999999321</c:v>
                </c:pt>
                <c:pt idx="109">
                  <c:v>0.9749999999999962</c:v>
                </c:pt>
                <c:pt idx="110">
                  <c:v>0.98333333333332784</c:v>
                </c:pt>
                <c:pt idx="111">
                  <c:v>0.97499999999999321</c:v>
                </c:pt>
                <c:pt idx="112">
                  <c:v>0.98333333333332784</c:v>
                </c:pt>
                <c:pt idx="113">
                  <c:v>0.98333333333332784</c:v>
                </c:pt>
                <c:pt idx="114">
                  <c:v>0.97499999999999321</c:v>
                </c:pt>
                <c:pt idx="115">
                  <c:v>0.98333333333332784</c:v>
                </c:pt>
                <c:pt idx="116">
                  <c:v>0.97499999999999321</c:v>
                </c:pt>
                <c:pt idx="117">
                  <c:v>0.97499999999999321</c:v>
                </c:pt>
                <c:pt idx="118">
                  <c:v>0.98333333333332784</c:v>
                </c:pt>
                <c:pt idx="119">
                  <c:v>0.98333333333332784</c:v>
                </c:pt>
                <c:pt idx="120">
                  <c:v>0.97499999999999321</c:v>
                </c:pt>
                <c:pt idx="121">
                  <c:v>0.98333333333332784</c:v>
                </c:pt>
                <c:pt idx="122">
                  <c:v>0.98333333333332784</c:v>
                </c:pt>
                <c:pt idx="123">
                  <c:v>0.99999999999999545</c:v>
                </c:pt>
                <c:pt idx="124">
                  <c:v>0.99999999999999545</c:v>
                </c:pt>
                <c:pt idx="125">
                  <c:v>1.0124999999999973</c:v>
                </c:pt>
                <c:pt idx="126">
                  <c:v>0.99999999999999545</c:v>
                </c:pt>
                <c:pt idx="127">
                  <c:v>0.99999999999999545</c:v>
                </c:pt>
                <c:pt idx="128">
                  <c:v>0.99999999999999545</c:v>
                </c:pt>
                <c:pt idx="129">
                  <c:v>0.99999999999999545</c:v>
                </c:pt>
                <c:pt idx="130">
                  <c:v>0.9749999999999962</c:v>
                </c:pt>
                <c:pt idx="131">
                  <c:v>0.99999999999999545</c:v>
                </c:pt>
                <c:pt idx="132">
                  <c:v>0.99999999999999545</c:v>
                </c:pt>
                <c:pt idx="133">
                  <c:v>0.99999999999999545</c:v>
                </c:pt>
                <c:pt idx="134">
                  <c:v>0.99999999999999545</c:v>
                </c:pt>
                <c:pt idx="135">
                  <c:v>0.99999999999999545</c:v>
                </c:pt>
                <c:pt idx="136">
                  <c:v>0.99999999999999545</c:v>
                </c:pt>
                <c:pt idx="137">
                  <c:v>0.99999999999999545</c:v>
                </c:pt>
                <c:pt idx="138">
                  <c:v>0.99999999999999545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1.0249999999999948</c:v>
                </c:pt>
                <c:pt idx="144">
                  <c:v>1</c:v>
                </c:pt>
                <c:pt idx="145">
                  <c:v>1</c:v>
                </c:pt>
                <c:pt idx="146">
                  <c:v>1.0249999999999948</c:v>
                </c:pt>
                <c:pt idx="147">
                  <c:v>1.0249999999999948</c:v>
                </c:pt>
                <c:pt idx="148">
                  <c:v>1</c:v>
                </c:pt>
                <c:pt idx="149">
                  <c:v>1.0249999999999948</c:v>
                </c:pt>
                <c:pt idx="150">
                  <c:v>1.0249999999999948</c:v>
                </c:pt>
                <c:pt idx="151">
                  <c:v>1</c:v>
                </c:pt>
                <c:pt idx="152">
                  <c:v>1.0249999999999948</c:v>
                </c:pt>
                <c:pt idx="153">
                  <c:v>1.0249999999999948</c:v>
                </c:pt>
                <c:pt idx="154">
                  <c:v>1</c:v>
                </c:pt>
                <c:pt idx="155">
                  <c:v>1.0249999999999948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32D-42B9-A677-BF4BDE20F880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'3'!$AS$8:$AS$217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</c:numCache>
            </c:numRef>
          </c:xVal>
          <c:yVal>
            <c:numRef>
              <c:f>'3'!$AX$8:$AX$217</c:f>
              <c:numCache>
                <c:formatCode>General</c:formatCode>
                <c:ptCount val="210"/>
                <c:pt idx="0">
                  <c:v>8.5470085470099478E-3</c:v>
                </c:pt>
                <c:pt idx="1">
                  <c:v>8.5470085470099478E-3</c:v>
                </c:pt>
                <c:pt idx="2">
                  <c:v>8.5470085470099478E-3</c:v>
                </c:pt>
                <c:pt idx="3">
                  <c:v>0</c:v>
                </c:pt>
                <c:pt idx="4">
                  <c:v>8.5470085470099478E-3</c:v>
                </c:pt>
                <c:pt idx="5">
                  <c:v>8.5470085470099478E-3</c:v>
                </c:pt>
                <c:pt idx="6">
                  <c:v>0</c:v>
                </c:pt>
                <c:pt idx="7">
                  <c:v>8.5470085470099478E-3</c:v>
                </c:pt>
                <c:pt idx="8">
                  <c:v>3.418803418803372E-2</c:v>
                </c:pt>
                <c:pt idx="9">
                  <c:v>5.9829059829057493E-2</c:v>
                </c:pt>
                <c:pt idx="10">
                  <c:v>0.1880341880341885</c:v>
                </c:pt>
                <c:pt idx="11">
                  <c:v>0.2393162393162421</c:v>
                </c:pt>
                <c:pt idx="12">
                  <c:v>0.27350427350427581</c:v>
                </c:pt>
                <c:pt idx="13">
                  <c:v>0.41025641025641374</c:v>
                </c:pt>
                <c:pt idx="14">
                  <c:v>0.46153846153846123</c:v>
                </c:pt>
                <c:pt idx="15">
                  <c:v>0.49572649572649807</c:v>
                </c:pt>
                <c:pt idx="16">
                  <c:v>0.62393162393162593</c:v>
                </c:pt>
                <c:pt idx="17">
                  <c:v>0.66666666666666963</c:v>
                </c:pt>
                <c:pt idx="18">
                  <c:v>0.70085470085470636</c:v>
                </c:pt>
                <c:pt idx="19">
                  <c:v>0.72649572649573324</c:v>
                </c:pt>
                <c:pt idx="20">
                  <c:v>0.83760683760684118</c:v>
                </c:pt>
                <c:pt idx="21">
                  <c:v>0.86324786324786507</c:v>
                </c:pt>
                <c:pt idx="22">
                  <c:v>0.88034188034188487</c:v>
                </c:pt>
                <c:pt idx="23">
                  <c:v>0.8974358974359018</c:v>
                </c:pt>
                <c:pt idx="24">
                  <c:v>0.92307692307692857</c:v>
                </c:pt>
                <c:pt idx="25">
                  <c:v>0.92307692307692857</c:v>
                </c:pt>
                <c:pt idx="26">
                  <c:v>0.93162393162393553</c:v>
                </c:pt>
                <c:pt idx="27">
                  <c:v>0.94017094017094549</c:v>
                </c:pt>
                <c:pt idx="28">
                  <c:v>0.94871794871795245</c:v>
                </c:pt>
                <c:pt idx="29">
                  <c:v>0.9572649572649623</c:v>
                </c:pt>
                <c:pt idx="30">
                  <c:v>0.9572649572649623</c:v>
                </c:pt>
                <c:pt idx="31">
                  <c:v>0.96581196581197226</c:v>
                </c:pt>
                <c:pt idx="32">
                  <c:v>0.96581196581197226</c:v>
                </c:pt>
                <c:pt idx="33">
                  <c:v>0.96581196581197226</c:v>
                </c:pt>
                <c:pt idx="34">
                  <c:v>0.98290598290598608</c:v>
                </c:pt>
                <c:pt idx="35">
                  <c:v>0.98290598290598608</c:v>
                </c:pt>
                <c:pt idx="36">
                  <c:v>0.99145299145299615</c:v>
                </c:pt>
                <c:pt idx="37">
                  <c:v>0.99145299145299615</c:v>
                </c:pt>
                <c:pt idx="38">
                  <c:v>0.98290598290598608</c:v>
                </c:pt>
                <c:pt idx="39">
                  <c:v>0.99145299145299615</c:v>
                </c:pt>
                <c:pt idx="40">
                  <c:v>0.99145299145299615</c:v>
                </c:pt>
                <c:pt idx="41">
                  <c:v>0.99145299145299615</c:v>
                </c:pt>
                <c:pt idx="42">
                  <c:v>0.99145299145299615</c:v>
                </c:pt>
                <c:pt idx="43">
                  <c:v>0.99145299145299615</c:v>
                </c:pt>
                <c:pt idx="44">
                  <c:v>0.99145299145299615</c:v>
                </c:pt>
                <c:pt idx="45">
                  <c:v>0.99145299145299615</c:v>
                </c:pt>
                <c:pt idx="46">
                  <c:v>0.99145299145299615</c:v>
                </c:pt>
                <c:pt idx="47">
                  <c:v>0.99145299145299615</c:v>
                </c:pt>
                <c:pt idx="48">
                  <c:v>0.99145299145299615</c:v>
                </c:pt>
                <c:pt idx="49">
                  <c:v>0.99145299145299615</c:v>
                </c:pt>
                <c:pt idx="50">
                  <c:v>0.99145299145299615</c:v>
                </c:pt>
                <c:pt idx="51">
                  <c:v>0.99145299145299615</c:v>
                </c:pt>
                <c:pt idx="52">
                  <c:v>0.99145299145299615</c:v>
                </c:pt>
                <c:pt idx="53">
                  <c:v>0.99145299145299615</c:v>
                </c:pt>
                <c:pt idx="54">
                  <c:v>1.0269230769230833</c:v>
                </c:pt>
                <c:pt idx="55">
                  <c:v>1.0354700854700933</c:v>
                </c:pt>
                <c:pt idx="56">
                  <c:v>1.0354700854700933</c:v>
                </c:pt>
                <c:pt idx="57">
                  <c:v>1.0354700854700933</c:v>
                </c:pt>
                <c:pt idx="58">
                  <c:v>1.000000000000006</c:v>
                </c:pt>
                <c:pt idx="59">
                  <c:v>1.0269230769230833</c:v>
                </c:pt>
                <c:pt idx="60">
                  <c:v>1.0354700854700933</c:v>
                </c:pt>
                <c:pt idx="61">
                  <c:v>1.000000000000006</c:v>
                </c:pt>
                <c:pt idx="62">
                  <c:v>1.000000000000006</c:v>
                </c:pt>
                <c:pt idx="63">
                  <c:v>1.0440170940171032</c:v>
                </c:pt>
                <c:pt idx="64">
                  <c:v>1.0354700854700933</c:v>
                </c:pt>
                <c:pt idx="65">
                  <c:v>1.0440170940171032</c:v>
                </c:pt>
                <c:pt idx="66">
                  <c:v>1.0440170940171032</c:v>
                </c:pt>
                <c:pt idx="67">
                  <c:v>1.0354700854700933</c:v>
                </c:pt>
                <c:pt idx="68">
                  <c:v>1.000000000000006</c:v>
                </c:pt>
                <c:pt idx="69">
                  <c:v>1.0440170940171032</c:v>
                </c:pt>
                <c:pt idx="70">
                  <c:v>1.0354700854700933</c:v>
                </c:pt>
                <c:pt idx="71">
                  <c:v>0.95854700854701602</c:v>
                </c:pt>
                <c:pt idx="72">
                  <c:v>1.0354700854700933</c:v>
                </c:pt>
                <c:pt idx="73">
                  <c:v>1.0354700854700933</c:v>
                </c:pt>
                <c:pt idx="74">
                  <c:v>1.0354700854700933</c:v>
                </c:pt>
                <c:pt idx="75">
                  <c:v>1.0354700854700933</c:v>
                </c:pt>
                <c:pt idx="76">
                  <c:v>1.0525641025641101</c:v>
                </c:pt>
                <c:pt idx="77">
                  <c:v>1.0440170940171001</c:v>
                </c:pt>
                <c:pt idx="78">
                  <c:v>1.0440170940171032</c:v>
                </c:pt>
                <c:pt idx="79">
                  <c:v>1.0440170940171032</c:v>
                </c:pt>
                <c:pt idx="80">
                  <c:v>1.0354700854700933</c:v>
                </c:pt>
                <c:pt idx="81">
                  <c:v>0.95854700854701602</c:v>
                </c:pt>
                <c:pt idx="82">
                  <c:v>1.0440170940171032</c:v>
                </c:pt>
                <c:pt idx="83">
                  <c:v>1.0354700854700933</c:v>
                </c:pt>
                <c:pt idx="84">
                  <c:v>1.0440170940171032</c:v>
                </c:pt>
                <c:pt idx="85">
                  <c:v>0.95854700854701602</c:v>
                </c:pt>
                <c:pt idx="86">
                  <c:v>1.0440170940171001</c:v>
                </c:pt>
                <c:pt idx="87">
                  <c:v>1.0525641025641101</c:v>
                </c:pt>
                <c:pt idx="88">
                  <c:v>1.0354700854700933</c:v>
                </c:pt>
                <c:pt idx="89">
                  <c:v>1.0440170940171001</c:v>
                </c:pt>
                <c:pt idx="90">
                  <c:v>1.0440170940171001</c:v>
                </c:pt>
                <c:pt idx="91">
                  <c:v>1.0440170940171032</c:v>
                </c:pt>
                <c:pt idx="92">
                  <c:v>1.0525641025641101</c:v>
                </c:pt>
                <c:pt idx="93">
                  <c:v>1.0354700854700933</c:v>
                </c:pt>
                <c:pt idx="94">
                  <c:v>1.0440170940171032</c:v>
                </c:pt>
                <c:pt idx="95">
                  <c:v>1.0440170940171032</c:v>
                </c:pt>
                <c:pt idx="96">
                  <c:v>1.0440170940171032</c:v>
                </c:pt>
                <c:pt idx="97">
                  <c:v>1.0525641025641101</c:v>
                </c:pt>
                <c:pt idx="98">
                  <c:v>1.0440170940171032</c:v>
                </c:pt>
                <c:pt idx="99">
                  <c:v>1.0440170940171001</c:v>
                </c:pt>
                <c:pt idx="100">
                  <c:v>1.0525641025641101</c:v>
                </c:pt>
                <c:pt idx="101">
                  <c:v>1.0440170940171032</c:v>
                </c:pt>
                <c:pt idx="102">
                  <c:v>1.0440170940171001</c:v>
                </c:pt>
                <c:pt idx="103">
                  <c:v>1.0440170940171001</c:v>
                </c:pt>
                <c:pt idx="104">
                  <c:v>1.0000000000000091</c:v>
                </c:pt>
                <c:pt idx="105">
                  <c:v>1.0128205128205194</c:v>
                </c:pt>
                <c:pt idx="106">
                  <c:v>0.98717948717949411</c:v>
                </c:pt>
                <c:pt idx="107">
                  <c:v>1.0000000000000091</c:v>
                </c:pt>
                <c:pt idx="108">
                  <c:v>1.0000000000000091</c:v>
                </c:pt>
                <c:pt idx="109">
                  <c:v>1.0000000000000044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32D-42B9-A677-BF4BDE20F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697056"/>
        <c:axId val="584713128"/>
      </c:scatterChart>
      <c:valAx>
        <c:axId val="58469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713128"/>
        <c:crosses val="autoZero"/>
        <c:crossBetween val="midCat"/>
      </c:valAx>
      <c:valAx>
        <c:axId val="58471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4697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4%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'3'!$Z$8:$Z$158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'3'!$AA$8:$AA$158</c:f>
              <c:numCache>
                <c:formatCode>0.0000</c:formatCode>
                <c:ptCount val="151"/>
                <c:pt idx="0">
                  <c:v>0</c:v>
                </c:pt>
                <c:pt idx="1">
                  <c:v>1.5452538631346563E-3</c:v>
                </c:pt>
                <c:pt idx="2">
                  <c:v>0</c:v>
                </c:pt>
                <c:pt idx="3">
                  <c:v>1.4716703458425313E-3</c:v>
                </c:pt>
                <c:pt idx="4">
                  <c:v>-1.4716703458425313E-3</c:v>
                </c:pt>
                <c:pt idx="5">
                  <c:v>1.5452538631346563E-3</c:v>
                </c:pt>
                <c:pt idx="6">
                  <c:v>-6.6225165562914059E-4</c:v>
                </c:pt>
                <c:pt idx="7">
                  <c:v>2.9433406916850625E-3</c:v>
                </c:pt>
                <c:pt idx="8">
                  <c:v>0</c:v>
                </c:pt>
                <c:pt idx="9">
                  <c:v>1.5452538631346563E-3</c:v>
                </c:pt>
                <c:pt idx="10">
                  <c:v>0</c:v>
                </c:pt>
                <c:pt idx="11">
                  <c:v>1.4716703458425313E-3</c:v>
                </c:pt>
                <c:pt idx="12">
                  <c:v>7.3583517292125005E-5</c:v>
                </c:pt>
                <c:pt idx="13">
                  <c:v>1.4716703458425313E-3</c:v>
                </c:pt>
                <c:pt idx="14">
                  <c:v>7.3583517292126564E-4</c:v>
                </c:pt>
                <c:pt idx="15">
                  <c:v>2.2075055187637969E-3</c:v>
                </c:pt>
                <c:pt idx="16">
                  <c:v>1.4716703458425313E-3</c:v>
                </c:pt>
                <c:pt idx="17">
                  <c:v>2.2075055187637969E-3</c:v>
                </c:pt>
                <c:pt idx="18">
                  <c:v>2.2075055187637969E-3</c:v>
                </c:pt>
                <c:pt idx="19">
                  <c:v>2.2075055187637969E-3</c:v>
                </c:pt>
                <c:pt idx="20">
                  <c:v>2.2075055187637969E-3</c:v>
                </c:pt>
                <c:pt idx="21">
                  <c:v>0</c:v>
                </c:pt>
                <c:pt idx="22">
                  <c:v>0</c:v>
                </c:pt>
                <c:pt idx="23">
                  <c:v>2.2075055187637969E-3</c:v>
                </c:pt>
                <c:pt idx="24">
                  <c:v>1.4716703458425313E-3</c:v>
                </c:pt>
                <c:pt idx="25">
                  <c:v>2.2075055187637969E-3</c:v>
                </c:pt>
                <c:pt idx="26">
                  <c:v>1.4716703458425313E-3</c:v>
                </c:pt>
                <c:pt idx="27">
                  <c:v>2.2075055187637969E-3</c:v>
                </c:pt>
                <c:pt idx="28">
                  <c:v>2.2075055187637969E-3</c:v>
                </c:pt>
                <c:pt idx="29">
                  <c:v>3.0169242089771878E-3</c:v>
                </c:pt>
                <c:pt idx="30">
                  <c:v>3.0169242089771878E-3</c:v>
                </c:pt>
                <c:pt idx="31">
                  <c:v>2.2810890360559217E-3</c:v>
                </c:pt>
                <c:pt idx="32">
                  <c:v>2.2810890360559217E-3</c:v>
                </c:pt>
                <c:pt idx="33">
                  <c:v>3.0169242089771878E-3</c:v>
                </c:pt>
                <c:pt idx="34">
                  <c:v>3.6791758646063282E-3</c:v>
                </c:pt>
                <c:pt idx="35">
                  <c:v>1.5452538631346563E-3</c:v>
                </c:pt>
                <c:pt idx="36">
                  <c:v>2.2810890360559217E-3</c:v>
                </c:pt>
                <c:pt idx="37">
                  <c:v>3.752759381898453E-3</c:v>
                </c:pt>
                <c:pt idx="38">
                  <c:v>4.4885945548197191E-3</c:v>
                </c:pt>
                <c:pt idx="39">
                  <c:v>3.752759381898453E-3</c:v>
                </c:pt>
                <c:pt idx="40">
                  <c:v>4.5621780721118461E-3</c:v>
                </c:pt>
                <c:pt idx="41">
                  <c:v>5.2980132450331126E-3</c:v>
                </c:pt>
                <c:pt idx="42">
                  <c:v>6.769683590875643E-3</c:v>
                </c:pt>
                <c:pt idx="43">
                  <c:v>6.8432671081677708E-3</c:v>
                </c:pt>
                <c:pt idx="44">
                  <c:v>8.3885209713024274E-3</c:v>
                </c:pt>
                <c:pt idx="45">
                  <c:v>8.4621044885945552E-3</c:v>
                </c:pt>
                <c:pt idx="46">
                  <c:v>9.1979396615158217E-3</c:v>
                </c:pt>
                <c:pt idx="47">
                  <c:v>1.2214863870493007E-2</c:v>
                </c:pt>
                <c:pt idx="48">
                  <c:v>1.4643119941133185E-2</c:v>
                </c:pt>
                <c:pt idx="49">
                  <c:v>1.5452538631346579E-2</c:v>
                </c:pt>
                <c:pt idx="50">
                  <c:v>1.6997792494481235E-2</c:v>
                </c:pt>
                <c:pt idx="51">
                  <c:v>1.9352465047829288E-2</c:v>
                </c:pt>
                <c:pt idx="52">
                  <c:v>1.8763796909492272E-2</c:v>
                </c:pt>
                <c:pt idx="53">
                  <c:v>1.7365710080941867E-2</c:v>
                </c:pt>
                <c:pt idx="54">
                  <c:v>1.8322295805739512E-2</c:v>
                </c:pt>
                <c:pt idx="55">
                  <c:v>2.1412803532008827E-2</c:v>
                </c:pt>
                <c:pt idx="56">
                  <c:v>2.3841059602649005E-2</c:v>
                </c:pt>
                <c:pt idx="57">
                  <c:v>2.4871228844738778E-2</c:v>
                </c:pt>
                <c:pt idx="58">
                  <c:v>2.7446651949963204E-2</c:v>
                </c:pt>
                <c:pt idx="59">
                  <c:v>2.8329654157468728E-2</c:v>
                </c:pt>
                <c:pt idx="60">
                  <c:v>3.1420161883738043E-2</c:v>
                </c:pt>
                <c:pt idx="61">
                  <c:v>3.3259749816041212E-2</c:v>
                </c:pt>
                <c:pt idx="62">
                  <c:v>3.5614422369389255E-2</c:v>
                </c:pt>
                <c:pt idx="63">
                  <c:v>3.5246504782928623E-2</c:v>
                </c:pt>
                <c:pt idx="64">
                  <c:v>3.9514348785871969E-2</c:v>
                </c:pt>
                <c:pt idx="65">
                  <c:v>4.1648270787343629E-2</c:v>
                </c:pt>
                <c:pt idx="66">
                  <c:v>4.5621780721118471E-2</c:v>
                </c:pt>
                <c:pt idx="67">
                  <c:v>4.2825607064017668E-2</c:v>
                </c:pt>
                <c:pt idx="68">
                  <c:v>4.4885945548197199E-2</c:v>
                </c:pt>
                <c:pt idx="69">
                  <c:v>4.5989698307579097E-2</c:v>
                </c:pt>
                <c:pt idx="70">
                  <c:v>4.7755702722590145E-2</c:v>
                </c:pt>
                <c:pt idx="71">
                  <c:v>5.091979396615158E-2</c:v>
                </c:pt>
                <c:pt idx="72">
                  <c:v>5.364238410596027E-2</c:v>
                </c:pt>
                <c:pt idx="73">
                  <c:v>5.5334805003679176E-2</c:v>
                </c:pt>
                <c:pt idx="74">
                  <c:v>5.7395143487858721E-2</c:v>
                </c:pt>
                <c:pt idx="75">
                  <c:v>6.2545989698307575E-2</c:v>
                </c:pt>
                <c:pt idx="76">
                  <c:v>6.3502575423105223E-2</c:v>
                </c:pt>
                <c:pt idx="77">
                  <c:v>6.2913907284768214E-2</c:v>
                </c:pt>
                <c:pt idx="78">
                  <c:v>6.8359087564385579E-2</c:v>
                </c:pt>
                <c:pt idx="79">
                  <c:v>6.9610007358351725E-2</c:v>
                </c:pt>
                <c:pt idx="80">
                  <c:v>7.1596762325239136E-2</c:v>
                </c:pt>
                <c:pt idx="81">
                  <c:v>7.1596762325239136E-2</c:v>
                </c:pt>
                <c:pt idx="82">
                  <c:v>7.6453274466519505E-2</c:v>
                </c:pt>
                <c:pt idx="83">
                  <c:v>8.0573951434878582E-2</c:v>
                </c:pt>
                <c:pt idx="84">
                  <c:v>8.2707873436350263E-2</c:v>
                </c:pt>
                <c:pt idx="85">
                  <c:v>8.7196467991169979E-2</c:v>
                </c:pt>
                <c:pt idx="86">
                  <c:v>8.4621044885945559E-2</c:v>
                </c:pt>
                <c:pt idx="87">
                  <c:v>8.8594554819720381E-2</c:v>
                </c:pt>
                <c:pt idx="88">
                  <c:v>9.0507726269315678E-2</c:v>
                </c:pt>
                <c:pt idx="89">
                  <c:v>9.5879323031640915E-2</c:v>
                </c:pt>
                <c:pt idx="90">
                  <c:v>9.9116997792494471E-2</c:v>
                </c:pt>
                <c:pt idx="91">
                  <c:v>9.8013245033112581E-2</c:v>
                </c:pt>
                <c:pt idx="92">
                  <c:v>9.7277409860191302E-2</c:v>
                </c:pt>
                <c:pt idx="93">
                  <c:v>0.1027961736571008</c:v>
                </c:pt>
                <c:pt idx="94">
                  <c:v>0.10323767476085358</c:v>
                </c:pt>
                <c:pt idx="95">
                  <c:v>0.11059602649006622</c:v>
                </c:pt>
                <c:pt idx="96">
                  <c:v>0.11169977924944813</c:v>
                </c:pt>
                <c:pt idx="97">
                  <c:v>0.11427520235467256</c:v>
                </c:pt>
                <c:pt idx="98">
                  <c:v>0.1177336276674025</c:v>
                </c:pt>
                <c:pt idx="99">
                  <c:v>0.11699779249448124</c:v>
                </c:pt>
                <c:pt idx="100">
                  <c:v>0.11604120676968359</c:v>
                </c:pt>
                <c:pt idx="101">
                  <c:v>0.11817512877115527</c:v>
                </c:pt>
                <c:pt idx="102">
                  <c:v>0.12266372332597497</c:v>
                </c:pt>
                <c:pt idx="103">
                  <c:v>0.12590139808682857</c:v>
                </c:pt>
                <c:pt idx="104">
                  <c:v>0.12501839587932304</c:v>
                </c:pt>
                <c:pt idx="105">
                  <c:v>0.12685798381162619</c:v>
                </c:pt>
                <c:pt idx="106">
                  <c:v>0.12641648270787345</c:v>
                </c:pt>
                <c:pt idx="107">
                  <c:v>0.1318616629874908</c:v>
                </c:pt>
                <c:pt idx="108">
                  <c:v>0.13038999264164827</c:v>
                </c:pt>
                <c:pt idx="109">
                  <c:v>0.13532008830022077</c:v>
                </c:pt>
                <c:pt idx="110">
                  <c:v>0.13841059602649008</c:v>
                </c:pt>
                <c:pt idx="111">
                  <c:v>0.14400294334069169</c:v>
                </c:pt>
                <c:pt idx="112">
                  <c:v>0.14444444444444446</c:v>
                </c:pt>
                <c:pt idx="113">
                  <c:v>0.1498160412067697</c:v>
                </c:pt>
                <c:pt idx="114">
                  <c:v>0.14996320824135395</c:v>
                </c:pt>
                <c:pt idx="115">
                  <c:v>0.15275938189845475</c:v>
                </c:pt>
                <c:pt idx="116">
                  <c:v>0.15621780721118469</c:v>
                </c:pt>
                <c:pt idx="117">
                  <c:v>0.15776306107431937</c:v>
                </c:pt>
                <c:pt idx="118">
                  <c:v>0.16254598969830758</c:v>
                </c:pt>
                <c:pt idx="119">
                  <c:v>0.16467991169977927</c:v>
                </c:pt>
                <c:pt idx="120">
                  <c:v>0.16571008094186901</c:v>
                </c:pt>
                <c:pt idx="121">
                  <c:v>0.17049300956585725</c:v>
                </c:pt>
                <c:pt idx="122">
                  <c:v>0.1712288447387785</c:v>
                </c:pt>
                <c:pt idx="123">
                  <c:v>0.17645327446651951</c:v>
                </c:pt>
                <c:pt idx="124">
                  <c:v>0.1806475349521707</c:v>
                </c:pt>
                <c:pt idx="125">
                  <c:v>0.17983811626195734</c:v>
                </c:pt>
                <c:pt idx="126">
                  <c:v>0.18506254598969829</c:v>
                </c:pt>
                <c:pt idx="127">
                  <c:v>0.19072847682119204</c:v>
                </c:pt>
                <c:pt idx="128">
                  <c:v>0.19271523178807948</c:v>
                </c:pt>
                <c:pt idx="129">
                  <c:v>0.19352465047829287</c:v>
                </c:pt>
                <c:pt idx="130">
                  <c:v>0.19506990434142754</c:v>
                </c:pt>
                <c:pt idx="131">
                  <c:v>0.19867549668874171</c:v>
                </c:pt>
                <c:pt idx="132">
                  <c:v>0.19896983075791022</c:v>
                </c:pt>
                <c:pt idx="133">
                  <c:v>0.19757174392935983</c:v>
                </c:pt>
                <c:pt idx="134">
                  <c:v>0.20176600441501102</c:v>
                </c:pt>
                <c:pt idx="135">
                  <c:v>0.20338484179543781</c:v>
                </c:pt>
                <c:pt idx="136">
                  <c:v>0.20478292862398823</c:v>
                </c:pt>
                <c:pt idx="137">
                  <c:v>0.2089036055923473</c:v>
                </c:pt>
                <c:pt idx="138">
                  <c:v>0.21118469462840325</c:v>
                </c:pt>
                <c:pt idx="139">
                  <c:v>0.21280353200883001</c:v>
                </c:pt>
                <c:pt idx="140">
                  <c:v>0.2132450331125828</c:v>
                </c:pt>
                <c:pt idx="141">
                  <c:v>0.20897718910963944</c:v>
                </c:pt>
                <c:pt idx="142">
                  <c:v>0.2149374540103017</c:v>
                </c:pt>
                <c:pt idx="143">
                  <c:v>0.22052980132450328</c:v>
                </c:pt>
                <c:pt idx="144">
                  <c:v>0.22428256070640179</c:v>
                </c:pt>
                <c:pt idx="145">
                  <c:v>0.22376747608535691</c:v>
                </c:pt>
                <c:pt idx="146">
                  <c:v>0.22671081677704194</c:v>
                </c:pt>
                <c:pt idx="147">
                  <c:v>0.22788815305371596</c:v>
                </c:pt>
                <c:pt idx="148">
                  <c:v>0.22700515084621045</c:v>
                </c:pt>
                <c:pt idx="149">
                  <c:v>0.2324503311258278</c:v>
                </c:pt>
                <c:pt idx="150">
                  <c:v>0.23509933774834438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2-43E4-B89C-E8D53436832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'3'!$Z$8:$Z$158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'3'!$AB$8:$AB$158</c:f>
              <c:numCache>
                <c:formatCode>0.0000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8.6805555555555551E-4</c:v>
                </c:pt>
                <c:pt idx="7">
                  <c:v>1.736111111111111E-3</c:v>
                </c:pt>
                <c:pt idx="8">
                  <c:v>1.1284722222222423E-2</c:v>
                </c:pt>
                <c:pt idx="9">
                  <c:v>1.2152777777777977E-2</c:v>
                </c:pt>
                <c:pt idx="10">
                  <c:v>1.3888888888889089E-2</c:v>
                </c:pt>
                <c:pt idx="11">
                  <c:v>1.5625000000000201E-2</c:v>
                </c:pt>
                <c:pt idx="12">
                  <c:v>2.5173611111111129E-2</c:v>
                </c:pt>
                <c:pt idx="13">
                  <c:v>1.736111111111131E-2</c:v>
                </c:pt>
                <c:pt idx="14">
                  <c:v>1.9965277777777977E-2</c:v>
                </c:pt>
                <c:pt idx="15">
                  <c:v>3.1250000000000014E-2</c:v>
                </c:pt>
                <c:pt idx="16">
                  <c:v>3.4722222222222231E-2</c:v>
                </c:pt>
                <c:pt idx="17">
                  <c:v>4.4270833333333155E-2</c:v>
                </c:pt>
                <c:pt idx="18">
                  <c:v>3.7326388888888902E-2</c:v>
                </c:pt>
                <c:pt idx="19">
                  <c:v>5.2083333333333155E-2</c:v>
                </c:pt>
                <c:pt idx="20">
                  <c:v>6.5104166666666699E-2</c:v>
                </c:pt>
                <c:pt idx="21">
                  <c:v>7.118055555555558E-2</c:v>
                </c:pt>
                <c:pt idx="22">
                  <c:v>8.2465277777777637E-2</c:v>
                </c:pt>
                <c:pt idx="23">
                  <c:v>9.548611111111116E-2</c:v>
                </c:pt>
                <c:pt idx="24">
                  <c:v>0.10590277777777783</c:v>
                </c:pt>
                <c:pt idx="25">
                  <c:v>0.11197916666666673</c:v>
                </c:pt>
                <c:pt idx="26">
                  <c:v>0.11892361111111116</c:v>
                </c:pt>
                <c:pt idx="27">
                  <c:v>0.13454861111111097</c:v>
                </c:pt>
                <c:pt idx="28">
                  <c:v>0.14930555555555561</c:v>
                </c:pt>
                <c:pt idx="29">
                  <c:v>0.15625000000000006</c:v>
                </c:pt>
                <c:pt idx="30">
                  <c:v>0.16840277777777765</c:v>
                </c:pt>
                <c:pt idx="31">
                  <c:v>0.18663194444444453</c:v>
                </c:pt>
                <c:pt idx="32">
                  <c:v>0.19184027777777787</c:v>
                </c:pt>
                <c:pt idx="33">
                  <c:v>0.20659722222222213</c:v>
                </c:pt>
                <c:pt idx="34">
                  <c:v>0.22482638888888898</c:v>
                </c:pt>
                <c:pt idx="35">
                  <c:v>0.22829861111111119</c:v>
                </c:pt>
                <c:pt idx="36">
                  <c:v>0.23871527777777787</c:v>
                </c:pt>
                <c:pt idx="37">
                  <c:v>0.2552083333333332</c:v>
                </c:pt>
                <c:pt idx="38">
                  <c:v>0.27170138888888901</c:v>
                </c:pt>
                <c:pt idx="39">
                  <c:v>0.29079861111111099</c:v>
                </c:pt>
                <c:pt idx="40">
                  <c:v>0.29600694444444436</c:v>
                </c:pt>
                <c:pt idx="41">
                  <c:v>0.32378472222222215</c:v>
                </c:pt>
                <c:pt idx="42">
                  <c:v>0.33246527777777773</c:v>
                </c:pt>
                <c:pt idx="43">
                  <c:v>0.33940972222222215</c:v>
                </c:pt>
                <c:pt idx="44">
                  <c:v>0.36024305555555575</c:v>
                </c:pt>
                <c:pt idx="45">
                  <c:v>0.37152777777777773</c:v>
                </c:pt>
                <c:pt idx="46">
                  <c:v>0.37760416666666657</c:v>
                </c:pt>
                <c:pt idx="47">
                  <c:v>0.38975694444444459</c:v>
                </c:pt>
                <c:pt idx="48">
                  <c:v>0.39583333333333348</c:v>
                </c:pt>
                <c:pt idx="49">
                  <c:v>0.4088541666666668</c:v>
                </c:pt>
                <c:pt idx="50">
                  <c:v>0.4236111111111111</c:v>
                </c:pt>
                <c:pt idx="51">
                  <c:v>0.44184027777777796</c:v>
                </c:pt>
                <c:pt idx="52">
                  <c:v>0.46006944444444442</c:v>
                </c:pt>
                <c:pt idx="53">
                  <c:v>0.46354166666666669</c:v>
                </c:pt>
                <c:pt idx="54">
                  <c:v>0.4748263888888889</c:v>
                </c:pt>
                <c:pt idx="55">
                  <c:v>0.49045138888888906</c:v>
                </c:pt>
                <c:pt idx="56">
                  <c:v>0.49739583333333354</c:v>
                </c:pt>
                <c:pt idx="57">
                  <c:v>0.51475694444444442</c:v>
                </c:pt>
                <c:pt idx="58">
                  <c:v>0.52777777777777801</c:v>
                </c:pt>
                <c:pt idx="59">
                  <c:v>0.53732638888888906</c:v>
                </c:pt>
                <c:pt idx="60">
                  <c:v>0.55121527777777779</c:v>
                </c:pt>
                <c:pt idx="61">
                  <c:v>0.55729166666666663</c:v>
                </c:pt>
                <c:pt idx="62">
                  <c:v>0.56770833333333337</c:v>
                </c:pt>
                <c:pt idx="63">
                  <c:v>0.58159722222222199</c:v>
                </c:pt>
                <c:pt idx="64">
                  <c:v>0.58940972222222199</c:v>
                </c:pt>
                <c:pt idx="65">
                  <c:v>0.59374999999999978</c:v>
                </c:pt>
                <c:pt idx="66">
                  <c:v>0.60850694444444442</c:v>
                </c:pt>
                <c:pt idx="67">
                  <c:v>0.58680555555555558</c:v>
                </c:pt>
                <c:pt idx="68">
                  <c:v>0.62413194444444431</c:v>
                </c:pt>
                <c:pt idx="69">
                  <c:v>0.61197916666666641</c:v>
                </c:pt>
                <c:pt idx="70">
                  <c:v>0.63020833333333315</c:v>
                </c:pt>
                <c:pt idx="71">
                  <c:v>0.63628472222222221</c:v>
                </c:pt>
                <c:pt idx="72">
                  <c:v>0.64670138888888895</c:v>
                </c:pt>
                <c:pt idx="73">
                  <c:v>0.65017361111111105</c:v>
                </c:pt>
                <c:pt idx="74">
                  <c:v>0.66927083333333293</c:v>
                </c:pt>
                <c:pt idx="75">
                  <c:v>0.67795138888888873</c:v>
                </c:pt>
                <c:pt idx="76">
                  <c:v>0.68142361111111083</c:v>
                </c:pt>
                <c:pt idx="77">
                  <c:v>0.69270833333333337</c:v>
                </c:pt>
                <c:pt idx="78">
                  <c:v>0.69531249999999956</c:v>
                </c:pt>
                <c:pt idx="79">
                  <c:v>0.70746527777777757</c:v>
                </c:pt>
                <c:pt idx="80">
                  <c:v>0.70833333333333315</c:v>
                </c:pt>
                <c:pt idx="81">
                  <c:v>0.72135416666666663</c:v>
                </c:pt>
                <c:pt idx="82">
                  <c:v>0.73263888888888884</c:v>
                </c:pt>
                <c:pt idx="83">
                  <c:v>0.74305555555555547</c:v>
                </c:pt>
                <c:pt idx="84">
                  <c:v>0.74479166666666652</c:v>
                </c:pt>
                <c:pt idx="85">
                  <c:v>0.75434027777777768</c:v>
                </c:pt>
                <c:pt idx="86">
                  <c:v>0.76649305555555569</c:v>
                </c:pt>
                <c:pt idx="87">
                  <c:v>0.76822916666666685</c:v>
                </c:pt>
                <c:pt idx="88">
                  <c:v>0.77951388888888895</c:v>
                </c:pt>
                <c:pt idx="89">
                  <c:v>0.78211805555555569</c:v>
                </c:pt>
                <c:pt idx="90">
                  <c:v>0.79947916666666652</c:v>
                </c:pt>
                <c:pt idx="91">
                  <c:v>0.80295138888888884</c:v>
                </c:pt>
                <c:pt idx="92">
                  <c:v>0.80381944444444431</c:v>
                </c:pt>
                <c:pt idx="93">
                  <c:v>0.81510416666666685</c:v>
                </c:pt>
                <c:pt idx="94">
                  <c:v>0.81684027777777779</c:v>
                </c:pt>
                <c:pt idx="95">
                  <c:v>0.80815972222222221</c:v>
                </c:pt>
                <c:pt idx="96">
                  <c:v>0.82986111111111116</c:v>
                </c:pt>
                <c:pt idx="97">
                  <c:v>0.83854166666666685</c:v>
                </c:pt>
                <c:pt idx="98">
                  <c:v>0.77734375</c:v>
                </c:pt>
                <c:pt idx="99">
                  <c:v>0.77864583333333337</c:v>
                </c:pt>
                <c:pt idx="100">
                  <c:v>0.77994791666666663</c:v>
                </c:pt>
                <c:pt idx="101">
                  <c:v>0.78385416666666663</c:v>
                </c:pt>
                <c:pt idx="102">
                  <c:v>0.79947916666666663</c:v>
                </c:pt>
                <c:pt idx="103">
                  <c:v>0.80208333333333337</c:v>
                </c:pt>
                <c:pt idx="104">
                  <c:v>0.81770833333333337</c:v>
                </c:pt>
                <c:pt idx="105">
                  <c:v>0.81770833333333337</c:v>
                </c:pt>
                <c:pt idx="106">
                  <c:v>0.82161458333333337</c:v>
                </c:pt>
                <c:pt idx="107">
                  <c:v>0.82161458333333337</c:v>
                </c:pt>
                <c:pt idx="108">
                  <c:v>0.82552083333333337</c:v>
                </c:pt>
                <c:pt idx="109">
                  <c:v>0.828125</c:v>
                </c:pt>
                <c:pt idx="110">
                  <c:v>0.828125</c:v>
                </c:pt>
                <c:pt idx="111">
                  <c:v>0.84635416666666663</c:v>
                </c:pt>
                <c:pt idx="112">
                  <c:v>0.84635416666666663</c:v>
                </c:pt>
                <c:pt idx="113">
                  <c:v>0.84765625</c:v>
                </c:pt>
                <c:pt idx="114">
                  <c:v>0.85026041666666663</c:v>
                </c:pt>
                <c:pt idx="115">
                  <c:v>0.8515625</c:v>
                </c:pt>
                <c:pt idx="116">
                  <c:v>0.86848958333333337</c:v>
                </c:pt>
                <c:pt idx="117">
                  <c:v>0.86848958333333337</c:v>
                </c:pt>
                <c:pt idx="118">
                  <c:v>0.87109375</c:v>
                </c:pt>
                <c:pt idx="119">
                  <c:v>0.88541666666666663</c:v>
                </c:pt>
                <c:pt idx="120">
                  <c:v>0.88671875</c:v>
                </c:pt>
                <c:pt idx="121">
                  <c:v>0.890625</c:v>
                </c:pt>
                <c:pt idx="122">
                  <c:v>0.890625</c:v>
                </c:pt>
                <c:pt idx="123">
                  <c:v>0.89322916666666663</c:v>
                </c:pt>
                <c:pt idx="124">
                  <c:v>0.89583333333333337</c:v>
                </c:pt>
                <c:pt idx="125">
                  <c:v>0.91015625</c:v>
                </c:pt>
                <c:pt idx="126">
                  <c:v>0.90104166666666663</c:v>
                </c:pt>
                <c:pt idx="127">
                  <c:v>0.89973958333333337</c:v>
                </c:pt>
                <c:pt idx="128">
                  <c:v>0.90234375</c:v>
                </c:pt>
                <c:pt idx="129">
                  <c:v>0.91666666666666663</c:v>
                </c:pt>
                <c:pt idx="130">
                  <c:v>0.91666666666666663</c:v>
                </c:pt>
                <c:pt idx="131">
                  <c:v>0.92057291666666663</c:v>
                </c:pt>
                <c:pt idx="132">
                  <c:v>0.93229166666666663</c:v>
                </c:pt>
                <c:pt idx="133">
                  <c:v>0.93359375</c:v>
                </c:pt>
                <c:pt idx="134">
                  <c:v>0.93489583333333337</c:v>
                </c:pt>
                <c:pt idx="135">
                  <c:v>0.93489583333333337</c:v>
                </c:pt>
                <c:pt idx="136">
                  <c:v>0.93880208333333337</c:v>
                </c:pt>
                <c:pt idx="137">
                  <c:v>0.95052083333333337</c:v>
                </c:pt>
                <c:pt idx="138">
                  <c:v>0.953125</c:v>
                </c:pt>
                <c:pt idx="139">
                  <c:v>0.94140625</c:v>
                </c:pt>
                <c:pt idx="140">
                  <c:v>0.94140625</c:v>
                </c:pt>
                <c:pt idx="141">
                  <c:v>0.9453125</c:v>
                </c:pt>
                <c:pt idx="142">
                  <c:v>0.94401041666666663</c:v>
                </c:pt>
                <c:pt idx="143">
                  <c:v>0.95833333333333337</c:v>
                </c:pt>
                <c:pt idx="144">
                  <c:v>0.94661458333333337</c:v>
                </c:pt>
                <c:pt idx="145">
                  <c:v>0.95963541666666663</c:v>
                </c:pt>
                <c:pt idx="146">
                  <c:v>0.96354166666666663</c:v>
                </c:pt>
                <c:pt idx="147">
                  <c:v>0.96223958333333337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62-43E4-B89C-E8D534368324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'3'!$Z$8:$Z$158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'3'!$AC$8:$AC$158</c:f>
              <c:numCache>
                <c:formatCode>0.0000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-7.575757575757752E-3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-7.575757575757752E-3</c:v>
                </c:pt>
                <c:pt idx="16">
                  <c:v>-7.5757575757574155E-3</c:v>
                </c:pt>
                <c:pt idx="17">
                  <c:v>0</c:v>
                </c:pt>
                <c:pt idx="18">
                  <c:v>0</c:v>
                </c:pt>
                <c:pt idx="19">
                  <c:v>-7.575757575757752E-3</c:v>
                </c:pt>
                <c:pt idx="20">
                  <c:v>-7.575757575757752E-3</c:v>
                </c:pt>
                <c:pt idx="21">
                  <c:v>7.575757575757752E-3</c:v>
                </c:pt>
                <c:pt idx="22">
                  <c:v>7.575757575757752E-3</c:v>
                </c:pt>
                <c:pt idx="23">
                  <c:v>7.575757575757752E-3</c:v>
                </c:pt>
                <c:pt idx="24">
                  <c:v>1.5151515151515504E-2</c:v>
                </c:pt>
                <c:pt idx="25">
                  <c:v>1.5151515151515504E-2</c:v>
                </c:pt>
                <c:pt idx="26">
                  <c:v>2.2727272727272919E-2</c:v>
                </c:pt>
                <c:pt idx="27">
                  <c:v>3.0303030303030332E-2</c:v>
                </c:pt>
                <c:pt idx="28">
                  <c:v>3.0303030303030332E-2</c:v>
                </c:pt>
                <c:pt idx="29">
                  <c:v>3.7878787878788088E-2</c:v>
                </c:pt>
                <c:pt idx="30">
                  <c:v>6.0606060606060337E-2</c:v>
                </c:pt>
                <c:pt idx="31">
                  <c:v>6.0606060606060337E-2</c:v>
                </c:pt>
                <c:pt idx="32">
                  <c:v>6.8181818181818413E-2</c:v>
                </c:pt>
                <c:pt idx="33">
                  <c:v>9.0909090909090662E-2</c:v>
                </c:pt>
                <c:pt idx="34">
                  <c:v>0.10606060606060616</c:v>
                </c:pt>
                <c:pt idx="35">
                  <c:v>0.11363636363636392</c:v>
                </c:pt>
                <c:pt idx="36">
                  <c:v>0.12878787878787876</c:v>
                </c:pt>
                <c:pt idx="37">
                  <c:v>0.13636363636363652</c:v>
                </c:pt>
                <c:pt idx="38">
                  <c:v>0.15151515151515135</c:v>
                </c:pt>
                <c:pt idx="39">
                  <c:v>0.16666666666666616</c:v>
                </c:pt>
                <c:pt idx="40">
                  <c:v>0.18181818181818199</c:v>
                </c:pt>
                <c:pt idx="41">
                  <c:v>0.18939393939393942</c:v>
                </c:pt>
                <c:pt idx="42">
                  <c:v>0.21212121212121202</c:v>
                </c:pt>
                <c:pt idx="43">
                  <c:v>0.24242424242424199</c:v>
                </c:pt>
                <c:pt idx="44">
                  <c:v>0.25000000000000011</c:v>
                </c:pt>
                <c:pt idx="45">
                  <c:v>0.25757575757575785</c:v>
                </c:pt>
                <c:pt idx="46">
                  <c:v>0.28030303030303044</c:v>
                </c:pt>
                <c:pt idx="47">
                  <c:v>0.30303030303030304</c:v>
                </c:pt>
                <c:pt idx="48">
                  <c:v>0.31818181818181784</c:v>
                </c:pt>
                <c:pt idx="49">
                  <c:v>0.34090909090909111</c:v>
                </c:pt>
                <c:pt idx="50">
                  <c:v>0.3560606060606063</c:v>
                </c:pt>
                <c:pt idx="51">
                  <c:v>0.37121212121212144</c:v>
                </c:pt>
                <c:pt idx="52">
                  <c:v>0.3863636363636363</c:v>
                </c:pt>
                <c:pt idx="53">
                  <c:v>0.40151515151515144</c:v>
                </c:pt>
                <c:pt idx="54">
                  <c:v>0.42424242424242403</c:v>
                </c:pt>
                <c:pt idx="55">
                  <c:v>0.43181818181818205</c:v>
                </c:pt>
                <c:pt idx="56">
                  <c:v>0.44696969696969724</c:v>
                </c:pt>
                <c:pt idx="57">
                  <c:v>0.4696969696969695</c:v>
                </c:pt>
                <c:pt idx="58">
                  <c:v>0.47727272727272729</c:v>
                </c:pt>
                <c:pt idx="59">
                  <c:v>0.4924242424242421</c:v>
                </c:pt>
                <c:pt idx="60">
                  <c:v>0.49999999999999983</c:v>
                </c:pt>
                <c:pt idx="61">
                  <c:v>0.5075757575757579</c:v>
                </c:pt>
                <c:pt idx="62">
                  <c:v>0.5303030303030305</c:v>
                </c:pt>
                <c:pt idx="63">
                  <c:v>0.53787878787878796</c:v>
                </c:pt>
                <c:pt idx="64">
                  <c:v>0.53787878787878796</c:v>
                </c:pt>
                <c:pt idx="65">
                  <c:v>0.55303030303030309</c:v>
                </c:pt>
                <c:pt idx="66">
                  <c:v>0.5681818181818179</c:v>
                </c:pt>
                <c:pt idx="67">
                  <c:v>0.58333333333333304</c:v>
                </c:pt>
                <c:pt idx="68">
                  <c:v>0.59090909090909083</c:v>
                </c:pt>
                <c:pt idx="69">
                  <c:v>0.58333333333333304</c:v>
                </c:pt>
                <c:pt idx="70">
                  <c:v>0.60606060606060641</c:v>
                </c:pt>
                <c:pt idx="71">
                  <c:v>0.6287878787878789</c:v>
                </c:pt>
                <c:pt idx="72">
                  <c:v>0.63636363636363635</c:v>
                </c:pt>
                <c:pt idx="73">
                  <c:v>0.65151515151515194</c:v>
                </c:pt>
                <c:pt idx="74">
                  <c:v>0.65151515151515194</c:v>
                </c:pt>
                <c:pt idx="75">
                  <c:v>0.66666666666666663</c:v>
                </c:pt>
                <c:pt idx="76">
                  <c:v>0.66666666666666663</c:v>
                </c:pt>
                <c:pt idx="77">
                  <c:v>0.68181818181818155</c:v>
                </c:pt>
                <c:pt idx="78">
                  <c:v>0.68939393939393934</c:v>
                </c:pt>
                <c:pt idx="79">
                  <c:v>0.68939393939393934</c:v>
                </c:pt>
                <c:pt idx="80">
                  <c:v>0.70454545454545436</c:v>
                </c:pt>
                <c:pt idx="81">
                  <c:v>0.71212121212121193</c:v>
                </c:pt>
                <c:pt idx="82">
                  <c:v>0.71212121212121193</c:v>
                </c:pt>
                <c:pt idx="83">
                  <c:v>0.71212121212121193</c:v>
                </c:pt>
                <c:pt idx="84">
                  <c:v>0.71212121212121193</c:v>
                </c:pt>
                <c:pt idx="85">
                  <c:v>0.72727272727272763</c:v>
                </c:pt>
                <c:pt idx="86">
                  <c:v>0.7348484848484852</c:v>
                </c:pt>
                <c:pt idx="87">
                  <c:v>0.7348484848484852</c:v>
                </c:pt>
                <c:pt idx="88">
                  <c:v>0.75000000000000022</c:v>
                </c:pt>
                <c:pt idx="89">
                  <c:v>0.75757575757575768</c:v>
                </c:pt>
                <c:pt idx="90">
                  <c:v>0.75757575757575768</c:v>
                </c:pt>
                <c:pt idx="91">
                  <c:v>0.75757575757575768</c:v>
                </c:pt>
                <c:pt idx="92">
                  <c:v>0.75757575757575768</c:v>
                </c:pt>
                <c:pt idx="93">
                  <c:v>0.76515151515151547</c:v>
                </c:pt>
                <c:pt idx="94">
                  <c:v>0.76515151515151547</c:v>
                </c:pt>
                <c:pt idx="95">
                  <c:v>0.77272727272727282</c:v>
                </c:pt>
                <c:pt idx="96">
                  <c:v>0.78787878787878762</c:v>
                </c:pt>
                <c:pt idx="97">
                  <c:v>0.78787878787878762</c:v>
                </c:pt>
                <c:pt idx="98">
                  <c:v>0.78030303030303028</c:v>
                </c:pt>
                <c:pt idx="99">
                  <c:v>0.78787878787878762</c:v>
                </c:pt>
                <c:pt idx="100">
                  <c:v>0.79545454545454519</c:v>
                </c:pt>
                <c:pt idx="101">
                  <c:v>0.80303030303030287</c:v>
                </c:pt>
                <c:pt idx="102">
                  <c:v>0.79545454545454541</c:v>
                </c:pt>
                <c:pt idx="103">
                  <c:v>0.80303030303030309</c:v>
                </c:pt>
                <c:pt idx="104">
                  <c:v>0.81060606060606066</c:v>
                </c:pt>
                <c:pt idx="105">
                  <c:v>0.81060606060606066</c:v>
                </c:pt>
                <c:pt idx="106">
                  <c:v>0.81060606060606066</c:v>
                </c:pt>
                <c:pt idx="107">
                  <c:v>0.81060606060606066</c:v>
                </c:pt>
                <c:pt idx="108">
                  <c:v>0.81060606060606066</c:v>
                </c:pt>
                <c:pt idx="109">
                  <c:v>0.81818181818181801</c:v>
                </c:pt>
                <c:pt idx="110">
                  <c:v>0.83333333333333348</c:v>
                </c:pt>
                <c:pt idx="111">
                  <c:v>0.81818181818181801</c:v>
                </c:pt>
                <c:pt idx="112">
                  <c:v>0.81818181818181801</c:v>
                </c:pt>
                <c:pt idx="113">
                  <c:v>0.81818181818181801</c:v>
                </c:pt>
                <c:pt idx="114">
                  <c:v>0.82575757575757547</c:v>
                </c:pt>
                <c:pt idx="115">
                  <c:v>0.83333333333333348</c:v>
                </c:pt>
                <c:pt idx="116">
                  <c:v>0.83333333333333348</c:v>
                </c:pt>
                <c:pt idx="117">
                  <c:v>0.82575757575757547</c:v>
                </c:pt>
                <c:pt idx="118">
                  <c:v>0.84090909090909094</c:v>
                </c:pt>
                <c:pt idx="119">
                  <c:v>0.84848484848484873</c:v>
                </c:pt>
                <c:pt idx="120">
                  <c:v>0.84090909090909127</c:v>
                </c:pt>
                <c:pt idx="121">
                  <c:v>0.84848484848484873</c:v>
                </c:pt>
                <c:pt idx="122">
                  <c:v>0.84848484848484873</c:v>
                </c:pt>
                <c:pt idx="123">
                  <c:v>0.84848484848484873</c:v>
                </c:pt>
                <c:pt idx="124">
                  <c:v>0.84848484848484873</c:v>
                </c:pt>
                <c:pt idx="125">
                  <c:v>0.84848484848484873</c:v>
                </c:pt>
                <c:pt idx="126">
                  <c:v>0.84848484848484873</c:v>
                </c:pt>
                <c:pt idx="127">
                  <c:v>0.84848484848484873</c:v>
                </c:pt>
                <c:pt idx="128">
                  <c:v>0.8560606060606063</c:v>
                </c:pt>
                <c:pt idx="129">
                  <c:v>0.8560606060606063</c:v>
                </c:pt>
                <c:pt idx="130">
                  <c:v>0.85606060606060608</c:v>
                </c:pt>
                <c:pt idx="131">
                  <c:v>0.86363636363636354</c:v>
                </c:pt>
                <c:pt idx="132">
                  <c:v>0.87121212121212133</c:v>
                </c:pt>
                <c:pt idx="133">
                  <c:v>0.85606060606060608</c:v>
                </c:pt>
                <c:pt idx="134">
                  <c:v>0.86363636363636354</c:v>
                </c:pt>
                <c:pt idx="135">
                  <c:v>0.87121212121212133</c:v>
                </c:pt>
                <c:pt idx="136">
                  <c:v>0.87121212121212133</c:v>
                </c:pt>
                <c:pt idx="137">
                  <c:v>0.87121212121212133</c:v>
                </c:pt>
                <c:pt idx="138">
                  <c:v>0.87121212121212133</c:v>
                </c:pt>
                <c:pt idx="139">
                  <c:v>0.86363636363636387</c:v>
                </c:pt>
                <c:pt idx="140">
                  <c:v>0.87121212121212133</c:v>
                </c:pt>
                <c:pt idx="141">
                  <c:v>0.86363636363636354</c:v>
                </c:pt>
                <c:pt idx="142">
                  <c:v>0.87121212121212133</c:v>
                </c:pt>
                <c:pt idx="143">
                  <c:v>0.87878787878787912</c:v>
                </c:pt>
                <c:pt idx="144">
                  <c:v>0.87878787878787912</c:v>
                </c:pt>
                <c:pt idx="145">
                  <c:v>0.87878787878787912</c:v>
                </c:pt>
                <c:pt idx="146">
                  <c:v>0.87878787878787912</c:v>
                </c:pt>
                <c:pt idx="147">
                  <c:v>0.87878787878787867</c:v>
                </c:pt>
                <c:pt idx="148">
                  <c:v>0.87878787878787912</c:v>
                </c:pt>
                <c:pt idx="149">
                  <c:v>0.87878787878787912</c:v>
                </c:pt>
                <c:pt idx="150">
                  <c:v>0.87878787878787912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62-43E4-B89C-E8D53436832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'3'!$Z$8:$Z$158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'3'!$AD$8:$AD$158</c:f>
              <c:numCache>
                <c:formatCode>0.0000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7.9365079365077695E-3</c:v>
                </c:pt>
                <c:pt idx="19">
                  <c:v>7.9365079365077695E-3</c:v>
                </c:pt>
                <c:pt idx="20">
                  <c:v>1.5873015873015539E-2</c:v>
                </c:pt>
                <c:pt idx="21">
                  <c:v>2.3809523809523305E-2</c:v>
                </c:pt>
                <c:pt idx="22">
                  <c:v>3.9682539682539548E-2</c:v>
                </c:pt>
                <c:pt idx="23">
                  <c:v>5.5555555555555788E-2</c:v>
                </c:pt>
                <c:pt idx="24">
                  <c:v>7.1428571428571327E-2</c:v>
                </c:pt>
                <c:pt idx="25">
                  <c:v>8.7301587301586867E-2</c:v>
                </c:pt>
                <c:pt idx="26">
                  <c:v>0.10317460317460241</c:v>
                </c:pt>
                <c:pt idx="27">
                  <c:v>0.12698412698412712</c:v>
                </c:pt>
                <c:pt idx="28">
                  <c:v>0.15873015873015889</c:v>
                </c:pt>
                <c:pt idx="29">
                  <c:v>0.1825396825396822</c:v>
                </c:pt>
                <c:pt idx="30">
                  <c:v>0.21428571428571327</c:v>
                </c:pt>
                <c:pt idx="31">
                  <c:v>0.24603174603174646</c:v>
                </c:pt>
                <c:pt idx="32">
                  <c:v>0.26984126984126977</c:v>
                </c:pt>
                <c:pt idx="33">
                  <c:v>0.29365079365079305</c:v>
                </c:pt>
                <c:pt idx="34">
                  <c:v>0.31746031746031711</c:v>
                </c:pt>
                <c:pt idx="35">
                  <c:v>0.35714285714285732</c:v>
                </c:pt>
                <c:pt idx="36">
                  <c:v>0.37301587301587291</c:v>
                </c:pt>
                <c:pt idx="37">
                  <c:v>0.39682539682539686</c:v>
                </c:pt>
                <c:pt idx="38">
                  <c:v>0.42857142857142871</c:v>
                </c:pt>
                <c:pt idx="39">
                  <c:v>0.4444444444444442</c:v>
                </c:pt>
                <c:pt idx="40">
                  <c:v>0.476190476190476</c:v>
                </c:pt>
                <c:pt idx="41">
                  <c:v>0.5079365079365078</c:v>
                </c:pt>
                <c:pt idx="42">
                  <c:v>0.53174603174603174</c:v>
                </c:pt>
                <c:pt idx="43">
                  <c:v>0.54761904761904734</c:v>
                </c:pt>
                <c:pt idx="44">
                  <c:v>0.56349206349206282</c:v>
                </c:pt>
                <c:pt idx="45">
                  <c:v>0.57936507936507908</c:v>
                </c:pt>
                <c:pt idx="46">
                  <c:v>0.61111111111111149</c:v>
                </c:pt>
                <c:pt idx="47">
                  <c:v>0.61904761904761929</c:v>
                </c:pt>
                <c:pt idx="48">
                  <c:v>0.64285714285714257</c:v>
                </c:pt>
                <c:pt idx="49">
                  <c:v>0.65873015873015817</c:v>
                </c:pt>
                <c:pt idx="50">
                  <c:v>0.66666666666666596</c:v>
                </c:pt>
                <c:pt idx="51">
                  <c:v>0.682539682539683</c:v>
                </c:pt>
                <c:pt idx="52">
                  <c:v>0.69841269841269837</c:v>
                </c:pt>
                <c:pt idx="53">
                  <c:v>0.72222222222222243</c:v>
                </c:pt>
                <c:pt idx="54">
                  <c:v>0.73015873015873012</c:v>
                </c:pt>
                <c:pt idx="55">
                  <c:v>0.74603174603174582</c:v>
                </c:pt>
                <c:pt idx="56">
                  <c:v>0.76190476190476197</c:v>
                </c:pt>
                <c:pt idx="57">
                  <c:v>0.76984126984126977</c:v>
                </c:pt>
                <c:pt idx="58">
                  <c:v>0.77777777777777757</c:v>
                </c:pt>
                <c:pt idx="59">
                  <c:v>0.77777777777777757</c:v>
                </c:pt>
                <c:pt idx="60">
                  <c:v>0.77777777777777757</c:v>
                </c:pt>
                <c:pt idx="61">
                  <c:v>0.79365079365079372</c:v>
                </c:pt>
                <c:pt idx="62">
                  <c:v>0.80158730158730163</c:v>
                </c:pt>
                <c:pt idx="63">
                  <c:v>0.80952380952380931</c:v>
                </c:pt>
                <c:pt idx="64">
                  <c:v>0.82539682539682557</c:v>
                </c:pt>
                <c:pt idx="65">
                  <c:v>0.84126984126984106</c:v>
                </c:pt>
                <c:pt idx="66">
                  <c:v>0.84126984126984172</c:v>
                </c:pt>
                <c:pt idx="67">
                  <c:v>0.84920634920634952</c:v>
                </c:pt>
                <c:pt idx="68">
                  <c:v>0.84920634920634952</c:v>
                </c:pt>
                <c:pt idx="69">
                  <c:v>0.85714285714285743</c:v>
                </c:pt>
                <c:pt idx="70">
                  <c:v>0.84920634920634952</c:v>
                </c:pt>
                <c:pt idx="71">
                  <c:v>0.85714285714285743</c:v>
                </c:pt>
                <c:pt idx="72">
                  <c:v>0.85714285714285743</c:v>
                </c:pt>
                <c:pt idx="73">
                  <c:v>0.88095238095238071</c:v>
                </c:pt>
                <c:pt idx="74">
                  <c:v>0.88095238095238071</c:v>
                </c:pt>
                <c:pt idx="75">
                  <c:v>0.88095238095238071</c:v>
                </c:pt>
                <c:pt idx="76">
                  <c:v>0.8888888888888884</c:v>
                </c:pt>
                <c:pt idx="77">
                  <c:v>0.8888888888888884</c:v>
                </c:pt>
                <c:pt idx="78">
                  <c:v>0.90476190476190399</c:v>
                </c:pt>
                <c:pt idx="79">
                  <c:v>0.90476190476190399</c:v>
                </c:pt>
                <c:pt idx="80">
                  <c:v>0.90476190476190399</c:v>
                </c:pt>
                <c:pt idx="81">
                  <c:v>0.92063492063492092</c:v>
                </c:pt>
                <c:pt idx="82">
                  <c:v>0.92063492063492092</c:v>
                </c:pt>
                <c:pt idx="83">
                  <c:v>0.92063492063492092</c:v>
                </c:pt>
                <c:pt idx="84">
                  <c:v>0.9285714285714286</c:v>
                </c:pt>
                <c:pt idx="85">
                  <c:v>0.92063492063492092</c:v>
                </c:pt>
                <c:pt idx="86">
                  <c:v>0.9285714285714286</c:v>
                </c:pt>
                <c:pt idx="87">
                  <c:v>0.9285714285714286</c:v>
                </c:pt>
                <c:pt idx="88">
                  <c:v>0.9285714285714286</c:v>
                </c:pt>
                <c:pt idx="89">
                  <c:v>0.93650793650793718</c:v>
                </c:pt>
                <c:pt idx="90">
                  <c:v>0.95238095238095266</c:v>
                </c:pt>
                <c:pt idx="91">
                  <c:v>0.95238095238095266</c:v>
                </c:pt>
                <c:pt idx="92">
                  <c:v>0.95238095238095266</c:v>
                </c:pt>
                <c:pt idx="93">
                  <c:v>0.96031746031746035</c:v>
                </c:pt>
                <c:pt idx="94">
                  <c:v>0.96031746031746035</c:v>
                </c:pt>
                <c:pt idx="95">
                  <c:v>0.95238095238095266</c:v>
                </c:pt>
                <c:pt idx="96">
                  <c:v>0.96031746031746035</c:v>
                </c:pt>
                <c:pt idx="97">
                  <c:v>0.95238095238095266</c:v>
                </c:pt>
                <c:pt idx="98">
                  <c:v>0.94444444444444486</c:v>
                </c:pt>
                <c:pt idx="99">
                  <c:v>0.94444444444444486</c:v>
                </c:pt>
                <c:pt idx="100">
                  <c:v>0.95238095238095266</c:v>
                </c:pt>
                <c:pt idx="101">
                  <c:v>0.94444444444444486</c:v>
                </c:pt>
                <c:pt idx="102">
                  <c:v>0.94444444444444486</c:v>
                </c:pt>
                <c:pt idx="103">
                  <c:v>0.95238095238095266</c:v>
                </c:pt>
                <c:pt idx="104">
                  <c:v>0.94444444444444486</c:v>
                </c:pt>
                <c:pt idx="105">
                  <c:v>0.94444444444444486</c:v>
                </c:pt>
                <c:pt idx="106">
                  <c:v>0.96031746031746035</c:v>
                </c:pt>
                <c:pt idx="107">
                  <c:v>0.96031746031746035</c:v>
                </c:pt>
                <c:pt idx="108">
                  <c:v>0.96031746031746035</c:v>
                </c:pt>
                <c:pt idx="109">
                  <c:v>0.96031746031746035</c:v>
                </c:pt>
                <c:pt idx="110">
                  <c:v>0.96031746031746035</c:v>
                </c:pt>
                <c:pt idx="111">
                  <c:v>0.95238095238095266</c:v>
                </c:pt>
                <c:pt idx="112">
                  <c:v>0.95238095238095266</c:v>
                </c:pt>
                <c:pt idx="113">
                  <c:v>0.95238095238095266</c:v>
                </c:pt>
                <c:pt idx="114">
                  <c:v>0.94444444444444486</c:v>
                </c:pt>
                <c:pt idx="115">
                  <c:v>0.96031746031746035</c:v>
                </c:pt>
                <c:pt idx="116">
                  <c:v>0.96825396825396814</c:v>
                </c:pt>
                <c:pt idx="117">
                  <c:v>0.96031746031746035</c:v>
                </c:pt>
                <c:pt idx="118">
                  <c:v>0.96825396825396814</c:v>
                </c:pt>
                <c:pt idx="119">
                  <c:v>0.96825396825396814</c:v>
                </c:pt>
                <c:pt idx="120">
                  <c:v>0.97619047619047605</c:v>
                </c:pt>
                <c:pt idx="121">
                  <c:v>0.96825396825396814</c:v>
                </c:pt>
                <c:pt idx="122">
                  <c:v>0.97619047619047605</c:v>
                </c:pt>
                <c:pt idx="123">
                  <c:v>0.98412698412698363</c:v>
                </c:pt>
                <c:pt idx="124">
                  <c:v>0.97619047619047605</c:v>
                </c:pt>
                <c:pt idx="125">
                  <c:v>0.97619047619047605</c:v>
                </c:pt>
                <c:pt idx="126">
                  <c:v>0.97619047619047605</c:v>
                </c:pt>
                <c:pt idx="127">
                  <c:v>0.97619047619047605</c:v>
                </c:pt>
                <c:pt idx="128">
                  <c:v>0.96825396825396814</c:v>
                </c:pt>
                <c:pt idx="129">
                  <c:v>0.96031746031746035</c:v>
                </c:pt>
                <c:pt idx="130">
                  <c:v>0.96031746031746035</c:v>
                </c:pt>
                <c:pt idx="131">
                  <c:v>0.96031746031746035</c:v>
                </c:pt>
                <c:pt idx="132">
                  <c:v>0.96825396825396814</c:v>
                </c:pt>
                <c:pt idx="133">
                  <c:v>0.96031746031746035</c:v>
                </c:pt>
                <c:pt idx="134">
                  <c:v>0.96031746031746035</c:v>
                </c:pt>
                <c:pt idx="135">
                  <c:v>0.96825396825396814</c:v>
                </c:pt>
                <c:pt idx="136">
                  <c:v>0.96825396825396814</c:v>
                </c:pt>
                <c:pt idx="137">
                  <c:v>0.96825396825396814</c:v>
                </c:pt>
                <c:pt idx="138">
                  <c:v>0.97619047619047605</c:v>
                </c:pt>
                <c:pt idx="139">
                  <c:v>0.97619047619047605</c:v>
                </c:pt>
                <c:pt idx="140">
                  <c:v>0.99206349206349143</c:v>
                </c:pt>
                <c:pt idx="141">
                  <c:v>0.97619047619047605</c:v>
                </c:pt>
                <c:pt idx="142">
                  <c:v>0.97619047619047605</c:v>
                </c:pt>
                <c:pt idx="143">
                  <c:v>0.98412698412698363</c:v>
                </c:pt>
                <c:pt idx="144">
                  <c:v>0.97619047619047605</c:v>
                </c:pt>
                <c:pt idx="145">
                  <c:v>0.98412698412698363</c:v>
                </c:pt>
                <c:pt idx="146">
                  <c:v>0.97619047619047605</c:v>
                </c:pt>
                <c:pt idx="147">
                  <c:v>0.96825396825396814</c:v>
                </c:pt>
                <c:pt idx="148">
                  <c:v>0.98412698412698363</c:v>
                </c:pt>
                <c:pt idx="149">
                  <c:v>0.97619047619047605</c:v>
                </c:pt>
                <c:pt idx="150">
                  <c:v>0.96825396825396814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62-43E4-B89C-E8D534368324}"/>
            </c:ext>
          </c:extLst>
        </c:ser>
        <c:ser>
          <c:idx val="4"/>
          <c:order val="4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'3'!$Z$8:$Z$158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'3'!$AE$8:$AE$158</c:f>
              <c:numCache>
                <c:formatCode>0.0000</c:formatCode>
                <c:ptCount val="151"/>
                <c:pt idx="0">
                  <c:v>0</c:v>
                </c:pt>
                <c:pt idx="1">
                  <c:v>0</c:v>
                </c:pt>
                <c:pt idx="2">
                  <c:v>-1.6877637130801329E-2</c:v>
                </c:pt>
                <c:pt idx="3">
                  <c:v>-1.6877637130801329E-2</c:v>
                </c:pt>
                <c:pt idx="4">
                  <c:v>-2.5316455696201993E-2</c:v>
                </c:pt>
                <c:pt idx="5">
                  <c:v>0</c:v>
                </c:pt>
                <c:pt idx="6">
                  <c:v>0</c:v>
                </c:pt>
                <c:pt idx="7">
                  <c:v>-8.4388185654006645E-3</c:v>
                </c:pt>
                <c:pt idx="8">
                  <c:v>-8.4388185654006645E-3</c:v>
                </c:pt>
                <c:pt idx="9">
                  <c:v>-8.4388185654006645E-3</c:v>
                </c:pt>
                <c:pt idx="10">
                  <c:v>0</c:v>
                </c:pt>
                <c:pt idx="11">
                  <c:v>0</c:v>
                </c:pt>
                <c:pt idx="12">
                  <c:v>-8.4388185654006645E-3</c:v>
                </c:pt>
                <c:pt idx="13">
                  <c:v>-1.6877637130801329E-2</c:v>
                </c:pt>
                <c:pt idx="14">
                  <c:v>-8.4388185654006645E-3</c:v>
                </c:pt>
                <c:pt idx="15">
                  <c:v>0</c:v>
                </c:pt>
                <c:pt idx="16">
                  <c:v>-8.4388185654006645E-3</c:v>
                </c:pt>
                <c:pt idx="17">
                  <c:v>0</c:v>
                </c:pt>
                <c:pt idx="18">
                  <c:v>8.4388185654006645E-3</c:v>
                </c:pt>
                <c:pt idx="19">
                  <c:v>0</c:v>
                </c:pt>
                <c:pt idx="20">
                  <c:v>8.4388185654014139E-3</c:v>
                </c:pt>
                <c:pt idx="21">
                  <c:v>2.5316455696203489E-2</c:v>
                </c:pt>
                <c:pt idx="22">
                  <c:v>2.5316455696203489E-2</c:v>
                </c:pt>
                <c:pt idx="23">
                  <c:v>4.2194092827004814E-2</c:v>
                </c:pt>
                <c:pt idx="24">
                  <c:v>6.7510548523207564E-2</c:v>
                </c:pt>
                <c:pt idx="25">
                  <c:v>8.4388185654008893E-2</c:v>
                </c:pt>
                <c:pt idx="26">
                  <c:v>0.10970464135021238</c:v>
                </c:pt>
                <c:pt idx="27">
                  <c:v>0.11814345991561305</c:v>
                </c:pt>
                <c:pt idx="28">
                  <c:v>0.14345991561181504</c:v>
                </c:pt>
                <c:pt idx="29">
                  <c:v>0.16877637130801779</c:v>
                </c:pt>
                <c:pt idx="30">
                  <c:v>0.20253164556962044</c:v>
                </c:pt>
                <c:pt idx="31">
                  <c:v>0.21940928270042326</c:v>
                </c:pt>
                <c:pt idx="32">
                  <c:v>0.24472573839662523</c:v>
                </c:pt>
                <c:pt idx="33">
                  <c:v>0.27004219409282798</c:v>
                </c:pt>
                <c:pt idx="34">
                  <c:v>0.29535864978902998</c:v>
                </c:pt>
                <c:pt idx="35">
                  <c:v>0.3206751054852327</c:v>
                </c:pt>
                <c:pt idx="36">
                  <c:v>0.34599156118143554</c:v>
                </c:pt>
                <c:pt idx="37">
                  <c:v>0.3713080168776382</c:v>
                </c:pt>
                <c:pt idx="38">
                  <c:v>0.38818565400843957</c:v>
                </c:pt>
                <c:pt idx="39">
                  <c:v>0.42194092827004215</c:v>
                </c:pt>
                <c:pt idx="40">
                  <c:v>0.4472573839662457</c:v>
                </c:pt>
                <c:pt idx="41">
                  <c:v>0.47257383966244837</c:v>
                </c:pt>
                <c:pt idx="42">
                  <c:v>0.49789029535865043</c:v>
                </c:pt>
                <c:pt idx="43">
                  <c:v>0.51476793248945174</c:v>
                </c:pt>
                <c:pt idx="44">
                  <c:v>0.54008438818565452</c:v>
                </c:pt>
                <c:pt idx="45">
                  <c:v>0.54852320675105593</c:v>
                </c:pt>
                <c:pt idx="46">
                  <c:v>0.5738396624472587</c:v>
                </c:pt>
                <c:pt idx="47">
                  <c:v>0.59071729957805996</c:v>
                </c:pt>
                <c:pt idx="48">
                  <c:v>0.61603375527426196</c:v>
                </c:pt>
                <c:pt idx="49">
                  <c:v>0.62447257383966259</c:v>
                </c:pt>
                <c:pt idx="50">
                  <c:v>0.64978902953586604</c:v>
                </c:pt>
                <c:pt idx="51">
                  <c:v>0.66666666666666752</c:v>
                </c:pt>
                <c:pt idx="52">
                  <c:v>0.67510548523206815</c:v>
                </c:pt>
                <c:pt idx="53">
                  <c:v>0.69198312236286941</c:v>
                </c:pt>
                <c:pt idx="54">
                  <c:v>0.69198312236286941</c:v>
                </c:pt>
                <c:pt idx="55">
                  <c:v>0.70886075949367144</c:v>
                </c:pt>
                <c:pt idx="56">
                  <c:v>0.72573839662447293</c:v>
                </c:pt>
                <c:pt idx="57">
                  <c:v>0.74261603375527563</c:v>
                </c:pt>
                <c:pt idx="58">
                  <c:v>0.75105485232067626</c:v>
                </c:pt>
                <c:pt idx="59">
                  <c:v>0.75949367088607711</c:v>
                </c:pt>
                <c:pt idx="60">
                  <c:v>0.78481012658227911</c:v>
                </c:pt>
                <c:pt idx="61">
                  <c:v>0.78481012658227911</c:v>
                </c:pt>
                <c:pt idx="62">
                  <c:v>0.81012658227848178</c:v>
                </c:pt>
                <c:pt idx="63">
                  <c:v>0.81012658227848244</c:v>
                </c:pt>
                <c:pt idx="64">
                  <c:v>0.81012658227848178</c:v>
                </c:pt>
                <c:pt idx="65">
                  <c:v>0.8185654008438833</c:v>
                </c:pt>
                <c:pt idx="66">
                  <c:v>0.83544303797468444</c:v>
                </c:pt>
                <c:pt idx="67">
                  <c:v>0.84388185654008518</c:v>
                </c:pt>
                <c:pt idx="68">
                  <c:v>0.86075949367088633</c:v>
                </c:pt>
                <c:pt idx="69">
                  <c:v>0.86075949367088722</c:v>
                </c:pt>
                <c:pt idx="70">
                  <c:v>0.86919831223628785</c:v>
                </c:pt>
                <c:pt idx="71">
                  <c:v>0.86919831223628785</c:v>
                </c:pt>
                <c:pt idx="72">
                  <c:v>0.86919831223628785</c:v>
                </c:pt>
                <c:pt idx="73">
                  <c:v>0.87763713080168848</c:v>
                </c:pt>
                <c:pt idx="74">
                  <c:v>0.87763713080168848</c:v>
                </c:pt>
                <c:pt idx="75">
                  <c:v>0.90295358649789137</c:v>
                </c:pt>
                <c:pt idx="76">
                  <c:v>0.89451476793248985</c:v>
                </c:pt>
                <c:pt idx="77">
                  <c:v>0.91139240506329278</c:v>
                </c:pt>
                <c:pt idx="78">
                  <c:v>0.91983122362869341</c:v>
                </c:pt>
                <c:pt idx="79">
                  <c:v>0.911392405063292</c:v>
                </c:pt>
                <c:pt idx="80">
                  <c:v>0.91983122362869341</c:v>
                </c:pt>
                <c:pt idx="81">
                  <c:v>0.91139240506329278</c:v>
                </c:pt>
                <c:pt idx="82">
                  <c:v>0.92827004219409404</c:v>
                </c:pt>
                <c:pt idx="83">
                  <c:v>0.91983122362869341</c:v>
                </c:pt>
                <c:pt idx="84">
                  <c:v>0.91983122362869341</c:v>
                </c:pt>
                <c:pt idx="85">
                  <c:v>0.93670886075949467</c:v>
                </c:pt>
                <c:pt idx="86">
                  <c:v>0.92827004219409404</c:v>
                </c:pt>
                <c:pt idx="87">
                  <c:v>0.9451476793248953</c:v>
                </c:pt>
                <c:pt idx="88">
                  <c:v>0.93670886075949467</c:v>
                </c:pt>
                <c:pt idx="89">
                  <c:v>0.95358649789029604</c:v>
                </c:pt>
                <c:pt idx="90">
                  <c:v>0.93670886075949467</c:v>
                </c:pt>
                <c:pt idx="91">
                  <c:v>0.9451476793248953</c:v>
                </c:pt>
                <c:pt idx="92">
                  <c:v>0.9451476793248953</c:v>
                </c:pt>
                <c:pt idx="93">
                  <c:v>0.95358649789029604</c:v>
                </c:pt>
                <c:pt idx="94">
                  <c:v>0.95358649789029604</c:v>
                </c:pt>
                <c:pt idx="95">
                  <c:v>0.95358649789029604</c:v>
                </c:pt>
                <c:pt idx="96">
                  <c:v>0.95358649789029604</c:v>
                </c:pt>
                <c:pt idx="97">
                  <c:v>0.9451476793248953</c:v>
                </c:pt>
                <c:pt idx="98">
                  <c:v>0.95358649789029604</c:v>
                </c:pt>
                <c:pt idx="99">
                  <c:v>0.95358649789029604</c:v>
                </c:pt>
                <c:pt idx="100">
                  <c:v>0.96202531645569667</c:v>
                </c:pt>
                <c:pt idx="101">
                  <c:v>0.96202531645569667</c:v>
                </c:pt>
                <c:pt idx="102">
                  <c:v>0.96202531645569667</c:v>
                </c:pt>
                <c:pt idx="103">
                  <c:v>0.96202531645569667</c:v>
                </c:pt>
                <c:pt idx="104">
                  <c:v>0.97046413502109741</c:v>
                </c:pt>
                <c:pt idx="105">
                  <c:v>0.97046413502109741</c:v>
                </c:pt>
                <c:pt idx="106">
                  <c:v>0.96202531645569667</c:v>
                </c:pt>
                <c:pt idx="107">
                  <c:v>0.97046413502109741</c:v>
                </c:pt>
                <c:pt idx="108">
                  <c:v>0.97890295358649804</c:v>
                </c:pt>
                <c:pt idx="109">
                  <c:v>0.97046413502109741</c:v>
                </c:pt>
                <c:pt idx="110">
                  <c:v>0.97046413502109741</c:v>
                </c:pt>
                <c:pt idx="111">
                  <c:v>0.97046413502109741</c:v>
                </c:pt>
                <c:pt idx="112">
                  <c:v>0.97890295358649804</c:v>
                </c:pt>
                <c:pt idx="113">
                  <c:v>0.97046413502109741</c:v>
                </c:pt>
                <c:pt idx="114">
                  <c:v>0.974683544303798</c:v>
                </c:pt>
                <c:pt idx="115">
                  <c:v>0.987341772151899</c:v>
                </c:pt>
                <c:pt idx="116">
                  <c:v>0.974683544303798</c:v>
                </c:pt>
                <c:pt idx="117">
                  <c:v>0.987341772151899</c:v>
                </c:pt>
                <c:pt idx="118">
                  <c:v>0.974683544303798</c:v>
                </c:pt>
                <c:pt idx="119">
                  <c:v>0.987341772151899</c:v>
                </c:pt>
                <c:pt idx="120">
                  <c:v>0.974683544303798</c:v>
                </c:pt>
                <c:pt idx="121">
                  <c:v>0.987341772151899</c:v>
                </c:pt>
                <c:pt idx="122">
                  <c:v>1</c:v>
                </c:pt>
                <c:pt idx="123">
                  <c:v>0.974683544303798</c:v>
                </c:pt>
                <c:pt idx="124">
                  <c:v>0.974683544303798</c:v>
                </c:pt>
                <c:pt idx="125">
                  <c:v>0.987341772151899</c:v>
                </c:pt>
                <c:pt idx="126">
                  <c:v>1</c:v>
                </c:pt>
                <c:pt idx="127">
                  <c:v>0.987341772151899</c:v>
                </c:pt>
                <c:pt idx="128">
                  <c:v>1</c:v>
                </c:pt>
                <c:pt idx="129">
                  <c:v>1</c:v>
                </c:pt>
                <c:pt idx="130">
                  <c:v>0.987341772151899</c:v>
                </c:pt>
                <c:pt idx="131">
                  <c:v>0.987341772151899</c:v>
                </c:pt>
                <c:pt idx="132">
                  <c:v>0.974683544303798</c:v>
                </c:pt>
                <c:pt idx="13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262-43E4-B89C-E8D53436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34744"/>
        <c:axId val="638638024"/>
      </c:scatterChart>
      <c:valAx>
        <c:axId val="63863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638024"/>
        <c:crosses val="autoZero"/>
        <c:crossBetween val="midCat"/>
      </c:valAx>
      <c:valAx>
        <c:axId val="63863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634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Experimental mixing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26829657912399"/>
          <c:y val="0.18167495728977709"/>
          <c:w val="0.7524643429420852"/>
          <c:h val="0.51733252501329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'4'!$A$4:$A$9</c:f>
              <c:strCache>
                <c:ptCount val="6"/>
                <c:pt idx="0">
                  <c:v>1 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'4'!$D$6:$D$9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25.787184586319018</c:v>
                  </c:pt>
                  <c:pt idx="2">
                    <c:v>4.7428495888255009</c:v>
                  </c:pt>
                  <c:pt idx="3">
                    <c:v>4.1365914578175218</c:v>
                  </c:pt>
                </c:numCache>
              </c:numRef>
            </c:plus>
            <c:minus>
              <c:numRef>
                <c:f>'4'!$D$6:$D$9</c:f>
                <c:numCache>
                  <c:formatCode>General</c:formatCode>
                  <c:ptCount val="4"/>
                  <c:pt idx="0">
                    <c:v>15.360915771311728</c:v>
                  </c:pt>
                  <c:pt idx="1">
                    <c:v>25.787184586319018</c:v>
                  </c:pt>
                  <c:pt idx="2">
                    <c:v>4.7428495888255009</c:v>
                  </c:pt>
                  <c:pt idx="3">
                    <c:v>4.1365914578175218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'4'!$B$6:$B$9</c:f>
              <c:numCache>
                <c:formatCode>General</c:formatCode>
                <c:ptCount val="4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</c:numCache>
            </c:numRef>
          </c:xVal>
          <c:yVal>
            <c:numRef>
              <c:f>'4'!$C$6:$C$9</c:f>
              <c:numCache>
                <c:formatCode>0</c:formatCode>
                <c:ptCount val="4"/>
                <c:pt idx="0">
                  <c:v>162</c:v>
                </c:pt>
                <c:pt idx="1">
                  <c:v>136.66666666666666</c:v>
                </c:pt>
                <c:pt idx="2">
                  <c:v>84.666666666666671</c:v>
                </c:pt>
                <c:pt idx="3">
                  <c:v>81.666666666666671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AD-4430-9697-6CB98C4F6BCE}"/>
            </c:ext>
          </c:extLst>
        </c:ser>
        <c:ser>
          <c:idx val="1"/>
          <c:order val="1"/>
          <c:tx>
            <c:strRef>
              <c:f>'4'!$E$4:$E$9</c:f>
              <c:strCache>
                <c:ptCount val="6"/>
                <c:pt idx="0">
                  <c:v>2 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plus>
            <c:minus>
              <c:numRef>
                <c:f>'4'!$H$5:$H$9</c:f>
                <c:numCache>
                  <c:formatCode>General</c:formatCode>
                  <c:ptCount val="5"/>
                  <c:pt idx="0">
                    <c:v>6.1523762347025999</c:v>
                  </c:pt>
                  <c:pt idx="1">
                    <c:v>2.9351812361230589</c:v>
                  </c:pt>
                  <c:pt idx="2">
                    <c:v>0.72179560049150271</c:v>
                  </c:pt>
                  <c:pt idx="3">
                    <c:v>1.7759003976074283</c:v>
                  </c:pt>
                  <c:pt idx="4">
                    <c:v>2.6744075148629758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'4'!$F$5:$F$9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'4'!$G$5:$G$9</c:f>
              <c:numCache>
                <c:formatCode>0</c:formatCode>
                <c:ptCount val="5"/>
                <c:pt idx="0">
                  <c:v>72</c:v>
                </c:pt>
                <c:pt idx="1">
                  <c:v>41.333333333333336</c:v>
                </c:pt>
                <c:pt idx="2">
                  <c:v>27.666666666666668</c:v>
                </c:pt>
                <c:pt idx="3">
                  <c:v>20.666666666666668</c:v>
                </c:pt>
                <c:pt idx="4">
                  <c:v>20.333333333333332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AD-4430-9697-6CB98C4F6BCE}"/>
            </c:ext>
          </c:extLst>
        </c:ser>
        <c:ser>
          <c:idx val="2"/>
          <c:order val="2"/>
          <c:tx>
            <c:strRef>
              <c:f>'4'!$I$5:$I$9</c:f>
              <c:strCache>
                <c:ptCount val="5"/>
                <c:pt idx="0">
                  <c:v>3 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plus>
            <c:minus>
              <c:numRef>
                <c:f>'4'!$L$5:$L$9</c:f>
                <c:numCache>
                  <c:formatCode>General</c:formatCode>
                  <c:ptCount val="5"/>
                  <c:pt idx="0">
                    <c:v>1.9001286506152393</c:v>
                  </c:pt>
                  <c:pt idx="1">
                    <c:v>1.7809984715197136</c:v>
                  </c:pt>
                  <c:pt idx="2">
                    <c:v>1.3477594576019696</c:v>
                  </c:pt>
                  <c:pt idx="3">
                    <c:v>0.68967786361137884</c:v>
                  </c:pt>
                  <c:pt idx="4">
                    <c:v>2.6716640673724101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'4'!$J$5:$J$9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'4'!$K$5:$K$9</c:f>
              <c:numCache>
                <c:formatCode>0</c:formatCode>
                <c:ptCount val="5"/>
                <c:pt idx="0">
                  <c:v>70.666666666666671</c:v>
                </c:pt>
                <c:pt idx="1">
                  <c:v>24.666666666666668</c:v>
                </c:pt>
                <c:pt idx="2">
                  <c:v>19.666666666666668</c:v>
                </c:pt>
                <c:pt idx="3">
                  <c:v>17.666666666666668</c:v>
                </c:pt>
                <c:pt idx="4">
                  <c:v>16.333333333333332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AD-4430-9697-6CB98C4F6BCE}"/>
            </c:ext>
          </c:extLst>
        </c:ser>
        <c:ser>
          <c:idx val="3"/>
          <c:order val="3"/>
          <c:tx>
            <c:strRef>
              <c:f>'4'!$M$5:$M$9</c:f>
              <c:strCache>
                <c:ptCount val="5"/>
                <c:pt idx="0">
                  <c:v>4 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plus>
            <c:minus>
              <c:numRef>
                <c:f>'4'!$P$5:$P$9</c:f>
                <c:numCache>
                  <c:formatCode>General</c:formatCode>
                  <c:ptCount val="5"/>
                  <c:pt idx="0">
                    <c:v>3.7783535508942991</c:v>
                  </c:pt>
                  <c:pt idx="1">
                    <c:v>2.9859597377653229</c:v>
                  </c:pt>
                  <c:pt idx="2">
                    <c:v>1.2429534719100848</c:v>
                  </c:pt>
                  <c:pt idx="3">
                    <c:v>4.8203688194530887</c:v>
                  </c:pt>
                  <c:pt idx="4">
                    <c:v>0.74535599249993001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'4'!$N$5:$N$9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'4'!$O$5:$O$9</c:f>
              <c:numCache>
                <c:formatCode>0</c:formatCode>
                <c:ptCount val="5"/>
                <c:pt idx="0">
                  <c:v>135.33333333333334</c:v>
                </c:pt>
                <c:pt idx="1">
                  <c:v>68.666666666666671</c:v>
                </c:pt>
                <c:pt idx="2">
                  <c:v>46</c:v>
                </c:pt>
                <c:pt idx="3">
                  <c:v>35.333333333333336</c:v>
                </c:pt>
                <c:pt idx="4">
                  <c:v>33.333333333333336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AD-4430-9697-6CB98C4F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5035632"/>
        <c:axId val="845035960"/>
      </c:scatterChart>
      <c:valAx>
        <c:axId val="845035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1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035960"/>
        <c:crosses val="autoZero"/>
        <c:crossBetween val="midCat"/>
      </c:valAx>
      <c:valAx>
        <c:axId val="845035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1"/>
                  <a:t>Mixing 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503563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/>
              <a:t>Relationship between mixing time and impeller speed at different impeller</a:t>
            </a:r>
            <a:r>
              <a:rPr lang="en-ZA" sz="900" baseline="0"/>
              <a:t> immersions</a:t>
            </a:r>
            <a:endParaRPr lang="en-ZA" sz="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'4'!$A$63:$A$66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'4'!$B$63:$B$66</c:f>
              <c:numCache>
                <c:formatCode>0</c:formatCode>
                <c:ptCount val="4"/>
                <c:pt idx="0">
                  <c:v>-7.8368619822203982</c:v>
                </c:pt>
                <c:pt idx="1">
                  <c:v>-34.701078368202715</c:v>
                </c:pt>
                <c:pt idx="2">
                  <c:v>-22.522208449085085</c:v>
                </c:pt>
                <c:pt idx="3">
                  <c:v>-27.312192630741521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28-4BEB-A294-A670EF163FEB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'4'!$A$63:$A$66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'4'!$C$63:$C$66</c:f>
              <c:numCache>
                <c:formatCode>0</c:formatCode>
                <c:ptCount val="4"/>
                <c:pt idx="0">
                  <c:v>14.034602985725911</c:v>
                </c:pt>
                <c:pt idx="1">
                  <c:v>-13.957137427990723</c:v>
                </c:pt>
                <c:pt idx="2">
                  <c:v>-4.6945111520621339</c:v>
                </c:pt>
                <c:pt idx="3">
                  <c:v>-5.8231410300699622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28-4BEB-A294-A670EF163FEB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'4'!$A$63:$A$66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'4'!$D$63:$D$66</c:f>
              <c:numCache>
                <c:formatCode>0</c:formatCode>
                <c:ptCount val="4"/>
                <c:pt idx="0">
                  <c:v>19.099827199603226</c:v>
                </c:pt>
                <c:pt idx="1">
                  <c:v>-7.1898341550948182</c:v>
                </c:pt>
                <c:pt idx="2">
                  <c:v>-2.3814174546897071</c:v>
                </c:pt>
                <c:pt idx="3">
                  <c:v>-0.99869630184326752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28-4BEB-A294-A670EF163FEB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'4'!$A$63:$A$66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'4'!$E$63:$E$66</c:f>
              <c:numCache>
                <c:formatCode>0</c:formatCode>
                <c:ptCount val="4"/>
                <c:pt idx="0">
                  <c:v>14.864137919376176</c:v>
                </c:pt>
                <c:pt idx="1">
                  <c:v>-4.2869694109099186</c:v>
                </c:pt>
                <c:pt idx="2">
                  <c:v>-1.3148612572090528</c:v>
                </c:pt>
                <c:pt idx="3">
                  <c:v>0.73548878251325789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28-4BEB-A294-A670EF163FEB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'4'!$A$63:$A$66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'4'!$F$63:$F$66</c:f>
              <c:numCache>
                <c:formatCode>0</c:formatCode>
                <c:ptCount val="4"/>
                <c:pt idx="0">
                  <c:v>16.52151729458572</c:v>
                </c:pt>
                <c:pt idx="1">
                  <c:v>-3.4214209723629487</c:v>
                </c:pt>
                <c:pt idx="2">
                  <c:v>-0.64636377777849674</c:v>
                </c:pt>
                <c:pt idx="3">
                  <c:v>1.7526343524323487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28-4BEB-A294-A670EF163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9747032"/>
        <c:axId val="679743424"/>
      </c:scatterChart>
      <c:valAx>
        <c:axId val="679747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Impeller immersion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743424"/>
        <c:crosses val="autoZero"/>
        <c:crossBetween val="midCat"/>
      </c:valAx>
      <c:valAx>
        <c:axId val="679743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Residual mixing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7470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/>
              <a:t>Relationship between mixing time w.r.t. impeller immersions at different impeller speed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'4'!$A$63</c:f>
              <c:strCache>
                <c:ptCount val="1"/>
                <c:pt idx="0">
                  <c:v>4%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'4'!$B$61:$F$61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'4'!$B$63:$F$63</c:f>
              <c:numCache>
                <c:formatCode>0</c:formatCode>
                <c:ptCount val="5"/>
                <c:pt idx="0">
                  <c:v>-7.8368619822203982</c:v>
                </c:pt>
                <c:pt idx="1">
                  <c:v>14.034602985725911</c:v>
                </c:pt>
                <c:pt idx="2">
                  <c:v>19.099827199603226</c:v>
                </c:pt>
                <c:pt idx="3">
                  <c:v>14.864137919376176</c:v>
                </c:pt>
                <c:pt idx="4">
                  <c:v>16.52151729458572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1F-4549-B5BA-0FC3839DFE40}"/>
            </c:ext>
          </c:extLst>
        </c:ser>
        <c:ser>
          <c:idx val="1"/>
          <c:order val="1"/>
          <c:tx>
            <c:strRef>
              <c:f>'4'!$A$64</c:f>
              <c:strCache>
                <c:ptCount val="1"/>
                <c:pt idx="0">
                  <c:v>42%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'4'!$B$61:$F$61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'4'!$B$64:$F$64</c:f>
              <c:numCache>
                <c:formatCode>0</c:formatCode>
                <c:ptCount val="5"/>
                <c:pt idx="0">
                  <c:v>-34.701078368202715</c:v>
                </c:pt>
                <c:pt idx="1">
                  <c:v>-13.957137427990723</c:v>
                </c:pt>
                <c:pt idx="2">
                  <c:v>-7.1898341550948182</c:v>
                </c:pt>
                <c:pt idx="3">
                  <c:v>-4.2869694109099186</c:v>
                </c:pt>
                <c:pt idx="4">
                  <c:v>-3.4214209723629487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1F-4549-B5BA-0FC3839DFE40}"/>
            </c:ext>
          </c:extLst>
        </c:ser>
        <c:ser>
          <c:idx val="2"/>
          <c:order val="2"/>
          <c:tx>
            <c:strRef>
              <c:f>'4'!$A$65</c:f>
              <c:strCache>
                <c:ptCount val="1"/>
                <c:pt idx="0">
                  <c:v>79%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'4'!$B$61:$F$61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'4'!$B$65:$F$65</c:f>
              <c:numCache>
                <c:formatCode>0</c:formatCode>
                <c:ptCount val="5"/>
                <c:pt idx="0">
                  <c:v>-22.522208449085085</c:v>
                </c:pt>
                <c:pt idx="1">
                  <c:v>-4.6945111520621339</c:v>
                </c:pt>
                <c:pt idx="2">
                  <c:v>-2.3814174546897071</c:v>
                </c:pt>
                <c:pt idx="3">
                  <c:v>-1.3148612572090528</c:v>
                </c:pt>
                <c:pt idx="4">
                  <c:v>-0.64636377777849674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1F-4549-B5BA-0FC3839DFE40}"/>
            </c:ext>
          </c:extLst>
        </c:ser>
        <c:ser>
          <c:idx val="3"/>
          <c:order val="3"/>
          <c:tx>
            <c:strRef>
              <c:f>'4'!$A$66</c:f>
              <c:strCache>
                <c:ptCount val="1"/>
                <c:pt idx="0">
                  <c:v>121%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'4'!$B$61:$F$61</c:f>
              <c:numCache>
                <c:formatCode>General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</c:numCache>
            </c:numRef>
          </c:xVal>
          <c:yVal>
            <c:numRef>
              <c:f>'4'!$B$66:$F$66</c:f>
              <c:numCache>
                <c:formatCode>0</c:formatCode>
                <c:ptCount val="5"/>
                <c:pt idx="0">
                  <c:v>-27.312192630741521</c:v>
                </c:pt>
                <c:pt idx="1">
                  <c:v>-5.8231410300699622</c:v>
                </c:pt>
                <c:pt idx="2">
                  <c:v>-0.99869630184326752</c:v>
                </c:pt>
                <c:pt idx="3">
                  <c:v>0.73548878251325789</c:v>
                </c:pt>
                <c:pt idx="4">
                  <c:v>1.7526343524323487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1F-4549-B5BA-0FC3839D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700976"/>
        <c:axId val="682697368"/>
      </c:scatterChart>
      <c:valAx>
        <c:axId val="68270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Impeller speed (rpm)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697368"/>
        <c:crosses val="autoZero"/>
        <c:crossBetween val="midCat"/>
      </c:valAx>
      <c:valAx>
        <c:axId val="682697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Residual mixing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270097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ZA" sz="900" b="1" i="0" baseline="0">
                <a:effectLst/>
              </a:rPr>
              <a:t>Relationship between mixing time and impeller speed at different impeller immersions</a:t>
            </a:r>
            <a:endParaRPr lang="en-ZA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'4'!$K$12</c:f>
              <c:strCache>
                <c:ptCount val="1"/>
                <c:pt idx="0">
                  <c:v>100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'4'!$J$63:$J$66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'4'!$K$63:$K$66</c:f>
              <c:numCache>
                <c:formatCode>0.0</c:formatCode>
                <c:ptCount val="4"/>
                <c:pt idx="0">
                  <c:v>-4.0124851747123103E-3</c:v>
                </c:pt>
                <c:pt idx="1">
                  <c:v>-0.43936845540545733</c:v>
                </c:pt>
                <c:pt idx="2">
                  <c:v>1.0239733368787114</c:v>
                </c:pt>
                <c:pt idx="3">
                  <c:v>-0.24264143478455935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D1-477A-B524-29A8E8D10BFB}"/>
            </c:ext>
          </c:extLst>
        </c:ser>
        <c:ser>
          <c:idx val="1"/>
          <c:order val="1"/>
          <c:tx>
            <c:strRef>
              <c:f>'4'!$K$13</c:f>
              <c:strCache>
                <c:ptCount val="1"/>
                <c:pt idx="0">
                  <c:v>200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'4'!$J$63:$J$66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'4'!$L$63:$L$66</c:f>
              <c:numCache>
                <c:formatCode>0.0</c:formatCode>
                <c:ptCount val="4"/>
                <c:pt idx="0">
                  <c:v>1.5871911876075728E-2</c:v>
                </c:pt>
                <c:pt idx="1">
                  <c:v>-0.24790265374331</c:v>
                </c:pt>
                <c:pt idx="2">
                  <c:v>0.35995427022456639</c:v>
                </c:pt>
                <c:pt idx="3">
                  <c:v>-0.11595538351285484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D1-477A-B524-29A8E8D10BFB}"/>
            </c:ext>
          </c:extLst>
        </c:ser>
        <c:ser>
          <c:idx val="2"/>
          <c:order val="2"/>
          <c:tx>
            <c:strRef>
              <c:f>'4'!$K$14</c:f>
              <c:strCache>
                <c:ptCount val="1"/>
                <c:pt idx="0">
                  <c:v>300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'4'!$J$63:$J$66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'4'!$M$63:$M$66</c:f>
              <c:numCache>
                <c:formatCode>0.0</c:formatCode>
                <c:ptCount val="4"/>
                <c:pt idx="0">
                  <c:v>2.1708296919314307E-2</c:v>
                </c:pt>
                <c:pt idx="1">
                  <c:v>-0.16424060366408355</c:v>
                </c:pt>
                <c:pt idx="2">
                  <c:v>0.28817025412364572</c:v>
                </c:pt>
                <c:pt idx="3">
                  <c:v>-7.4873990423647285E-2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DD1-477A-B524-29A8E8D10BFB}"/>
            </c:ext>
          </c:extLst>
        </c:ser>
        <c:ser>
          <c:idx val="3"/>
          <c:order val="3"/>
          <c:tx>
            <c:strRef>
              <c:f>'4'!$K$15</c:f>
              <c:strCache>
                <c:ptCount val="1"/>
                <c:pt idx="0">
                  <c:v>400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'4'!$J$63:$J$66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'4'!$N$63:$N$66</c:f>
              <c:numCache>
                <c:formatCode>0.0</c:formatCode>
                <c:ptCount val="4"/>
                <c:pt idx="0">
                  <c:v>1.7104730074549934E-2</c:v>
                </c:pt>
                <c:pt idx="1">
                  <c:v>-0.1217878592896291</c:v>
                </c:pt>
                <c:pt idx="2">
                  <c:v>0.25961664811205765</c:v>
                </c:pt>
                <c:pt idx="3">
                  <c:v>-5.5983373866340003E-2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DD1-477A-B524-29A8E8D10BFB}"/>
            </c:ext>
          </c:extLst>
        </c:ser>
        <c:ser>
          <c:idx val="4"/>
          <c:order val="4"/>
          <c:tx>
            <c:strRef>
              <c:f>'4'!$K$16</c:f>
              <c:strCache>
                <c:ptCount val="1"/>
                <c:pt idx="0">
                  <c:v>500 rpm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'4'!$J$63:$J$66</c:f>
              <c:numCache>
                <c:formatCode>0%</c:formatCode>
                <c:ptCount val="4"/>
                <c:pt idx="0">
                  <c:v>0.04</c:v>
                </c:pt>
                <c:pt idx="1">
                  <c:v>0.42</c:v>
                </c:pt>
                <c:pt idx="2">
                  <c:v>0.79</c:v>
                </c:pt>
                <c:pt idx="3">
                  <c:v>1.21</c:v>
                </c:pt>
              </c:numCache>
            </c:numRef>
          </c:xVal>
          <c:yVal>
            <c:numRef>
              <c:f>'4'!$O$63:$O$66</c:f>
              <c:numCache>
                <c:formatCode>0.0</c:formatCode>
                <c:ptCount val="4"/>
                <c:pt idx="0">
                  <c:v>1.9234015615012368E-2</c:v>
                </c:pt>
                <c:pt idx="1">
                  <c:v>-0.11913833867821921</c:v>
                </c:pt>
                <c:pt idx="2">
                  <c:v>0.24056208009758251</c:v>
                </c:pt>
                <c:pt idx="3">
                  <c:v>-5.1696035791103156E-2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DD1-477A-B524-29A8E8D10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211200"/>
        <c:axId val="685209888"/>
      </c:scatterChart>
      <c:valAx>
        <c:axId val="685211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1" i="0" baseline="0">
                    <a:effectLst/>
                  </a:rPr>
                  <a:t>Impeller immersion</a:t>
                </a:r>
                <a:endParaRPr lang="en-ZA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209888"/>
        <c:crosses val="autoZero"/>
        <c:crossBetween val="midCat"/>
      </c:valAx>
      <c:valAx>
        <c:axId val="685209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1" i="0" baseline="0">
                    <a:effectLst/>
                  </a:rPr>
                  <a:t>Residual mixing time</a:t>
                </a:r>
                <a:endParaRPr lang="en-ZA" sz="9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2112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image" Target="../media/image23.png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13.png"/><Relationship Id="rId10" Type="http://schemas.openxmlformats.org/officeDocument/2006/relationships/image" Target="../media/image18.png"/><Relationship Id="rId4" Type="http://schemas.openxmlformats.org/officeDocument/2006/relationships/image" Target="../media/image12.png"/><Relationship Id="rId9" Type="http://schemas.openxmlformats.org/officeDocument/2006/relationships/image" Target="../media/image17.png"/><Relationship Id="rId14" Type="http://schemas.openxmlformats.org/officeDocument/2006/relationships/image" Target="../media/image2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29</xdr:row>
      <xdr:rowOff>0</xdr:rowOff>
    </xdr:from>
    <xdr:to>
      <xdr:col>3</xdr:col>
      <xdr:colOff>266700</xdr:colOff>
      <xdr:row>30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0EF970-90B8-4433-ABDA-1CC17D03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4448175"/>
          <a:ext cx="209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</xdr:colOff>
      <xdr:row>30</xdr:row>
      <xdr:rowOff>0</xdr:rowOff>
    </xdr:from>
    <xdr:to>
      <xdr:col>3</xdr:col>
      <xdr:colOff>257175</xdr:colOff>
      <xdr:row>31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5089B2-B3E3-4B4C-83BA-5E4354EA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4638675"/>
          <a:ext cx="2095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15</xdr:row>
      <xdr:rowOff>152400</xdr:rowOff>
    </xdr:from>
    <xdr:to>
      <xdr:col>3</xdr:col>
      <xdr:colOff>257175</xdr:colOff>
      <xdr:row>17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60EE75-A1EC-4D61-B000-41AED1D9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670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16</xdr:row>
      <xdr:rowOff>152400</xdr:rowOff>
    </xdr:from>
    <xdr:to>
      <xdr:col>3</xdr:col>
      <xdr:colOff>257175</xdr:colOff>
      <xdr:row>18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C0EF7D-7F51-49E7-B2CB-BD5039C8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26670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10390</xdr:colOff>
      <xdr:row>3</xdr:row>
      <xdr:rowOff>3655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9718814-0F86-4D95-AF2B-A46B0FB7621F}"/>
                </a:ext>
              </a:extLst>
            </xdr:cNvPr>
            <xdr:cNvSpPr txBox="1"/>
          </xdr:nvSpPr>
          <xdr:spPr>
            <a:xfrm>
              <a:off x="10390" y="38465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9718814-0F86-4D95-AF2B-A46B0FB7621F}"/>
                </a:ext>
              </a:extLst>
            </xdr:cNvPr>
            <xdr:cNvSpPr txBox="1"/>
          </xdr:nvSpPr>
          <xdr:spPr>
            <a:xfrm>
              <a:off x="10390" y="38465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0</xdr:col>
      <xdr:colOff>225273</xdr:colOff>
      <xdr:row>49</xdr:row>
      <xdr:rowOff>80133</xdr:rowOff>
    </xdr:from>
    <xdr:to>
      <xdr:col>8</xdr:col>
      <xdr:colOff>105383</xdr:colOff>
      <xdr:row>61</xdr:row>
      <xdr:rowOff>6050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59D318F-8C0B-46A2-AD57-B427A61443D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243418</xdr:colOff>
      <xdr:row>36</xdr:row>
      <xdr:rowOff>81644</xdr:rowOff>
    </xdr:from>
    <xdr:to>
      <xdr:col>8</xdr:col>
      <xdr:colOff>95250</xdr:colOff>
      <xdr:row>48</xdr:row>
      <xdr:rowOff>22074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1C08C3-B615-4424-B009-8FB2EF2155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10390</xdr:colOff>
      <xdr:row>3</xdr:row>
      <xdr:rowOff>3655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411B5B1-2E2C-4B09-9353-3052E96E6C11}"/>
                </a:ext>
              </a:extLst>
            </xdr:cNvPr>
            <xdr:cNvSpPr txBox="1"/>
          </xdr:nvSpPr>
          <xdr:spPr>
            <a:xfrm>
              <a:off x="10390" y="46085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D411B5B1-2E2C-4B09-9353-3052E96E6C11}"/>
                </a:ext>
              </a:extLst>
            </xdr:cNvPr>
            <xdr:cNvSpPr txBox="1"/>
          </xdr:nvSpPr>
          <xdr:spPr>
            <a:xfrm>
              <a:off x="10390" y="46085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18</xdr:col>
      <xdr:colOff>66675</xdr:colOff>
      <xdr:row>40</xdr:row>
      <xdr:rowOff>95250</xdr:rowOff>
    </xdr:from>
    <xdr:to>
      <xdr:col>23</xdr:col>
      <xdr:colOff>114300</xdr:colOff>
      <xdr:row>52</xdr:row>
      <xdr:rowOff>28575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FD8EA0-5784-47CA-B857-328E77624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180975</xdr:colOff>
      <xdr:row>85</xdr:row>
      <xdr:rowOff>28575</xdr:rowOff>
    </xdr:from>
    <xdr:to>
      <xdr:col>18</xdr:col>
      <xdr:colOff>152400</xdr:colOff>
      <xdr:row>98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0C920C4-87B3-456D-9A98-C0C00BCDC8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1170E65-49D2-449A-956D-E67D4DD1B5B0}"/>
                </a:ext>
              </a:extLst>
            </xdr:cNvPr>
            <xdr:cNvSpPr txBox="1"/>
          </xdr:nvSpPr>
          <xdr:spPr>
            <a:xfrm>
              <a:off x="0" y="152400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1170E65-49D2-449A-956D-E67D4DD1B5B0}"/>
                </a:ext>
              </a:extLst>
            </xdr:cNvPr>
            <xdr:cNvSpPr txBox="1"/>
          </xdr:nvSpPr>
          <xdr:spPr>
            <a:xfrm>
              <a:off x="0" y="152400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10</xdr:col>
      <xdr:colOff>1700</xdr:colOff>
      <xdr:row>0</xdr:row>
      <xdr:rowOff>0</xdr:rowOff>
    </xdr:from>
    <xdr:to>
      <xdr:col>13</xdr:col>
      <xdr:colOff>11226</xdr:colOff>
      <xdr:row>1</xdr:row>
      <xdr:rowOff>183356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A441D7-E08B-432E-8173-F7206A1F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075" y="0"/>
          <a:ext cx="1831182" cy="37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116341</xdr:rowOff>
    </xdr:from>
    <xdr:to>
      <xdr:col>7</xdr:col>
      <xdr:colOff>193902</xdr:colOff>
      <xdr:row>77</xdr:row>
      <xdr:rowOff>64973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90DB0A-DD69-4B2D-8EA5-D8243DF6BD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0</xdr:colOff>
      <xdr:row>4</xdr:row>
      <xdr:rowOff>0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F6B9038-7983-46D5-A8CD-CA928E4E3444}"/>
                </a:ext>
              </a:extLst>
            </xdr:cNvPr>
            <xdr:cNvSpPr txBox="1"/>
          </xdr:nvSpPr>
          <xdr:spPr>
            <a:xfrm>
              <a:off x="0" y="37147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7F6B9038-7983-46D5-A8CD-CA928E4E3444}"/>
                </a:ext>
              </a:extLst>
            </xdr:cNvPr>
            <xdr:cNvSpPr txBox="1"/>
          </xdr:nvSpPr>
          <xdr:spPr>
            <a:xfrm>
              <a:off x="0" y="371475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7</xdr:col>
      <xdr:colOff>233022</xdr:colOff>
      <xdr:row>60</xdr:row>
      <xdr:rowOff>133690</xdr:rowOff>
    </xdr:from>
    <xdr:to>
      <xdr:col>14</xdr:col>
      <xdr:colOff>545986</xdr:colOff>
      <xdr:row>78</xdr:row>
      <xdr:rowOff>107156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70E534A-4DA5-4A54-A2F1-142C507CB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16</xdr:col>
      <xdr:colOff>0</xdr:colOff>
      <xdr:row>4</xdr:row>
      <xdr:rowOff>0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B27706C-CF8F-4170-BBAB-9FF4DF112374}"/>
                </a:ext>
              </a:extLst>
            </xdr:cNvPr>
            <xdr:cNvSpPr txBox="1"/>
          </xdr:nvSpPr>
          <xdr:spPr>
            <a:xfrm>
              <a:off x="0" y="326571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AB27706C-CF8F-4170-BBAB-9FF4DF112374}"/>
                </a:ext>
              </a:extLst>
            </xdr:cNvPr>
            <xdr:cNvSpPr txBox="1"/>
          </xdr:nvSpPr>
          <xdr:spPr>
            <a:xfrm>
              <a:off x="0" y="326571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15</xdr:col>
      <xdr:colOff>164987</xdr:colOff>
      <xdr:row>60</xdr:row>
      <xdr:rowOff>125184</xdr:rowOff>
    </xdr:from>
    <xdr:to>
      <xdr:col>22</xdr:col>
      <xdr:colOff>455839</xdr:colOff>
      <xdr:row>78</xdr:row>
      <xdr:rowOff>82321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6F3D54E0-21FB-4901-BFBF-22283FC95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24</xdr:col>
      <xdr:colOff>0</xdr:colOff>
      <xdr:row>4</xdr:row>
      <xdr:rowOff>0</xdr:rowOff>
    </xdr:from>
    <xdr:ext cx="179729" cy="18261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9CFB78FB-0C34-4776-A468-6847EF91438C}"/>
                </a:ext>
              </a:extLst>
            </xdr:cNvPr>
            <xdr:cNvSpPr txBox="1"/>
          </xdr:nvSpPr>
          <xdr:spPr>
            <a:xfrm>
              <a:off x="7960179" y="299357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𝐶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9CFB78FB-0C34-4776-A468-6847EF91438C}"/>
                </a:ext>
              </a:extLst>
            </xdr:cNvPr>
            <xdr:cNvSpPr txBox="1"/>
          </xdr:nvSpPr>
          <xdr:spPr>
            <a:xfrm>
              <a:off x="7960179" y="299357"/>
              <a:ext cx="179729" cy="1826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𝐶_𝑝</a:t>
              </a:r>
              <a:endParaRPr lang="en-ZA" sz="1100"/>
            </a:p>
          </xdr:txBody>
        </xdr:sp>
      </mc:Fallback>
    </mc:AlternateContent>
    <xdr:clientData/>
  </xdr:oneCellAnchor>
  <xdr:twoCellAnchor>
    <xdr:from>
      <xdr:col>23</xdr:col>
      <xdr:colOff>199006</xdr:colOff>
      <xdr:row>60</xdr:row>
      <xdr:rowOff>142195</xdr:rowOff>
    </xdr:from>
    <xdr:to>
      <xdr:col>31</xdr:col>
      <xdr:colOff>187099</xdr:colOff>
      <xdr:row>78</xdr:row>
      <xdr:rowOff>99332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AC578AA-81FE-4CAC-B2DE-95DDB258F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17859</xdr:colOff>
      <xdr:row>82</xdr:row>
      <xdr:rowOff>47623</xdr:rowOff>
    </xdr:from>
    <xdr:to>
      <xdr:col>22</xdr:col>
      <xdr:colOff>327422</xdr:colOff>
      <xdr:row>98</xdr:row>
      <xdr:rowOff>61911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66B2B17-3855-4125-9105-6A52EA3C4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196453</xdr:colOff>
      <xdr:row>101</xdr:row>
      <xdr:rowOff>104775</xdr:rowOff>
    </xdr:from>
    <xdr:to>
      <xdr:col>23</xdr:col>
      <xdr:colOff>101203</xdr:colOff>
      <xdr:row>119</xdr:row>
      <xdr:rowOff>14288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5C2D437-7095-4576-A222-B920DFA5F4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29766</xdr:colOff>
      <xdr:row>132</xdr:row>
      <xdr:rowOff>27385</xdr:rowOff>
    </xdr:from>
    <xdr:to>
      <xdr:col>14</xdr:col>
      <xdr:colOff>17860</xdr:colOff>
      <xdr:row>149</xdr:row>
      <xdr:rowOff>127397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F7C7EA6-5394-4716-9F22-458DD74AA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184547</xdr:colOff>
      <xdr:row>132</xdr:row>
      <xdr:rowOff>21433</xdr:rowOff>
    </xdr:from>
    <xdr:to>
      <xdr:col>21</xdr:col>
      <xdr:colOff>625078</xdr:colOff>
      <xdr:row>149</xdr:row>
      <xdr:rowOff>121445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6A7CB97-71D1-4C7A-B825-41CF44999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238436</xdr:colOff>
      <xdr:row>0</xdr:row>
      <xdr:rowOff>0</xdr:rowOff>
    </xdr:from>
    <xdr:to>
      <xdr:col>35</xdr:col>
      <xdr:colOff>62504</xdr:colOff>
      <xdr:row>4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687EF-4A82-4D24-9786-E4B51609E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561" y="0"/>
          <a:ext cx="738468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1238250</xdr:colOff>
      <xdr:row>94</xdr:row>
      <xdr:rowOff>180975</xdr:rowOff>
    </xdr:from>
    <xdr:to>
      <xdr:col>1</xdr:col>
      <xdr:colOff>1628775</xdr:colOff>
      <xdr:row>94</xdr:row>
      <xdr:rowOff>314325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9381F41C-9E34-491F-A240-0B40DEED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714375"/>
          <a:ext cx="3714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1057275</xdr:colOff>
      <xdr:row>100</xdr:row>
      <xdr:rowOff>123825</xdr:rowOff>
    </xdr:from>
    <xdr:to>
      <xdr:col>1</xdr:col>
      <xdr:colOff>1466850</xdr:colOff>
      <xdr:row>101</xdr:row>
      <xdr:rowOff>0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5DC39D5F-6F34-4261-843D-9F9770C3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314450"/>
          <a:ext cx="409575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1190625</xdr:colOff>
      <xdr:row>93</xdr:row>
      <xdr:rowOff>0</xdr:rowOff>
    </xdr:from>
    <xdr:ext cx="2268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8733DA00-EF2C-4D59-8DC9-05598EB128A1}"/>
                </a:ext>
              </a:extLst>
            </xdr:cNvPr>
            <xdr:cNvSpPr txBox="1"/>
          </xdr:nvSpPr>
          <xdr:spPr>
            <a:xfrm>
              <a:off x="1438275" y="11220450"/>
              <a:ext cx="2268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3" name="TextBox 122">
              <a:extLst>
                <a:ext uri="{FF2B5EF4-FFF2-40B4-BE49-F238E27FC236}">
                  <a16:creationId xmlns:a16="http://schemas.microsoft.com/office/drawing/2014/main" id="{8733DA00-EF2C-4D59-8DC9-05598EB128A1}"/>
                </a:ext>
              </a:extLst>
            </xdr:cNvPr>
            <xdr:cNvSpPr txBox="1"/>
          </xdr:nvSpPr>
          <xdr:spPr>
            <a:xfrm>
              <a:off x="1438275" y="11220450"/>
              <a:ext cx="2268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(𝐿)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1171575</xdr:colOff>
      <xdr:row>95</xdr:row>
      <xdr:rowOff>0</xdr:rowOff>
    </xdr:from>
    <xdr:ext cx="25071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AAA7025D-2773-461F-8C2B-28E11646B6FC}"/>
                </a:ext>
              </a:extLst>
            </xdr:cNvPr>
            <xdr:cNvSpPr txBox="1"/>
          </xdr:nvSpPr>
          <xdr:spPr>
            <a:xfrm>
              <a:off x="1419225" y="11496675"/>
              <a:ext cx="2507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𝐷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4" name="TextBox 123">
              <a:extLst>
                <a:ext uri="{FF2B5EF4-FFF2-40B4-BE49-F238E27FC236}">
                  <a16:creationId xmlns:a16="http://schemas.microsoft.com/office/drawing/2014/main" id="{AAA7025D-2773-461F-8C2B-28E11646B6FC}"/>
                </a:ext>
              </a:extLst>
            </xdr:cNvPr>
            <xdr:cNvSpPr txBox="1"/>
          </xdr:nvSpPr>
          <xdr:spPr>
            <a:xfrm>
              <a:off x="1419225" y="11496675"/>
              <a:ext cx="25071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(𝐷)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1209675</xdr:colOff>
      <xdr:row>96</xdr:row>
      <xdr:rowOff>66675</xdr:rowOff>
    </xdr:from>
    <xdr:ext cx="18755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E783A464-93EF-4919-BFF0-48C81B018002}"/>
                </a:ext>
              </a:extLst>
            </xdr:cNvPr>
            <xdr:cNvSpPr txBox="1"/>
          </xdr:nvSpPr>
          <xdr:spPr>
            <a:xfrm>
              <a:off x="1457325" y="11744325"/>
              <a:ext cx="1875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/>
                <a:t>(</a:t>
              </a:r>
              <a14:m>
                <m:oMath xmlns:m="http://schemas.openxmlformats.org/officeDocument/2006/math">
                  <m:r>
                    <a:rPr lang="en-ZA" sz="1100" b="0" i="1">
                      <a:latin typeface="Cambria Math" panose="02040503050406030204" pitchFamily="18" charset="0"/>
                    </a:rPr>
                    <m:t>𝑑</m:t>
                  </m:r>
                  <m:r>
                    <a:rPr lang="en-ZA" sz="11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ZA" sz="1100"/>
            </a:p>
          </xdr:txBody>
        </xdr:sp>
      </mc:Choice>
      <mc:Fallback xmlns="">
        <xdr:sp macro="" textlink="">
          <xdr:nvSpPr>
            <xdr:cNvPr id="125" name="TextBox 124">
              <a:extLst>
                <a:ext uri="{FF2B5EF4-FFF2-40B4-BE49-F238E27FC236}">
                  <a16:creationId xmlns:a16="http://schemas.microsoft.com/office/drawing/2014/main" id="{E783A464-93EF-4919-BFF0-48C81B018002}"/>
                </a:ext>
              </a:extLst>
            </xdr:cNvPr>
            <xdr:cNvSpPr txBox="1"/>
          </xdr:nvSpPr>
          <xdr:spPr>
            <a:xfrm>
              <a:off x="1457325" y="11744325"/>
              <a:ext cx="1875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/>
                <a:t>(</a:t>
              </a:r>
              <a:r>
                <a:rPr lang="en-ZA" sz="1100" b="0" i="0">
                  <a:latin typeface="Cambria Math" panose="02040503050406030204" pitchFamily="18" charset="0"/>
                </a:rPr>
                <a:t>𝑑)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1333500</xdr:colOff>
      <xdr:row>101</xdr:row>
      <xdr:rowOff>104775</xdr:rowOff>
    </xdr:from>
    <xdr:ext cx="2263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68BAC690-C4F2-412B-A966-64A13B9217CB}"/>
                </a:ext>
              </a:extLst>
            </xdr:cNvPr>
            <xdr:cNvSpPr txBox="1"/>
          </xdr:nvSpPr>
          <xdr:spPr>
            <a:xfrm>
              <a:off x="1581150" y="12582525"/>
              <a:ext cx="2263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6" name="TextBox 125">
              <a:extLst>
                <a:ext uri="{FF2B5EF4-FFF2-40B4-BE49-F238E27FC236}">
                  <a16:creationId xmlns:a16="http://schemas.microsoft.com/office/drawing/2014/main" id="{68BAC690-C4F2-412B-A966-64A13B9217CB}"/>
                </a:ext>
              </a:extLst>
            </xdr:cNvPr>
            <xdr:cNvSpPr txBox="1"/>
          </xdr:nvSpPr>
          <xdr:spPr>
            <a:xfrm>
              <a:off x="1581150" y="12582525"/>
              <a:ext cx="2263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(𝑆)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1162050</xdr:colOff>
      <xdr:row>98</xdr:row>
      <xdr:rowOff>66675</xdr:rowOff>
    </xdr:from>
    <xdr:ext cx="26943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7" name="TextBox 126">
              <a:extLst>
                <a:ext uri="{FF2B5EF4-FFF2-40B4-BE49-F238E27FC236}">
                  <a16:creationId xmlns:a16="http://schemas.microsoft.com/office/drawing/2014/main" id="{7A79B9B0-C496-4555-BF78-A505106E1F29}"/>
                </a:ext>
              </a:extLst>
            </xdr:cNvPr>
            <xdr:cNvSpPr txBox="1"/>
          </xdr:nvSpPr>
          <xdr:spPr>
            <a:xfrm>
              <a:off x="1409700" y="12077700"/>
              <a:ext cx="2694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7" name="TextBox 126">
              <a:extLst>
                <a:ext uri="{FF2B5EF4-FFF2-40B4-BE49-F238E27FC236}">
                  <a16:creationId xmlns:a16="http://schemas.microsoft.com/office/drawing/2014/main" id="{7A79B9B0-C496-4555-BF78-A505106E1F29}"/>
                </a:ext>
              </a:extLst>
            </xdr:cNvPr>
            <xdr:cNvSpPr txBox="1"/>
          </xdr:nvSpPr>
          <xdr:spPr>
            <a:xfrm>
              <a:off x="1409700" y="12077700"/>
              <a:ext cx="26943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〖(𝐿〗_𝑖)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1323975</xdr:colOff>
      <xdr:row>103</xdr:row>
      <xdr:rowOff>57150</xdr:rowOff>
    </xdr:from>
    <xdr:ext cx="25571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8" name="TextBox 127">
              <a:extLst>
                <a:ext uri="{FF2B5EF4-FFF2-40B4-BE49-F238E27FC236}">
                  <a16:creationId xmlns:a16="http://schemas.microsoft.com/office/drawing/2014/main" id="{EFBA2162-0095-4AA5-84C0-425D39913E11}"/>
                </a:ext>
              </a:extLst>
            </xdr:cNvPr>
            <xdr:cNvSpPr txBox="1"/>
          </xdr:nvSpPr>
          <xdr:spPr>
            <a:xfrm>
              <a:off x="1571625" y="12811125"/>
              <a:ext cx="2557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8" name="TextBox 127">
              <a:extLst>
                <a:ext uri="{FF2B5EF4-FFF2-40B4-BE49-F238E27FC236}">
                  <a16:creationId xmlns:a16="http://schemas.microsoft.com/office/drawing/2014/main" id="{EFBA2162-0095-4AA5-84C0-425D39913E11}"/>
                </a:ext>
              </a:extLst>
            </xdr:cNvPr>
            <xdr:cNvSpPr txBox="1"/>
          </xdr:nvSpPr>
          <xdr:spPr>
            <a:xfrm>
              <a:off x="1571625" y="12811125"/>
              <a:ext cx="2557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(𝑁)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1076325</xdr:colOff>
      <xdr:row>104</xdr:row>
      <xdr:rowOff>123825</xdr:rowOff>
    </xdr:from>
    <xdr:ext cx="2393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CFEF2CBD-0BF9-4875-8E9D-F3B498126F0C}"/>
                </a:ext>
              </a:extLst>
            </xdr:cNvPr>
            <xdr:cNvSpPr txBox="1"/>
          </xdr:nvSpPr>
          <xdr:spPr>
            <a:xfrm>
              <a:off x="1323975" y="12992100"/>
              <a:ext cx="239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9" name="TextBox 128">
              <a:extLst>
                <a:ext uri="{FF2B5EF4-FFF2-40B4-BE49-F238E27FC236}">
                  <a16:creationId xmlns:a16="http://schemas.microsoft.com/office/drawing/2014/main" id="{CFEF2CBD-0BF9-4875-8E9D-F3B498126F0C}"/>
                </a:ext>
              </a:extLst>
            </xdr:cNvPr>
            <xdr:cNvSpPr txBox="1"/>
          </xdr:nvSpPr>
          <xdr:spPr>
            <a:xfrm>
              <a:off x="1323975" y="12992100"/>
              <a:ext cx="239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(𝐶)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1066800</xdr:colOff>
      <xdr:row>107</xdr:row>
      <xdr:rowOff>0</xdr:rowOff>
    </xdr:from>
    <xdr:ext cx="218842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7EEA7B42-60F7-4669-87EF-8618CF18AA96}"/>
                </a:ext>
              </a:extLst>
            </xdr:cNvPr>
            <xdr:cNvSpPr txBox="1"/>
          </xdr:nvSpPr>
          <xdr:spPr>
            <a:xfrm>
              <a:off x="1314450" y="13430250"/>
              <a:ext cx="218842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ZA" sz="1000" b="0" i="1">
                      <a:latin typeface="Cambria Math" panose="02040503050406030204" pitchFamily="18" charset="0"/>
                    </a:rPr>
                    <m:t>(</m:t>
                  </m:r>
                  <m:r>
                    <a:rPr lang="en-ZA" sz="1000" b="0" i="1">
                      <a:latin typeface="Cambria Math" panose="02040503050406030204" pitchFamily="18" charset="0"/>
                    </a:rPr>
                    <m:t>𝑊</m:t>
                  </m:r>
                </m:oMath>
              </a14:m>
              <a:r>
                <a:rPr lang="en-ZA" sz="1000"/>
                <a:t>)</a:t>
              </a:r>
            </a:p>
          </xdr:txBody>
        </xdr:sp>
      </mc:Choice>
      <mc:Fallback xmlns=""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7EEA7B42-60F7-4669-87EF-8618CF18AA96}"/>
                </a:ext>
              </a:extLst>
            </xdr:cNvPr>
            <xdr:cNvSpPr txBox="1"/>
          </xdr:nvSpPr>
          <xdr:spPr>
            <a:xfrm>
              <a:off x="1314450" y="13430250"/>
              <a:ext cx="218842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(𝑊</a:t>
              </a:r>
              <a:r>
                <a:rPr lang="en-ZA" sz="1000"/>
                <a:t>)</a:t>
              </a:r>
            </a:p>
          </xdr:txBody>
        </xdr:sp>
      </mc:Fallback>
    </mc:AlternateContent>
    <xdr:clientData/>
  </xdr:oneCellAnchor>
  <xdr:oneCellAnchor>
    <xdr:from>
      <xdr:col>1</xdr:col>
      <xdr:colOff>1323975</xdr:colOff>
      <xdr:row>108</xdr:row>
      <xdr:rowOff>161925</xdr:rowOff>
    </xdr:from>
    <xdr:ext cx="24166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B0233EDA-4FCB-4126-9F61-145D0369318E}"/>
                </a:ext>
              </a:extLst>
            </xdr:cNvPr>
            <xdr:cNvSpPr txBox="1"/>
          </xdr:nvSpPr>
          <xdr:spPr>
            <a:xfrm>
              <a:off x="1571625" y="13658850"/>
              <a:ext cx="24166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31" name="TextBox 130">
              <a:extLst>
                <a:ext uri="{FF2B5EF4-FFF2-40B4-BE49-F238E27FC236}">
                  <a16:creationId xmlns:a16="http://schemas.microsoft.com/office/drawing/2014/main" id="{B0233EDA-4FCB-4126-9F61-145D0369318E}"/>
                </a:ext>
              </a:extLst>
            </xdr:cNvPr>
            <xdr:cNvSpPr txBox="1"/>
          </xdr:nvSpPr>
          <xdr:spPr>
            <a:xfrm>
              <a:off x="1571625" y="13658850"/>
              <a:ext cx="24166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(𝑉)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1323975</xdr:colOff>
      <xdr:row>100</xdr:row>
      <xdr:rowOff>28575</xdr:rowOff>
    </xdr:from>
    <xdr:ext cx="2884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TextBox 134">
              <a:extLst>
                <a:ext uri="{FF2B5EF4-FFF2-40B4-BE49-F238E27FC236}">
                  <a16:creationId xmlns:a16="http://schemas.microsoft.com/office/drawing/2014/main" id="{AE711114-985C-4D95-9276-1A2723FC37F5}"/>
                </a:ext>
              </a:extLst>
            </xdr:cNvPr>
            <xdr:cNvSpPr txBox="1"/>
          </xdr:nvSpPr>
          <xdr:spPr>
            <a:xfrm>
              <a:off x="1571625" y="12392025"/>
              <a:ext cx="2884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35" name="TextBox 134">
              <a:extLst>
                <a:ext uri="{FF2B5EF4-FFF2-40B4-BE49-F238E27FC236}">
                  <a16:creationId xmlns:a16="http://schemas.microsoft.com/office/drawing/2014/main" id="{AE711114-985C-4D95-9276-1A2723FC37F5}"/>
                </a:ext>
              </a:extLst>
            </xdr:cNvPr>
            <xdr:cNvSpPr txBox="1"/>
          </xdr:nvSpPr>
          <xdr:spPr>
            <a:xfrm>
              <a:off x="1571625" y="12392025"/>
              <a:ext cx="2884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〖(𝑑〗_𝑠)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1238250</xdr:colOff>
      <xdr:row>105</xdr:row>
      <xdr:rowOff>133350</xdr:rowOff>
    </xdr:from>
    <xdr:ext cx="28796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6" name="TextBox 135">
              <a:extLst>
                <a:ext uri="{FF2B5EF4-FFF2-40B4-BE49-F238E27FC236}">
                  <a16:creationId xmlns:a16="http://schemas.microsoft.com/office/drawing/2014/main" id="{DE1C84E4-630A-4535-BED9-8D0AACF9CF0A}"/>
                </a:ext>
              </a:extLst>
            </xdr:cNvPr>
            <xdr:cNvSpPr txBox="1"/>
          </xdr:nvSpPr>
          <xdr:spPr>
            <a:xfrm>
              <a:off x="1485900" y="13144500"/>
              <a:ext cx="2879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36" name="TextBox 135">
              <a:extLst>
                <a:ext uri="{FF2B5EF4-FFF2-40B4-BE49-F238E27FC236}">
                  <a16:creationId xmlns:a16="http://schemas.microsoft.com/office/drawing/2014/main" id="{DE1C84E4-630A-4535-BED9-8D0AACF9CF0A}"/>
                </a:ext>
              </a:extLst>
            </xdr:cNvPr>
            <xdr:cNvSpPr txBox="1"/>
          </xdr:nvSpPr>
          <xdr:spPr>
            <a:xfrm>
              <a:off x="1485900" y="13144500"/>
              <a:ext cx="28796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〖(𝑇〗_𝑏)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2</xdr:col>
      <xdr:colOff>95249</xdr:colOff>
      <xdr:row>94</xdr:row>
      <xdr:rowOff>9525</xdr:rowOff>
    </xdr:from>
    <xdr:ext cx="409575" cy="288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TextBox 136">
              <a:extLst>
                <a:ext uri="{FF2B5EF4-FFF2-40B4-BE49-F238E27FC236}">
                  <a16:creationId xmlns:a16="http://schemas.microsoft.com/office/drawing/2014/main" id="{D10CB3FC-4518-4D5E-801B-956A7D0AF500}"/>
                </a:ext>
              </a:extLst>
            </xdr:cNvPr>
            <xdr:cNvSpPr txBox="1"/>
          </xdr:nvSpPr>
          <xdr:spPr>
            <a:xfrm>
              <a:off x="2486024" y="11391900"/>
              <a:ext cx="40957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ZA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4.6</m:t>
                        </m:r>
                      </m:den>
                    </m:f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37" name="TextBox 136">
              <a:extLst>
                <a:ext uri="{FF2B5EF4-FFF2-40B4-BE49-F238E27FC236}">
                  <a16:creationId xmlns:a16="http://schemas.microsoft.com/office/drawing/2014/main" id="{D10CB3FC-4518-4D5E-801B-956A7D0AF500}"/>
                </a:ext>
              </a:extLst>
            </xdr:cNvPr>
            <xdr:cNvSpPr txBox="1"/>
          </xdr:nvSpPr>
          <xdr:spPr>
            <a:xfrm>
              <a:off x="2486024" y="11391900"/>
              <a:ext cx="409575" cy="288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(𝐿/4.6)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114300</xdr:colOff>
      <xdr:row>96</xdr:row>
      <xdr:rowOff>19050</xdr:rowOff>
    </xdr:from>
    <xdr:ext cx="314325" cy="2871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5ED0D5B2-46EF-42C4-91E2-E0810FB24C29}"/>
                </a:ext>
              </a:extLst>
            </xdr:cNvPr>
            <xdr:cNvSpPr txBox="1"/>
          </xdr:nvSpPr>
          <xdr:spPr>
            <a:xfrm>
              <a:off x="2505075" y="11696700"/>
              <a:ext cx="314325" cy="287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ZA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𝐷</m:t>
                        </m:r>
                      </m:num>
                      <m:den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2.2</m:t>
                        </m:r>
                      </m:den>
                    </m:f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39" name="TextBox 138">
              <a:extLst>
                <a:ext uri="{FF2B5EF4-FFF2-40B4-BE49-F238E27FC236}">
                  <a16:creationId xmlns:a16="http://schemas.microsoft.com/office/drawing/2014/main" id="{5ED0D5B2-46EF-42C4-91E2-E0810FB24C29}"/>
                </a:ext>
              </a:extLst>
            </xdr:cNvPr>
            <xdr:cNvSpPr txBox="1"/>
          </xdr:nvSpPr>
          <xdr:spPr>
            <a:xfrm>
              <a:off x="2505075" y="11696700"/>
              <a:ext cx="314325" cy="287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(𝐷/2.2)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38100</xdr:colOff>
      <xdr:row>98</xdr:row>
      <xdr:rowOff>0</xdr:rowOff>
    </xdr:from>
    <xdr:ext cx="445635" cy="288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0" name="TextBox 139">
              <a:extLst>
                <a:ext uri="{FF2B5EF4-FFF2-40B4-BE49-F238E27FC236}">
                  <a16:creationId xmlns:a16="http://schemas.microsoft.com/office/drawing/2014/main" id="{63FEB046-2F77-4DD1-B02C-34B320018EA9}"/>
                </a:ext>
              </a:extLst>
            </xdr:cNvPr>
            <xdr:cNvSpPr txBox="1"/>
          </xdr:nvSpPr>
          <xdr:spPr>
            <a:xfrm>
              <a:off x="2428875" y="11972925"/>
              <a:ext cx="445635" cy="288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ZA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𝐿</m:t>
                        </m:r>
                      </m:num>
                      <m:den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1.235</m:t>
                        </m:r>
                      </m:den>
                    </m:f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0" name="TextBox 139">
              <a:extLst>
                <a:ext uri="{FF2B5EF4-FFF2-40B4-BE49-F238E27FC236}">
                  <a16:creationId xmlns:a16="http://schemas.microsoft.com/office/drawing/2014/main" id="{63FEB046-2F77-4DD1-B02C-34B320018EA9}"/>
                </a:ext>
              </a:extLst>
            </xdr:cNvPr>
            <xdr:cNvSpPr txBox="1"/>
          </xdr:nvSpPr>
          <xdr:spPr>
            <a:xfrm>
              <a:off x="2428875" y="11972925"/>
              <a:ext cx="445635" cy="288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(𝐿/1.235)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38100</xdr:colOff>
      <xdr:row>100</xdr:row>
      <xdr:rowOff>38100</xdr:rowOff>
    </xdr:from>
    <xdr:ext cx="500906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1" name="TextBox 140">
              <a:extLst>
                <a:ext uri="{FF2B5EF4-FFF2-40B4-BE49-F238E27FC236}">
                  <a16:creationId xmlns:a16="http://schemas.microsoft.com/office/drawing/2014/main" id="{FCF3BE80-F113-4F57-B8A8-6A206CAEB375}"/>
                </a:ext>
              </a:extLst>
            </xdr:cNvPr>
            <xdr:cNvSpPr txBox="1"/>
          </xdr:nvSpPr>
          <xdr:spPr>
            <a:xfrm>
              <a:off x="1657350" y="12401550"/>
              <a:ext cx="500906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(0.2∗</m:t>
                    </m:r>
                    <m:r>
                      <a:rPr lang="en-ZA" sz="10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ZA" sz="10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141" name="TextBox 140">
              <a:extLst>
                <a:ext uri="{FF2B5EF4-FFF2-40B4-BE49-F238E27FC236}">
                  <a16:creationId xmlns:a16="http://schemas.microsoft.com/office/drawing/2014/main" id="{FCF3BE80-F113-4F57-B8A8-6A206CAEB375}"/>
                </a:ext>
              </a:extLst>
            </xdr:cNvPr>
            <xdr:cNvSpPr txBox="1"/>
          </xdr:nvSpPr>
          <xdr:spPr>
            <a:xfrm>
              <a:off x="1657350" y="12401550"/>
              <a:ext cx="500906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(0.2∗𝑑)</a:t>
              </a:r>
              <a:endParaRPr lang="en-ZA" sz="10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114300</xdr:colOff>
      <xdr:row>102</xdr:row>
      <xdr:rowOff>133350</xdr:rowOff>
    </xdr:from>
    <xdr:ext cx="244939" cy="288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2" name="TextBox 141">
              <a:extLst>
                <a:ext uri="{FF2B5EF4-FFF2-40B4-BE49-F238E27FC236}">
                  <a16:creationId xmlns:a16="http://schemas.microsoft.com/office/drawing/2014/main" id="{BE9478E5-45F0-4272-99E6-F2D0C092B7E6}"/>
                </a:ext>
              </a:extLst>
            </xdr:cNvPr>
            <xdr:cNvSpPr txBox="1"/>
          </xdr:nvSpPr>
          <xdr:spPr>
            <a:xfrm>
              <a:off x="2505075" y="12725400"/>
              <a:ext cx="244939" cy="288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ZA" sz="1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1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10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e>
                          <m:sub>
                            <m:r>
                              <a:rPr lang="en-ZA" sz="10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𝑆</m:t>
                        </m:r>
                      </m:den>
                    </m:f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2" name="TextBox 141">
              <a:extLst>
                <a:ext uri="{FF2B5EF4-FFF2-40B4-BE49-F238E27FC236}">
                  <a16:creationId xmlns:a16="http://schemas.microsoft.com/office/drawing/2014/main" id="{BE9478E5-45F0-4272-99E6-F2D0C092B7E6}"/>
                </a:ext>
              </a:extLst>
            </xdr:cNvPr>
            <xdr:cNvSpPr txBox="1"/>
          </xdr:nvSpPr>
          <xdr:spPr>
            <a:xfrm>
              <a:off x="2505075" y="12725400"/>
              <a:ext cx="244939" cy="288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(𝐿_𝑖/𝑆)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38100</xdr:colOff>
      <xdr:row>105</xdr:row>
      <xdr:rowOff>0</xdr:rowOff>
    </xdr:from>
    <xdr:ext cx="571887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88BFD623-53C4-47CE-8DCE-96B64DA87DF4}"/>
                </a:ext>
              </a:extLst>
            </xdr:cNvPr>
            <xdr:cNvSpPr txBox="1"/>
          </xdr:nvSpPr>
          <xdr:spPr>
            <a:xfrm>
              <a:off x="1657350" y="13011150"/>
              <a:ext cx="571887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(0.05∗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3" name="TextBox 142">
              <a:extLst>
                <a:ext uri="{FF2B5EF4-FFF2-40B4-BE49-F238E27FC236}">
                  <a16:creationId xmlns:a16="http://schemas.microsoft.com/office/drawing/2014/main" id="{88BFD623-53C4-47CE-8DCE-96B64DA87DF4}"/>
                </a:ext>
              </a:extLst>
            </xdr:cNvPr>
            <xdr:cNvSpPr txBox="1"/>
          </xdr:nvSpPr>
          <xdr:spPr>
            <a:xfrm>
              <a:off x="1657350" y="13011150"/>
              <a:ext cx="571887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(0.05∗𝑑)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0</xdr:colOff>
      <xdr:row>105</xdr:row>
      <xdr:rowOff>152400</xdr:rowOff>
    </xdr:from>
    <xdr:ext cx="626069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795EE7BB-EC4E-4202-A653-EC291306A3D3}"/>
                </a:ext>
              </a:extLst>
            </xdr:cNvPr>
            <xdr:cNvSpPr txBox="1"/>
          </xdr:nvSpPr>
          <xdr:spPr>
            <a:xfrm>
              <a:off x="2390775" y="13258800"/>
              <a:ext cx="626069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(4 % 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𝑜𝑓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4" name="TextBox 143">
              <a:extLst>
                <a:ext uri="{FF2B5EF4-FFF2-40B4-BE49-F238E27FC236}">
                  <a16:creationId xmlns:a16="http://schemas.microsoft.com/office/drawing/2014/main" id="{795EE7BB-EC4E-4202-A653-EC291306A3D3}"/>
                </a:ext>
              </a:extLst>
            </xdr:cNvPr>
            <xdr:cNvSpPr txBox="1"/>
          </xdr:nvSpPr>
          <xdr:spPr>
            <a:xfrm>
              <a:off x="2390775" y="13258800"/>
              <a:ext cx="626069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(4 % 𝑜𝑓 𝑑)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0</xdr:colOff>
      <xdr:row>107</xdr:row>
      <xdr:rowOff>0</xdr:rowOff>
    </xdr:from>
    <xdr:ext cx="627158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7B26090F-45FE-450C-91AB-240A2DF70DA5}"/>
                </a:ext>
              </a:extLst>
            </xdr:cNvPr>
            <xdr:cNvSpPr txBox="1"/>
          </xdr:nvSpPr>
          <xdr:spPr>
            <a:xfrm>
              <a:off x="2390775" y="13430250"/>
              <a:ext cx="627158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𝑑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ZA" sz="1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ZA" sz="1000" b="0" i="1">
                            <a:latin typeface="Cambria Math" panose="02040503050406030204" pitchFamily="18" charset="0"/>
                          </a:rPr>
                          <m:t>𝑠</m:t>
                        </m:r>
                      </m:sub>
                    </m:sSub>
                    <m:r>
                      <a:rPr lang="en-ZA" sz="1000" b="0" i="1">
                        <a:latin typeface="Cambria Math" panose="02040503050406030204" pitchFamily="18" charset="0"/>
                      </a:rPr>
                      <m:t>)/2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5" name="TextBox 144">
              <a:extLst>
                <a:ext uri="{FF2B5EF4-FFF2-40B4-BE49-F238E27FC236}">
                  <a16:creationId xmlns:a16="http://schemas.microsoft.com/office/drawing/2014/main" id="{7B26090F-45FE-450C-91AB-240A2DF70DA5}"/>
                </a:ext>
              </a:extLst>
            </xdr:cNvPr>
            <xdr:cNvSpPr txBox="1"/>
          </xdr:nvSpPr>
          <xdr:spPr>
            <a:xfrm>
              <a:off x="2390775" y="13430250"/>
              <a:ext cx="627158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(𝑑−𝑑_𝑠)/2</a:t>
              </a:r>
              <a:endParaRPr lang="en-ZA" sz="1000"/>
            </a:p>
          </xdr:txBody>
        </xdr:sp>
      </mc:Fallback>
    </mc:AlternateContent>
    <xdr:clientData/>
  </xdr:oneCellAnchor>
  <xdr:oneCellAnchor>
    <xdr:from>
      <xdr:col>2</xdr:col>
      <xdr:colOff>142875</xdr:colOff>
      <xdr:row>93</xdr:row>
      <xdr:rowOff>0</xdr:rowOff>
    </xdr:from>
    <xdr:ext cx="342900" cy="1565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BCEC5586-4ADA-4C50-A8B9-B7B1D394F142}"/>
                </a:ext>
              </a:extLst>
            </xdr:cNvPr>
            <xdr:cNvSpPr txBox="1"/>
          </xdr:nvSpPr>
          <xdr:spPr>
            <a:xfrm>
              <a:off x="2533650" y="11220450"/>
              <a:ext cx="342900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𝐿</m:t>
                    </m:r>
                    <m:r>
                      <a:rPr lang="en-ZA" sz="10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000"/>
            </a:p>
          </xdr:txBody>
        </xdr:sp>
      </mc:Choice>
      <mc:Fallback xmlns="">
        <xdr:sp macro="" textlink="">
          <xdr:nvSpPr>
            <xdr:cNvPr id="146" name="TextBox 145">
              <a:extLst>
                <a:ext uri="{FF2B5EF4-FFF2-40B4-BE49-F238E27FC236}">
                  <a16:creationId xmlns:a16="http://schemas.microsoft.com/office/drawing/2014/main" id="{BCEC5586-4ADA-4C50-A8B9-B7B1D394F142}"/>
                </a:ext>
              </a:extLst>
            </xdr:cNvPr>
            <xdr:cNvSpPr txBox="1"/>
          </xdr:nvSpPr>
          <xdr:spPr>
            <a:xfrm>
              <a:off x="2533650" y="11220450"/>
              <a:ext cx="342900" cy="1565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ZA" sz="1000" b="0" i="0">
                  <a:latin typeface="Cambria Math" panose="02040503050406030204" pitchFamily="18" charset="0"/>
                </a:rPr>
                <a:t>(𝐿)</a:t>
              </a:r>
              <a:endParaRPr lang="en-ZA" sz="10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5</xdr:row>
      <xdr:rowOff>152400</xdr:rowOff>
    </xdr:from>
    <xdr:to>
      <xdr:col>12</xdr:col>
      <xdr:colOff>290249</xdr:colOff>
      <xdr:row>9</xdr:row>
      <xdr:rowOff>80700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9886949" y="1047750"/>
          <a:ext cx="576000" cy="57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10</xdr:col>
      <xdr:colOff>485775</xdr:colOff>
      <xdr:row>3</xdr:row>
      <xdr:rowOff>152400</xdr:rowOff>
    </xdr:from>
    <xdr:to>
      <xdr:col>13</xdr:col>
      <xdr:colOff>21750</xdr:colOff>
      <xdr:row>11</xdr:row>
      <xdr:rowOff>50325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544050" y="714375"/>
          <a:ext cx="1260000" cy="126000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40800</xdr:colOff>
      <xdr:row>7</xdr:row>
      <xdr:rowOff>123825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9563100" y="1343025"/>
          <a:ext cx="1260000" cy="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333375</xdr:colOff>
      <xdr:row>8</xdr:row>
      <xdr:rowOff>19050</xdr:rowOff>
    </xdr:from>
    <xdr:to>
      <xdr:col>13</xdr:col>
      <xdr:colOff>446175</xdr:colOff>
      <xdr:row>8</xdr:row>
      <xdr:rowOff>19050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9896475" y="1400175"/>
          <a:ext cx="1332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438150</xdr:colOff>
      <xdr:row>9</xdr:row>
      <xdr:rowOff>38100</xdr:rowOff>
    </xdr:from>
    <xdr:to>
      <xdr:col>13</xdr:col>
      <xdr:colOff>478950</xdr:colOff>
      <xdr:row>9</xdr:row>
      <xdr:rowOff>38100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0001250" y="1581150"/>
          <a:ext cx="1260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5</xdr:row>
      <xdr:rowOff>38100</xdr:rowOff>
    </xdr:from>
    <xdr:to>
      <xdr:col>13</xdr:col>
      <xdr:colOff>434550</xdr:colOff>
      <xdr:row>5</xdr:row>
      <xdr:rowOff>38100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848850" y="933450"/>
          <a:ext cx="1368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328333</xdr:colOff>
      <xdr:row>6</xdr:row>
      <xdr:rowOff>123825</xdr:rowOff>
    </xdr:from>
    <xdr:to>
      <xdr:col>13</xdr:col>
      <xdr:colOff>441133</xdr:colOff>
      <xdr:row>6</xdr:row>
      <xdr:rowOff>123825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1847980" y="1165972"/>
          <a:ext cx="1323035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10875</xdr:colOff>
      <xdr:row>5</xdr:row>
      <xdr:rowOff>158775</xdr:rowOff>
    </xdr:from>
    <xdr:to>
      <xdr:col>12</xdr:col>
      <xdr:colOff>10875</xdr:colOff>
      <xdr:row>9</xdr:row>
      <xdr:rowOff>87075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rot="16200000">
          <a:off x="9895575" y="1342125"/>
          <a:ext cx="576000" cy="0"/>
        </a:xfrm>
        <a:prstGeom prst="line">
          <a:avLst/>
        </a:prstGeom>
        <a:ln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457200</xdr:colOff>
      <xdr:row>8</xdr:row>
      <xdr:rowOff>66675</xdr:rowOff>
    </xdr:from>
    <xdr:ext cx="704937" cy="2398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239500" y="1447800"/>
          <a:ext cx="70493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4 % (1 L)</a:t>
          </a:r>
        </a:p>
      </xdr:txBody>
    </xdr:sp>
    <xdr:clientData/>
  </xdr:oneCellAnchor>
  <xdr:oneCellAnchor>
    <xdr:from>
      <xdr:col>13</xdr:col>
      <xdr:colOff>447675</xdr:colOff>
      <xdr:row>7</xdr:row>
      <xdr:rowOff>57150</xdr:rowOff>
    </xdr:from>
    <xdr:ext cx="776238" cy="23980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229975" y="1276350"/>
          <a:ext cx="776238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42 % (2 L)</a:t>
          </a:r>
        </a:p>
      </xdr:txBody>
    </xdr:sp>
    <xdr:clientData/>
  </xdr:oneCellAnchor>
  <xdr:oneCellAnchor>
    <xdr:from>
      <xdr:col>13</xdr:col>
      <xdr:colOff>428625</xdr:colOff>
      <xdr:row>5</xdr:row>
      <xdr:rowOff>133350</xdr:rowOff>
    </xdr:from>
    <xdr:ext cx="776238" cy="23980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210925" y="1028700"/>
          <a:ext cx="776238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79 % (3 L)</a:t>
          </a:r>
        </a:p>
      </xdr:txBody>
    </xdr:sp>
    <xdr:clientData/>
  </xdr:oneCellAnchor>
  <xdr:oneCellAnchor>
    <xdr:from>
      <xdr:col>13</xdr:col>
      <xdr:colOff>447675</xdr:colOff>
      <xdr:row>4</xdr:row>
      <xdr:rowOff>38100</xdr:rowOff>
    </xdr:from>
    <xdr:ext cx="1343025" cy="23980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229975" y="771525"/>
          <a:ext cx="13430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Fully</a:t>
          </a:r>
          <a:r>
            <a:rPr lang="en-ZA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immersed</a:t>
          </a:r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(4 L)</a:t>
          </a:r>
        </a:p>
      </xdr:txBody>
    </xdr:sp>
    <xdr:clientData/>
  </xdr:oneCellAnchor>
  <xdr:twoCellAnchor>
    <xdr:from>
      <xdr:col>10</xdr:col>
      <xdr:colOff>495300</xdr:colOff>
      <xdr:row>12</xdr:row>
      <xdr:rowOff>85725</xdr:rowOff>
    </xdr:from>
    <xdr:to>
      <xdr:col>11</xdr:col>
      <xdr:colOff>602475</xdr:colOff>
      <xdr:row>12</xdr:row>
      <xdr:rowOff>85725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9553575" y="2181225"/>
          <a:ext cx="612000" cy="0"/>
        </a:xfrm>
        <a:prstGeom prst="line">
          <a:avLst/>
        </a:prstGeom>
        <a:ln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18150</xdr:colOff>
      <xdr:row>13</xdr:row>
      <xdr:rowOff>94350</xdr:rowOff>
    </xdr:from>
    <xdr:to>
      <xdr:col>11</xdr:col>
      <xdr:colOff>594150</xdr:colOff>
      <xdr:row>13</xdr:row>
      <xdr:rowOff>94350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9581250" y="2351775"/>
          <a:ext cx="576000" cy="0"/>
        </a:xfrm>
        <a:prstGeom prst="line">
          <a:avLst/>
        </a:prstGeom>
        <a:ln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7</xdr:row>
      <xdr:rowOff>85725</xdr:rowOff>
    </xdr:from>
    <xdr:to>
      <xdr:col>10</xdr:col>
      <xdr:colOff>190500</xdr:colOff>
      <xdr:row>11</xdr:row>
      <xdr:rowOff>57150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096500" y="1304925"/>
          <a:ext cx="0" cy="67627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7</xdr:row>
      <xdr:rowOff>76200</xdr:rowOff>
    </xdr:from>
    <xdr:to>
      <xdr:col>10</xdr:col>
      <xdr:colOff>276225</xdr:colOff>
      <xdr:row>9</xdr:row>
      <xdr:rowOff>104775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0182225" y="1295400"/>
          <a:ext cx="0" cy="3524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10</xdr:row>
      <xdr:rowOff>9525</xdr:rowOff>
    </xdr:from>
    <xdr:to>
      <xdr:col>12</xdr:col>
      <xdr:colOff>76200</xdr:colOff>
      <xdr:row>10</xdr:row>
      <xdr:rowOff>190500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0048875" y="1724025"/>
          <a:ext cx="161925" cy="180975"/>
        </a:xfrm>
        <a:prstGeom prst="ellipse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12</xdr:col>
      <xdr:colOff>76200</xdr:colOff>
      <xdr:row>10</xdr:row>
      <xdr:rowOff>100013</xdr:rowOff>
    </xdr:from>
    <xdr:to>
      <xdr:col>14</xdr:col>
      <xdr:colOff>5775</xdr:colOff>
      <xdr:row>10</xdr:row>
      <xdr:rowOff>100013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stCxn id="28" idx="6"/>
        </xdr:cNvCxnSpPr>
      </xdr:nvCxnSpPr>
      <xdr:spPr>
        <a:xfrm>
          <a:off x="10210800" y="1814513"/>
          <a:ext cx="10440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33618</xdr:colOff>
      <xdr:row>7</xdr:row>
      <xdr:rowOff>112058</xdr:rowOff>
    </xdr:from>
    <xdr:to>
      <xdr:col>6</xdr:col>
      <xdr:colOff>983289</xdr:colOff>
      <xdr:row>16</xdr:row>
      <xdr:rowOff>154867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090147" y="1311087"/>
          <a:ext cx="2966730" cy="1578015"/>
          <a:chOff x="3641913" y="1333499"/>
          <a:chExt cx="2966729" cy="157801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41913" y="1344706"/>
            <a:ext cx="1481456" cy="1566808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121089" y="1333499"/>
            <a:ext cx="1487553" cy="1572904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24653</xdr:colOff>
      <xdr:row>23</xdr:row>
      <xdr:rowOff>58271</xdr:rowOff>
    </xdr:from>
    <xdr:ext cx="512000" cy="2436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2075329" y="3935506"/>
              <a:ext cx="512000" cy="2436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𝑳</m:t>
                      </m:r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 </m:t>
                      </m:r>
                    </m:sub>
                  </m:sSub>
                </m:oMath>
              </a14:m>
              <a:r>
                <a:rPr lang="en-ZA" sz="1100" b="1">
                  <a:solidFill>
                    <a:sysClr val="windowText" lastClr="000000"/>
                  </a:solidFill>
                </a:rPr>
                <a:t>&lt; </a:t>
              </a:r>
              <a14:m>
                <m:oMath xmlns:m="http://schemas.openxmlformats.org/officeDocument/2006/math">
                  <m:f>
                    <m:fPr>
                      <m:ctrlP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𝟏</m:t>
                      </m:r>
                    </m:num>
                    <m:den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𝟐</m:t>
                      </m:r>
                    </m:den>
                  </m:f>
                </m:oMath>
              </a14:m>
              <a:r>
                <a:rPr lang="en-ZA" sz="1100" b="1">
                  <a:solidFill>
                    <a:sysClr val="windowText" lastClr="000000"/>
                  </a:solidFill>
                </a:rPr>
                <a:t> V </a:t>
              </a:r>
              <a:endParaRPr lang="en-ZA" sz="1100" b="1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075329" y="3935506"/>
              <a:ext cx="512000" cy="2436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𝑽_(𝑳  )</a:t>
              </a:r>
              <a:r>
                <a:rPr lang="en-ZA" sz="1100" b="1">
                  <a:solidFill>
                    <a:sysClr val="windowText" lastClr="000000"/>
                  </a:solidFill>
                </a:rPr>
                <a:t>&lt; </a:t>
              </a:r>
              <a:r>
                <a:rPr lang="en-ZA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𝟏/𝟐</a:t>
              </a:r>
              <a:r>
                <a:rPr lang="en-ZA" sz="1100" b="1">
                  <a:solidFill>
                    <a:sysClr val="windowText" lastClr="000000"/>
                  </a:solidFill>
                </a:rPr>
                <a:t> V 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</xdr:col>
      <xdr:colOff>13446</xdr:colOff>
      <xdr:row>25</xdr:row>
      <xdr:rowOff>13447</xdr:rowOff>
    </xdr:from>
    <xdr:ext cx="1097416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7240" y="4249271"/>
          <a:ext cx="109741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l-GR" sz="1100">
              <a:latin typeface="Calibri" panose="020F0502020204030204" pitchFamily="34" charset="0"/>
            </a:rPr>
            <a:t>θ</a:t>
          </a:r>
          <a:r>
            <a:rPr lang="en-ZA" sz="1100">
              <a:latin typeface="Calibri" panose="020F0502020204030204" pitchFamily="34" charset="0"/>
            </a:rPr>
            <a:t> = 2arccos(r - h /r)</a:t>
          </a:r>
          <a:endParaRPr lang="en-ZA" sz="1100"/>
        </a:p>
      </xdr:txBody>
    </xdr:sp>
    <xdr:clientData/>
  </xdr:oneCellAnchor>
  <xdr:oneCellAnchor>
    <xdr:from>
      <xdr:col>1</xdr:col>
      <xdr:colOff>100853</xdr:colOff>
      <xdr:row>27</xdr:row>
      <xdr:rowOff>112059</xdr:rowOff>
    </xdr:from>
    <xdr:ext cx="7255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994647" y="4695265"/>
              <a:ext cx="7255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𝑽</m:t>
                      </m:r>
                    </m:e>
                    <m:sub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𝑳</m:t>
                      </m:r>
                      <m:r>
                        <a:rPr lang="en-ZA" sz="11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 </m:t>
                      </m:r>
                    </m:sub>
                  </m:sSub>
                  <m:r>
                    <a:rPr lang="en-ZA" sz="11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</m:t>
                  </m:r>
                  <m:r>
                    <a:rPr lang="en-ZA" sz="11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𝐊</m:t>
                  </m:r>
                  <m:r>
                    <a:rPr lang="en-ZA" sz="11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∗</m:t>
                  </m:r>
                  <m:r>
                    <a:rPr lang="en-ZA" sz="11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𝐋</m:t>
                  </m:r>
                </m:oMath>
              </a14:m>
              <a:r>
                <a:rPr lang="en-ZA" sz="1100" b="1">
                  <a:solidFill>
                    <a:sysClr val="windowText" lastClr="000000"/>
                  </a:solidFill>
                </a:rPr>
                <a:t> </a:t>
              </a:r>
              <a:endParaRPr lang="en-ZA" sz="1100" b="1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994647" y="4695265"/>
              <a:ext cx="7255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𝑽_(𝑳  )=𝐊∗𝐋</a:t>
              </a:r>
              <a:r>
                <a:rPr lang="en-ZA" sz="1100" b="1">
                  <a:solidFill>
                    <a:sysClr val="windowText" lastClr="000000"/>
                  </a:solidFill>
                </a:rPr>
                <a:t> 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</xdr:col>
      <xdr:colOff>114300</xdr:colOff>
      <xdr:row>28</xdr:row>
      <xdr:rowOff>125506</xdr:rowOff>
    </xdr:from>
    <xdr:ext cx="1151965" cy="4011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2008094" y="4865594"/>
              <a:ext cx="1151965" cy="401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𝐾</m:t>
                    </m:r>
                    <m:r>
                      <a:rPr lang="en-ZA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Z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ZA" sz="1100" i="1">
                                <a:latin typeface="Cambria Math" panose="02040503050406030204" pitchFamily="18" charset="0"/>
                              </a:rPr>
                              <m:t>𝑟</m:t>
                            </m:r>
                          </m:e>
                          <m:sup>
                            <m:r>
                              <a:rPr lang="en-ZA" sz="110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n-ZA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θ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𝑠𝑖𝑛</m:t>
                    </m:r>
                    <m:r>
                      <m:rPr>
                        <m:sty m:val="p"/>
                      </m:rPr>
                      <a:rPr lang="el-GR" sz="1100" b="0" i="1">
                        <a:latin typeface="Cambria Math" panose="02040503050406030204" pitchFamily="18" charset="0"/>
                      </a:rPr>
                      <m:t>θ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2008094" y="4865594"/>
              <a:ext cx="1151965" cy="4011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𝐾</a:t>
              </a:r>
              <a:r>
                <a:rPr lang="en-ZA" sz="1100" i="0">
                  <a:latin typeface="Cambria Math" panose="02040503050406030204" pitchFamily="18" charset="0"/>
                </a:rPr>
                <a:t>=𝑟^2</a:t>
              </a:r>
              <a:r>
                <a:rPr lang="en-ZA" sz="1100" b="0" i="0">
                  <a:latin typeface="Cambria Math" panose="02040503050406030204" pitchFamily="18" charset="0"/>
                </a:rPr>
                <a:t>/2(</a:t>
              </a:r>
              <a:r>
                <a:rPr lang="el-GR" sz="1100" b="0" i="0">
                  <a:latin typeface="Cambria Math" panose="02040503050406030204" pitchFamily="18" charset="0"/>
                </a:rPr>
                <a:t>θ</a:t>
              </a:r>
              <a:r>
                <a:rPr lang="en-ZA" sz="1100" b="0" i="0">
                  <a:latin typeface="Cambria Math" panose="02040503050406030204" pitchFamily="18" charset="0"/>
                </a:rPr>
                <a:t>−𝑠𝑖𝑛</a:t>
              </a:r>
              <a:r>
                <a:rPr lang="el-GR" sz="1100" b="0" i="0">
                  <a:latin typeface="Cambria Math" panose="02040503050406030204" pitchFamily="18" charset="0"/>
                </a:rPr>
                <a:t>θ</a:t>
              </a:r>
              <a:r>
                <a:rPr lang="en-ZA" sz="1100" b="0" i="0">
                  <a:latin typeface="Cambria Math" panose="02040503050406030204" pitchFamily="18" charset="0"/>
                </a:rPr>
                <a:t>)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0</xdr:col>
      <xdr:colOff>1716742</xdr:colOff>
      <xdr:row>32</xdr:row>
      <xdr:rowOff>13447</xdr:rowOff>
    </xdr:from>
    <xdr:ext cx="3312702" cy="5603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1716742" y="5381065"/>
              <a:ext cx="3312702" cy="5603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sub>
                    </m:sSub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p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begChr m:val="{"/>
                        <m:endChr m:val="}"/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p>
                              <m:sSup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Z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cos</m:t>
                                </m:r>
                              </m:e>
                              <m:sup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p>
                            </m:sSup>
                          </m:fName>
                          <m:e>
                            <m:d>
                              <m:d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h</m:t>
                                    </m:r>
                                  </m:num>
                                  <m:den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Z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func>
                                  <m:func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sSup>
                                      <m:sSup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ZA" sz="11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cos</m:t>
                                        </m:r>
                                      </m:e>
                                      <m:sup>
                                        <m: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−1</m:t>
                                        </m:r>
                                      </m:sup>
                                    </m:sSup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𝑟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num>
                                          <m:den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𝑟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</m:func>
                              </m:e>
                            </m:d>
                          </m:e>
                        </m:func>
                      </m:e>
                    </m:d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𝐿</m:t>
                    </m:r>
                  </m:oMath>
                </m:oMathPara>
              </a14:m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716742" y="5381065"/>
              <a:ext cx="3312702" cy="5603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𝑉_𝐿=𝑟^2/2 {2 cos^(−1)⁡((𝑟−ℎ)/𝑟)−sin⁡[2 cos^(−1)⁡((𝑟−ℎ)/𝑟) ] }𝐿</a:t>
              </a:r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/>
            </a:p>
          </xdr:txBody>
        </xdr:sp>
      </mc:Fallback>
    </mc:AlternateContent>
    <xdr:clientData/>
  </xdr:oneCellAnchor>
  <xdr:oneCellAnchor>
    <xdr:from>
      <xdr:col>0</xdr:col>
      <xdr:colOff>1801907</xdr:colOff>
      <xdr:row>35</xdr:row>
      <xdr:rowOff>109817</xdr:rowOff>
    </xdr:from>
    <xdr:ext cx="4616328" cy="556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1801907" y="5948082"/>
              <a:ext cx="4616328" cy="556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0.001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(0.0545)</m:t>
                            </m:r>
                          </m:e>
                          <m:sup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begChr m:val="{"/>
                        <m:endChr m:val="}"/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p>
                              <m:sSup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Z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cos</m:t>
                                </m:r>
                              </m:e>
                              <m:sup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p>
                            </m:sSup>
                          </m:fName>
                          <m:e>
                            <m:d>
                              <m:d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0.0545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h</m:t>
                                    </m:r>
                                  </m:num>
                                  <m:den>
                                    <m:r>
                                      <a:rPr lang="en-Z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0.0545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Z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func>
                                  <m:func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sSup>
                                      <m:sSup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ZA" sz="11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cos</m:t>
                                        </m:r>
                                      </m:e>
                                      <m:sup>
                                        <m: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−1</m:t>
                                        </m:r>
                                      </m:sup>
                                    </m:sSup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en-ZA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0.0545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num>
                                          <m:den>
                                            <m:r>
                                              <a:rPr lang="en-ZA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0.0545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</m:func>
                              </m:e>
                            </m:d>
                          </m:e>
                        </m:func>
                      </m:e>
                    </m:d>
                    <m:r>
                      <a:rPr lang="en-Z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0.5</m:t>
                    </m:r>
                  </m:oMath>
                </m:oMathPara>
              </a14:m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801907" y="5948082"/>
              <a:ext cx="4616328" cy="5560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0.001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(0.0545)〗^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2/2 {2 cos^(−1)⁡((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0.0545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−ℎ)/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0.0545)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−sin⁡[2 cos^(−1)⁡((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0.0545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−ℎ)/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0.0545) ] }0.5</a:t>
              </a:r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47064</xdr:colOff>
      <xdr:row>44</xdr:row>
      <xdr:rowOff>147917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40858" y="69274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1</xdr:col>
      <xdr:colOff>80681</xdr:colOff>
      <xdr:row>44</xdr:row>
      <xdr:rowOff>125505</xdr:rowOff>
    </xdr:from>
    <xdr:ext cx="693203" cy="3202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 txBox="1"/>
          </xdr:nvSpPr>
          <xdr:spPr>
            <a:xfrm>
              <a:off x="1974475" y="7398123"/>
              <a:ext cx="693203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n-ZA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Z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𝑑</m:t>
                        </m:r>
                      </m:num>
                      <m:den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974475" y="7398123"/>
              <a:ext cx="693203" cy="3202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𝐶=  (𝐷−𝑑)/2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</xdr:col>
      <xdr:colOff>24653</xdr:colOff>
      <xdr:row>49</xdr:row>
      <xdr:rowOff>24653</xdr:rowOff>
    </xdr:from>
    <xdr:ext cx="25442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 txBox="1"/>
          </xdr:nvSpPr>
          <xdr:spPr>
            <a:xfrm>
              <a:off x="1918447" y="8104094"/>
              <a:ext cx="2544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𝐻𝐸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1918447" y="8104094"/>
              <a:ext cx="25442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0" i="0">
                  <a:latin typeface="Cambria Math" panose="02040503050406030204" pitchFamily="18" charset="0"/>
                </a:rPr>
                <a:t>𝑉_𝐻𝐸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0</xdr:col>
      <xdr:colOff>1884829</xdr:colOff>
      <xdr:row>50</xdr:row>
      <xdr:rowOff>35859</xdr:rowOff>
    </xdr:from>
    <xdr:ext cx="2680734" cy="5268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Box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 txBox="1"/>
          </xdr:nvSpPr>
          <xdr:spPr>
            <a:xfrm>
              <a:off x="1884829" y="8384241"/>
              <a:ext cx="2680734" cy="5268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𝐻𝐸</m:t>
                        </m:r>
                      </m:sub>
                    </m:sSub>
                    <m:r>
                      <a:rPr lang="en-ZA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𝜋</m:t>
                    </m:r>
                    <m:f>
                      <m:fPr>
                        <m:ctrlP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0.022</m:t>
                            </m:r>
                          </m:e>
                          <m:sup>
                            <m:r>
                              <a:rPr lang="en-ZA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×0.292</m:t>
                        </m:r>
                      </m:num>
                      <m:den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en-ZA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=0.000111  </m:t>
                    </m:r>
                    <m:sSup>
                      <m:sSupPr>
                        <m:ctrlP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p>
                        <m:r>
                          <a:rPr lang="en-ZA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ZA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7" name="TextBox 76"/>
            <xdr:cNvSpPr txBox="1"/>
          </xdr:nvSpPr>
          <xdr:spPr>
            <a:xfrm>
              <a:off x="1884829" y="8384241"/>
              <a:ext cx="2680734" cy="5268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11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𝑉_𝐻𝐸=</a:t>
              </a:r>
              <a:r>
                <a:rPr lang="en-ZA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𝜋</a:t>
              </a:r>
              <a:r>
                <a:rPr lang="en-ZA" sz="11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(〖0.022〗^2×0.292)/4=0.000111  𝑚^3</a:t>
              </a:r>
              <a:endParaRPr lang="en-ZA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ZA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0</xdr:col>
      <xdr:colOff>1873623</xdr:colOff>
      <xdr:row>53</xdr:row>
      <xdr:rowOff>13447</xdr:rowOff>
    </xdr:from>
    <xdr:ext cx="25886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TextBox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 txBox="1"/>
          </xdr:nvSpPr>
          <xdr:spPr>
            <a:xfrm>
              <a:off x="1873623" y="8944535"/>
              <a:ext cx="25886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ZA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ZA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en-ZA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</m:t>
                      </m:r>
                    </m:sub>
                  </m:sSub>
                </m:oMath>
              </a14:m>
              <a:r>
                <a:rPr lang="en-ZA" sz="1100"/>
                <a:t> =  Volume in the bioreactor (0.001) + </a:t>
              </a:r>
              <a14:m>
                <m:oMath xmlns:m="http://schemas.openxmlformats.org/officeDocument/2006/math">
                  <m:sSub>
                    <m:sSubPr>
                      <m:ctrlPr>
                        <a:rPr lang="en-ZA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ZA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</m:t>
                      </m:r>
                    </m:e>
                    <m:sub>
                      <m:r>
                        <a:rPr lang="en-ZA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𝐻𝐸</m:t>
                      </m:r>
                    </m:sub>
                  </m:sSub>
                </m:oMath>
              </a14:m>
              <a:r>
                <a:rPr lang="en-ZA" sz="1100"/>
                <a:t> </a:t>
              </a:r>
            </a:p>
          </xdr:txBody>
        </xdr:sp>
      </mc:Choice>
      <mc:Fallback xmlns="">
        <xdr:sp macro="" textlink="">
          <xdr:nvSpPr>
            <xdr:cNvPr id="78" name="TextBox 77"/>
            <xdr:cNvSpPr txBox="1"/>
          </xdr:nvSpPr>
          <xdr:spPr>
            <a:xfrm>
              <a:off x="1873623" y="8944535"/>
              <a:ext cx="25886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𝑉_𝐿</a:t>
              </a:r>
              <a:r>
                <a:rPr lang="en-ZA" sz="1100"/>
                <a:t> =  Volume in the bioreactor (0.001) + 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𝑉_𝐻𝐸</a:t>
              </a:r>
              <a:r>
                <a:rPr lang="en-ZA" sz="1100"/>
                <a:t> </a:t>
              </a:r>
            </a:p>
          </xdr:txBody>
        </xdr:sp>
      </mc:Fallback>
    </mc:AlternateContent>
    <xdr:clientData/>
  </xdr:oneCellAnchor>
  <xdr:oneCellAnchor>
    <xdr:from>
      <xdr:col>1</xdr:col>
      <xdr:colOff>80681</xdr:colOff>
      <xdr:row>58</xdr:row>
      <xdr:rowOff>13447</xdr:rowOff>
    </xdr:from>
    <xdr:ext cx="5107643" cy="4042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 txBox="1"/>
          </xdr:nvSpPr>
          <xdr:spPr>
            <a:xfrm>
              <a:off x="1974475" y="9538447"/>
              <a:ext cx="5107643" cy="404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0.001111 =</m:t>
                    </m:r>
                    <m:f>
                      <m:f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(0.0545)</m:t>
                            </m:r>
                          </m:e>
                          <m:sup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d>
                      <m:dPr>
                        <m:begChr m:val="{"/>
                        <m:endChr m:val="}"/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p>
                              <m:sSup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m:rPr>
                                    <m:sty m:val="p"/>
                                  </m:rPr>
                                  <a:rPr lang="en-ZA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cos</m:t>
                                </m:r>
                              </m:e>
                              <m:sup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−1</m:t>
                                </m:r>
                              </m:sup>
                            </m:sSup>
                          </m:fName>
                          <m:e>
                            <m:d>
                              <m:dPr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0.0545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h</m:t>
                                    </m:r>
                                  </m:num>
                                  <m:den>
                                    <m:r>
                                      <a:rPr lang="en-Z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0.0545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unc>
                          <m:func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ZA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begChr m:val="["/>
                                <m:endChr m:val="]"/>
                                <m:ctrlP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  <m:func>
                                  <m:funcPr>
                                    <m:ctrlPr>
                                      <a:rPr lang="en-ZA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uncPr>
                                  <m:fName>
                                    <m:sSup>
                                      <m:sSup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m:rPr>
                                            <m:sty m:val="p"/>
                                          </m:rPr>
                                          <a:rPr lang="en-ZA" sz="110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cos</m:t>
                                        </m:r>
                                      </m:e>
                                      <m:sup>
                                        <m: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−1</m:t>
                                        </m:r>
                                      </m:sup>
                                    </m:sSup>
                                  </m:fName>
                                  <m:e>
                                    <m:d>
                                      <m:dPr>
                                        <m:ctrlPr>
                                          <a:rPr lang="en-ZA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en-ZA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0.0545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−</m:t>
                                            </m:r>
                                            <m:r>
                                              <a:rPr lang="en-ZA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h</m:t>
                                            </m:r>
                                          </m:num>
                                          <m:den>
                                            <m:r>
                                              <a:rPr lang="en-ZA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0.0545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</m:func>
                              </m:e>
                            </m:d>
                          </m:e>
                        </m:func>
                      </m:e>
                    </m:d>
                    <m:r>
                      <a:rPr lang="en-ZA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0.5</m:t>
                    </m:r>
                  </m:oMath>
                </m:oMathPara>
              </a14:m>
              <a:endParaRPr lang="en-ZA">
                <a:effectLst/>
              </a:endParaRPr>
            </a:p>
          </xdr:txBody>
        </xdr:sp>
      </mc:Choice>
      <mc:Fallback xmlns="">
        <xdr:sp macro="" textlink="">
          <xdr:nvSpPr>
            <xdr:cNvPr id="79" name="TextBox 78"/>
            <xdr:cNvSpPr txBox="1"/>
          </xdr:nvSpPr>
          <xdr:spPr>
            <a:xfrm>
              <a:off x="1974475" y="9538447"/>
              <a:ext cx="5107643" cy="4042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eaLnBrk="1" fontAlgn="auto" latinLnBrk="0" hangingPunct="1"/>
              <a:r>
                <a:rPr lang="en-ZA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0.001111 =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(0.0545)〗^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2/2 {2 cos^(−1)⁡((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0.0545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−ℎ)/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0.0545)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−sin⁡[2 cos^(−1)⁡((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0.0545</a:t>
              </a:r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−ℎ)/</a:t>
              </a:r>
              <a:r>
                <a:rPr lang="en-Z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0.0545) ] }0.5</a:t>
              </a:r>
              <a:endParaRPr lang="en-ZA"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428064</xdr:colOff>
      <xdr:row>71</xdr:row>
      <xdr:rowOff>2240</xdr:rowOff>
    </xdr:from>
    <xdr:ext cx="2071336" cy="3213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 txBox="1"/>
          </xdr:nvSpPr>
          <xdr:spPr>
            <a:xfrm>
              <a:off x="428064" y="11925299"/>
              <a:ext cx="2071336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𝐼𝑚𝑝𝑒𝑙𝑙𝑒𝑟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𝑖𝑚𝑚𝑒𝑟𝑠𝑖𝑜𝑛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𝑟𝑎𝑡𝑖𝑜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h</m:t>
                            </m:r>
                          </m:e>
                          <m:sub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en-Z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b>
                        </m:sSub>
                      </m:num>
                      <m:den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den>
                    </m:f>
                  </m:oMath>
                </m:oMathPara>
              </a14:m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0" name="TextBox 79"/>
            <xdr:cNvSpPr txBox="1"/>
          </xdr:nvSpPr>
          <xdr:spPr>
            <a:xfrm>
              <a:off x="428064" y="11925299"/>
              <a:ext cx="2071336" cy="3213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𝐼𝑚𝑝𝑒𝑙𝑙𝑒𝑟 𝑖𝑚𝑚𝑒𝑟𝑠𝑖𝑜𝑛 𝑟𝑎𝑡𝑖𝑜=ℎ_(𝐿,𝑑)/𝑑</a:t>
              </a:r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5</xdr:row>
      <xdr:rowOff>36738</xdr:rowOff>
    </xdr:from>
    <xdr:to>
      <xdr:col>14</xdr:col>
      <xdr:colOff>272143</xdr:colOff>
      <xdr:row>19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28DBD1-0D40-45A2-A01B-620C58B27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278946</xdr:colOff>
      <xdr:row>7</xdr:row>
      <xdr:rowOff>70757</xdr:rowOff>
    </xdr:from>
    <xdr:to>
      <xdr:col>37</xdr:col>
      <xdr:colOff>428624</xdr:colOff>
      <xdr:row>25</xdr:row>
      <xdr:rowOff>78921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2D8B23-96A6-40B9-8B90-BEADCE3DA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374196</xdr:colOff>
      <xdr:row>7</xdr:row>
      <xdr:rowOff>97970</xdr:rowOff>
    </xdr:from>
    <xdr:to>
      <xdr:col>44</xdr:col>
      <xdr:colOff>47624</xdr:colOff>
      <xdr:row>25</xdr:row>
      <xdr:rowOff>106134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240403-092D-4579-B8B7-F0C4AF109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238125</xdr:colOff>
      <xdr:row>8</xdr:row>
      <xdr:rowOff>84365</xdr:rowOff>
    </xdr:from>
    <xdr:to>
      <xdr:col>50</xdr:col>
      <xdr:colOff>523875</xdr:colOff>
      <xdr:row>26</xdr:row>
      <xdr:rowOff>92529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05E227F-F526-4144-9A4E-C7DFE6179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238124</xdr:colOff>
      <xdr:row>12</xdr:row>
      <xdr:rowOff>131987</xdr:rowOff>
    </xdr:from>
    <xdr:to>
      <xdr:col>29</xdr:col>
      <xdr:colOff>197303</xdr:colOff>
      <xdr:row>30</xdr:row>
      <xdr:rowOff>140152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46ED8A-F591-4FCF-8FD9-40DA79885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189879</xdr:colOff>
      <xdr:row>0</xdr:row>
      <xdr:rowOff>51953</xdr:rowOff>
    </xdr:from>
    <xdr:to>
      <xdr:col>32</xdr:col>
      <xdr:colOff>311727</xdr:colOff>
      <xdr:row>23</xdr:row>
      <xdr:rowOff>35811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B79677-1968-4EAA-821E-407B3BD4762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19</xdr:row>
      <xdr:rowOff>58270</xdr:rowOff>
    </xdr:from>
    <xdr:ext cx="1818716" cy="3850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D42367A-5827-4DFC-995B-A1CF7B62D0F7}"/>
                </a:ext>
              </a:extLst>
            </xdr:cNvPr>
            <xdr:cNvSpPr txBox="1"/>
          </xdr:nvSpPr>
          <xdr:spPr>
            <a:xfrm>
              <a:off x="0" y="1515035"/>
              <a:ext cx="1818716" cy="3850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𝜽</m:t>
                        </m:r>
                      </m:e>
                      <m:sub>
                        <m:r>
                          <a:rPr lang="en-ZA" sz="1000" b="1" i="1"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</m:sSub>
                    <m:r>
                      <a:rPr lang="en-ZA" sz="10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𝝅</m:t>
                        </m:r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𝒏</m:t>
                            </m:r>
                          </m:e>
                          <m:sup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𝒂</m:t>
                            </m:r>
                          </m:sup>
                        </m:sSup>
                        <m:sSub>
                          <m:sSubPr>
                            <m:ctrlPr>
                              <a:rPr lang="en-ZA" sz="10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𝑵</m:t>
                            </m:r>
                          </m:e>
                          <m:sub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𝑸</m:t>
                            </m:r>
                          </m:sub>
                        </m:sSub>
                      </m:den>
                    </m:f>
                    <m:d>
                      <m:dPr>
                        <m:ctrlPr>
                          <a:rPr lang="en-ZA" sz="10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ZA" sz="1000" b="1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𝑳</m:t>
                            </m:r>
                          </m:num>
                          <m:den>
                            <m:r>
                              <a:rPr lang="en-ZA" sz="1000" b="1" i="1">
                                <a:latin typeface="Cambria Math" panose="02040503050406030204" pitchFamily="18" charset="0"/>
                              </a:rPr>
                              <m:t>𝑫</m:t>
                            </m:r>
                          </m:den>
                        </m:f>
                      </m:e>
                    </m:d>
                    <m:sSup>
                      <m:sSupPr>
                        <m:ctrlPr>
                          <a:rPr lang="en-ZA" sz="10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0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10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ZA" sz="1000" b="1" i="1">
                                    <a:latin typeface="Cambria Math" panose="02040503050406030204" pitchFamily="18" charset="0"/>
                                  </a:rPr>
                                  <m:t>𝑫</m:t>
                                </m:r>
                              </m:num>
                              <m:den>
                                <m:r>
                                  <a:rPr lang="en-ZA" sz="1000" b="1" i="1">
                                    <a:latin typeface="Cambria Math" panose="02040503050406030204" pitchFamily="18" charset="0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1000" b="1" i="1">
                            <a:latin typeface="Cambria Math" panose="02040503050406030204" pitchFamily="18" charset="0"/>
                          </a:rPr>
                          <m:t>𝟑</m:t>
                        </m:r>
                      </m:sup>
                    </m:sSup>
                    <m:sSup>
                      <m:sSupPr>
                        <m:ctrlPr>
                          <a:rPr lang="en-ZA" sz="10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0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10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1000" b="1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1000" b="1" i="1">
                                        <a:latin typeface="Cambria Math" panose="02040503050406030204" pitchFamily="18" charset="0"/>
                                      </a:rPr>
                                      <m:t>𝒉</m:t>
                                    </m:r>
                                  </m:e>
                                  <m:sub>
                                    <m:r>
                                      <a:rPr lang="en-ZA" sz="1000" b="1" i="1">
                                        <a:latin typeface="Cambria Math" panose="02040503050406030204" pitchFamily="18" charset="0"/>
                                      </a:rPr>
                                      <m:t>𝑳</m:t>
                                    </m:r>
                                    <m:r>
                                      <a:rPr lang="en-ZA" sz="1000" b="1" i="1"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n-ZA" sz="1000" b="1" i="1">
                                        <a:latin typeface="Cambria Math" panose="02040503050406030204" pitchFamily="18" charset="0"/>
                                      </a:rPr>
                                      <m:t>𝒅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1000" b="1" i="1">
                                    <a:latin typeface="Cambria Math" panose="02040503050406030204" pitchFamily="18" charset="0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1000" b="1" i="1">
                            <a:latin typeface="Cambria Math" panose="02040503050406030204" pitchFamily="18" charset="0"/>
                          </a:rPr>
                          <m:t>𝒃</m:t>
                        </m:r>
                      </m:sup>
                    </m:sSup>
                  </m:oMath>
                </m:oMathPara>
              </a14:m>
              <a:endParaRPr lang="en-ZA" sz="1000" b="1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D42367A-5827-4DFC-995B-A1CF7B62D0F7}"/>
                </a:ext>
              </a:extLst>
            </xdr:cNvPr>
            <xdr:cNvSpPr txBox="1"/>
          </xdr:nvSpPr>
          <xdr:spPr>
            <a:xfrm>
              <a:off x="0" y="1515035"/>
              <a:ext cx="1818716" cy="3850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ZA" sz="1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𝜽_</a:t>
              </a:r>
              <a:r>
                <a:rPr lang="en-ZA" sz="1000" b="1" i="0">
                  <a:latin typeface="Cambria Math" panose="02040503050406030204" pitchFamily="18" charset="0"/>
                </a:rPr>
                <a:t>𝒎=</a:t>
              </a:r>
              <a:r>
                <a:rPr lang="en-ZA" sz="1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𝝅/(</a:t>
              </a:r>
              <a:r>
                <a:rPr lang="en-ZA" sz="1000" b="1" i="0">
                  <a:latin typeface="Cambria Math" panose="02040503050406030204" pitchFamily="18" charset="0"/>
                </a:rPr>
                <a:t>𝒏^𝒂 𝑵_𝑸 ) (𝑳/𝑫) (𝑫/𝒅)^𝟑 (𝒉_(𝑳,𝒅)/𝒅)^𝒃</a:t>
              </a:r>
              <a:endParaRPr lang="en-ZA" sz="1000" b="1"/>
            </a:p>
          </xdr:txBody>
        </xdr:sp>
      </mc:Fallback>
    </mc:AlternateContent>
    <xdr:clientData/>
  </xdr:oneCellAnchor>
  <xdr:oneCellAnchor>
    <xdr:from>
      <xdr:col>9</xdr:col>
      <xdr:colOff>1</xdr:colOff>
      <xdr:row>19</xdr:row>
      <xdr:rowOff>0</xdr:rowOff>
    </xdr:from>
    <xdr:ext cx="3143250" cy="487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6B33699-2639-4F4E-9E18-19A413322BB9}"/>
                </a:ext>
              </a:extLst>
            </xdr:cNvPr>
            <xdr:cNvSpPr txBox="1"/>
          </xdr:nvSpPr>
          <xdr:spPr>
            <a:xfrm>
              <a:off x="5778501" y="2587625"/>
              <a:ext cx="3143250" cy="487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lang="en-ZA" sz="1200" b="0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sSup>
                          <m:sSup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𝑎</m:t>
                            </m:r>
                          </m:sup>
                        </m:sSup>
                        <m:sSub>
                          <m:sSub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</m:e>
                          <m:sub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𝑄</m:t>
                            </m:r>
                          </m:sub>
                        </m:sSub>
                      </m:den>
                    </m:f>
                    <m:d>
                      <m:dPr>
                        <m:ctrlP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𝐿</m:t>
                            </m:r>
                          </m:num>
                          <m:den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𝐷</m:t>
                            </m:r>
                          </m:den>
                        </m:f>
                      </m:e>
                    </m:d>
                    <m:sSup>
                      <m:sSupPr>
                        <m:ctrlP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𝐷</m:t>
                                </m:r>
                              </m:num>
                              <m:den>
                                <m: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𝑑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d>
                      <m:dPr>
                        <m:begChr m:val="["/>
                        <m:endChr m:val="]"/>
                        <m:ctrlP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ZA" sz="1200" b="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200" b="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h</m:t>
                                        </m:r>
                                      </m:e>
                                      <m:sub>
                                        <m:r>
                                          <a:rPr lang="en-ZA" sz="1200" b="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𝐿</m:t>
                                        </m:r>
                                        <m:r>
                                          <a:rPr lang="en-ZA" sz="1200" b="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,</m:t>
                                        </m:r>
                                        <m:r>
                                          <a:rPr lang="en-ZA" sz="1200" b="0" i="1">
                                            <a:solidFill>
                                              <a:sysClr val="windowText" lastClr="00000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𝑑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𝑏</m:t>
                            </m:r>
                          </m:sup>
                        </m:sSup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  <m:d>
                          <m:dPr>
                            <m:ctrlPr>
                              <a:rPr lang="en-ZA" sz="12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h</m:t>
                                    </m:r>
                                  </m:e>
                                  <m:sub>
                                    <m: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  <m: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n-ZA" sz="1200" b="0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𝑑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1200" b="0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𝑑</m:t>
                                </m:r>
                              </m:den>
                            </m:f>
                          </m:e>
                        </m:d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n-ZA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</m:d>
                  </m:oMath>
                </m:oMathPara>
              </a14:m>
              <a:endParaRPr lang="en-ZA" sz="5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6B33699-2639-4F4E-9E18-19A413322BB9}"/>
                </a:ext>
              </a:extLst>
            </xdr:cNvPr>
            <xdr:cNvSpPr txBox="1"/>
          </xdr:nvSpPr>
          <xdr:spPr>
            <a:xfrm>
              <a:off x="5778501" y="2587625"/>
              <a:ext cx="3143250" cy="487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ZA" sz="120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ZA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𝑚=</a:t>
              </a:r>
              <a:r>
                <a:rPr lang="en-ZA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𝜋/(</a:t>
              </a:r>
              <a:r>
                <a:rPr lang="en-ZA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𝑛^𝑎 𝑁_𝑄 ) (𝐿/𝐷) (𝐷/𝑑)^3 [(ℎ_(𝐿,𝑑)/𝑑)^𝑏−𝑐(ℎ_(𝐿,𝑑)/𝑑)+𝑑]</a:t>
              </a:r>
              <a:endParaRPr lang="en-ZA" sz="5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18</xdr:col>
      <xdr:colOff>1</xdr:colOff>
      <xdr:row>19</xdr:row>
      <xdr:rowOff>63500</xdr:rowOff>
    </xdr:from>
    <xdr:ext cx="2555874" cy="4364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553EED4-484A-4505-8232-F8011E07929C}"/>
                </a:ext>
              </a:extLst>
            </xdr:cNvPr>
            <xdr:cNvSpPr txBox="1"/>
          </xdr:nvSpPr>
          <xdr:spPr>
            <a:xfrm>
              <a:off x="10493376" y="2651125"/>
              <a:ext cx="2555874" cy="436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𝜽</m:t>
                        </m:r>
                      </m:e>
                      <m:sub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</m:sSub>
                    <m:r>
                      <a:rPr lang="en-ZA" sz="12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en-ZA" sz="12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𝑲</m:t>
                    </m:r>
                    <m:sSup>
                      <m:sSupPr>
                        <m:ctrlP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1200" b="1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1200" b="1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𝒉</m:t>
                                    </m:r>
                                  </m:e>
                                  <m:sub>
                                    <m:r>
                                      <a:rPr lang="en-ZA" sz="1200" b="1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𝑳</m:t>
                                    </m:r>
                                    <m:r>
                                      <a:rPr lang="en-ZA" sz="1200" b="1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,</m:t>
                                    </m:r>
                                    <m:r>
                                      <a:rPr lang="en-ZA" sz="1200" b="1" i="1">
                                        <a:solidFill>
                                          <a:sysClr val="windowText" lastClr="00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𝒅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𝒂</m:t>
                        </m:r>
                      </m:sup>
                    </m:sSup>
                    <m:sSup>
                      <m:sSupPr>
                        <m:ctrlP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𝑹𝒆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𝒃</m:t>
                        </m:r>
                      </m:sup>
                    </m:sSup>
                    <m:sSup>
                      <m:sSupPr>
                        <m:ctrlP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𝑷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𝒄</m:t>
                        </m:r>
                      </m:sup>
                    </m:sSup>
                    <m:sSup>
                      <m:sSupPr>
                        <m:ctrlP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1200" b="1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1200" b="1" i="1">
                                    <a:solidFill>
                                      <a:sysClr val="windowText" lastClr="000000"/>
                                    </a:solidFill>
                                    <a:latin typeface="Cambria Math" panose="02040503050406030204" pitchFamily="18" charset="0"/>
                                  </a:rPr>
                                  <m:t>𝑸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12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sup>
                    </m:sSup>
                  </m:oMath>
                </m:oMathPara>
              </a14:m>
              <a:endParaRPr lang="en-ZA" sz="12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B553EED4-484A-4505-8232-F8011E07929C}"/>
                </a:ext>
              </a:extLst>
            </xdr:cNvPr>
            <xdr:cNvSpPr txBox="1"/>
          </xdr:nvSpPr>
          <xdr:spPr>
            <a:xfrm>
              <a:off x="10493376" y="2651125"/>
              <a:ext cx="2555874" cy="436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ZA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𝜽_</a:t>
              </a:r>
              <a:r>
                <a:rPr lang="en-ZA" sz="12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𝒎=𝑲(𝒉_(𝑳,𝒅)/𝒅)^𝒂 (𝑵_𝑹𝒆 )^𝒃 (𝑵_𝑷 )^𝒄 (𝑵_𝑸 )^𝒅</a:t>
              </a:r>
              <a:endParaRPr lang="en-ZA" sz="12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17</xdr:col>
      <xdr:colOff>273050</xdr:colOff>
      <xdr:row>25</xdr:row>
      <xdr:rowOff>34925</xdr:rowOff>
    </xdr:from>
    <xdr:ext cx="831510" cy="1823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8ACE055D-6405-4B17-85F2-B78B9651FFA8}"/>
                </a:ext>
              </a:extLst>
            </xdr:cNvPr>
            <xdr:cNvSpPr txBox="1"/>
          </xdr:nvSpPr>
          <xdr:spPr>
            <a:xfrm>
              <a:off x="10464800" y="3638550"/>
              <a:ext cx="831510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𝑷</m:t>
                        </m:r>
                      </m:sub>
                    </m:sSub>
                    <m:sSub>
                      <m:sSubPr>
                        <m:ctrlP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𝑹𝒆</m:t>
                        </m:r>
                      </m:sub>
                    </m:sSub>
                    <m:r>
                      <a:rPr lang="en-ZA" sz="11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/</m:t>
                    </m:r>
                    <m:sSub>
                      <m:sSubPr>
                        <m:ctrlP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𝑸</m:t>
                        </m:r>
                      </m:sub>
                    </m:sSub>
                    <m:r>
                      <a:rPr lang="en-ZA" sz="11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ZA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8ACE055D-6405-4B17-85F2-B78B9651FFA8}"/>
                </a:ext>
              </a:extLst>
            </xdr:cNvPr>
            <xdr:cNvSpPr txBox="1"/>
          </xdr:nvSpPr>
          <xdr:spPr>
            <a:xfrm>
              <a:off x="10464800" y="3638550"/>
              <a:ext cx="831510" cy="182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〖(𝑵〗_𝑷 𝑵_𝑹𝒆/𝑵_𝑸)</a:t>
              </a:r>
              <a:endParaRPr lang="en-ZA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529318</xdr:colOff>
      <xdr:row>26</xdr:row>
      <xdr:rowOff>121103</xdr:rowOff>
    </xdr:from>
    <xdr:ext cx="531043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156A5E-25F1-4E8C-9C7B-B8EE1EA2D745}"/>
                </a:ext>
              </a:extLst>
            </xdr:cNvPr>
            <xdr:cNvSpPr txBox="1"/>
          </xdr:nvSpPr>
          <xdr:spPr>
            <a:xfrm>
              <a:off x="12272282" y="3713389"/>
              <a:ext cx="531043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l-GR" sz="11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𝝆</m:t>
                    </m:r>
                    <m:r>
                      <a:rPr lang="en-ZA" sz="11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𝑵</m:t>
                    </m:r>
                    <m:sSup>
                      <m:sSupPr>
                        <m:ctrlP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p>
                        <m:r>
                          <a:rPr lang="en-ZA" sz="1100" b="1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ZA" sz="1100" b="1" i="1">
                        <a:solidFill>
                          <a:sysClr val="windowText" lastClr="000000"/>
                        </a:solidFill>
                        <a:latin typeface="Cambria Math" panose="02040503050406030204" pitchFamily="18" charset="0"/>
                      </a:rPr>
                      <m:t>/µ</m:t>
                    </m:r>
                  </m:oMath>
                </m:oMathPara>
              </a14:m>
              <a:endParaRPr lang="en-ZA" sz="11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1A156A5E-25F1-4E8C-9C7B-B8EE1EA2D745}"/>
                </a:ext>
              </a:extLst>
            </xdr:cNvPr>
            <xdr:cNvSpPr txBox="1"/>
          </xdr:nvSpPr>
          <xdr:spPr>
            <a:xfrm>
              <a:off x="12272282" y="3713389"/>
              <a:ext cx="531043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l-GR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𝝆</a:t>
              </a:r>
              <a:r>
                <a:rPr lang="en-ZA" sz="11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𝑵𝒅^𝟐/µ</a:t>
              </a:r>
              <a:endParaRPr lang="en-ZA" sz="11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twoCellAnchor>
    <xdr:from>
      <xdr:col>0</xdr:col>
      <xdr:colOff>232171</xdr:colOff>
      <xdr:row>67</xdr:row>
      <xdr:rowOff>128588</xdr:rowOff>
    </xdr:from>
    <xdr:to>
      <xdr:col>7</xdr:col>
      <xdr:colOff>17858</xdr:colOff>
      <xdr:row>82</xdr:row>
      <xdr:rowOff>14288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D84771E-FC02-477B-B563-9F617C8CBD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232171</xdr:colOff>
      <xdr:row>82</xdr:row>
      <xdr:rowOff>104775</xdr:rowOff>
    </xdr:from>
    <xdr:to>
      <xdr:col>7</xdr:col>
      <xdr:colOff>17858</xdr:colOff>
      <xdr:row>96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A2CB847-7F7D-443E-ADF2-730DFACAD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65484</xdr:colOff>
      <xdr:row>67</xdr:row>
      <xdr:rowOff>116682</xdr:rowOff>
    </xdr:from>
    <xdr:to>
      <xdr:col>17</xdr:col>
      <xdr:colOff>244078</xdr:colOff>
      <xdr:row>82</xdr:row>
      <xdr:rowOff>2382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376A23B-7157-47AB-82A5-CC77F14B3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77390</xdr:colOff>
      <xdr:row>82</xdr:row>
      <xdr:rowOff>80963</xdr:rowOff>
    </xdr:from>
    <xdr:to>
      <xdr:col>17</xdr:col>
      <xdr:colOff>255984</xdr:colOff>
      <xdr:row>96</xdr:row>
      <xdr:rowOff>157163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3C95054-7CC2-4089-A71D-FA8DA86C3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136921</xdr:colOff>
      <xdr:row>73</xdr:row>
      <xdr:rowOff>104775</xdr:rowOff>
    </xdr:from>
    <xdr:to>
      <xdr:col>25</xdr:col>
      <xdr:colOff>494109</xdr:colOff>
      <xdr:row>87</xdr:row>
      <xdr:rowOff>180975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420B762-83AA-4218-8F80-8B38EF9E6E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172639</xdr:colOff>
      <xdr:row>88</xdr:row>
      <xdr:rowOff>92869</xdr:rowOff>
    </xdr:from>
    <xdr:to>
      <xdr:col>25</xdr:col>
      <xdr:colOff>529827</xdr:colOff>
      <xdr:row>102</xdr:row>
      <xdr:rowOff>169069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5DE301B-B559-42BD-AA6B-36CF10906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202406</xdr:colOff>
      <xdr:row>97</xdr:row>
      <xdr:rowOff>170258</xdr:rowOff>
    </xdr:from>
    <xdr:to>
      <xdr:col>6</xdr:col>
      <xdr:colOff>583406</xdr:colOff>
      <xdr:row>112</xdr:row>
      <xdr:rowOff>55958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7C9E363-CC3B-4F03-BB99-276800A74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113</xdr:row>
      <xdr:rowOff>45245</xdr:rowOff>
    </xdr:from>
    <xdr:to>
      <xdr:col>6</xdr:col>
      <xdr:colOff>381000</xdr:colOff>
      <xdr:row>127</xdr:row>
      <xdr:rowOff>121445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280A05C-1014-4E55-9C0A-88842DB41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468132</xdr:colOff>
      <xdr:row>24</xdr:row>
      <xdr:rowOff>42427</xdr:rowOff>
    </xdr:from>
    <xdr:to>
      <xdr:col>32</xdr:col>
      <xdr:colOff>294409</xdr:colOff>
      <xdr:row>39</xdr:row>
      <xdr:rowOff>160019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5D3E1AB-29E8-4C55-99F4-492253E17B1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27830</xdr:colOff>
      <xdr:row>144</xdr:row>
      <xdr:rowOff>89929</xdr:rowOff>
    </xdr:from>
    <xdr:to>
      <xdr:col>8</xdr:col>
      <xdr:colOff>225136</xdr:colOff>
      <xdr:row>160</xdr:row>
      <xdr:rowOff>172531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D6CBBA52-C9C0-4DBB-A9B5-A1AB8DADA19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51955</xdr:colOff>
      <xdr:row>128</xdr:row>
      <xdr:rowOff>126424</xdr:rowOff>
    </xdr:from>
    <xdr:to>
      <xdr:col>8</xdr:col>
      <xdr:colOff>207818</xdr:colOff>
      <xdr:row>144</xdr:row>
      <xdr:rowOff>17319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88FCBDDC-4AAE-4BB0-9E53-A03821956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51954</xdr:colOff>
      <xdr:row>144</xdr:row>
      <xdr:rowOff>109104</xdr:rowOff>
    </xdr:from>
    <xdr:to>
      <xdr:col>17</xdr:col>
      <xdr:colOff>380999</xdr:colOff>
      <xdr:row>160</xdr:row>
      <xdr:rowOff>155864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0EFEB7E-3471-49CD-A5E0-7A8AFE1FB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51956</xdr:colOff>
      <xdr:row>128</xdr:row>
      <xdr:rowOff>100447</xdr:rowOff>
    </xdr:from>
    <xdr:to>
      <xdr:col>17</xdr:col>
      <xdr:colOff>460612</xdr:colOff>
      <xdr:row>143</xdr:row>
      <xdr:rowOff>17319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C4B209C-A8F3-4230-A67B-11645F440E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51955</xdr:colOff>
      <xdr:row>144</xdr:row>
      <xdr:rowOff>126422</xdr:rowOff>
    </xdr:from>
    <xdr:to>
      <xdr:col>26</xdr:col>
      <xdr:colOff>121228</xdr:colOff>
      <xdr:row>160</xdr:row>
      <xdr:rowOff>190499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75F7E42-0F0D-449E-A8A7-667DD68FC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34635</xdr:colOff>
      <xdr:row>128</xdr:row>
      <xdr:rowOff>109105</xdr:rowOff>
    </xdr:from>
    <xdr:to>
      <xdr:col>26</xdr:col>
      <xdr:colOff>138546</xdr:colOff>
      <xdr:row>144</xdr:row>
      <xdr:rowOff>34637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202729E-4125-41A5-A45B-662AE5C65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34317</xdr:colOff>
      <xdr:row>9</xdr:row>
      <xdr:rowOff>129899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34317" y="1830792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4317" y="1830792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8</xdr:col>
      <xdr:colOff>530148</xdr:colOff>
      <xdr:row>2</xdr:row>
      <xdr:rowOff>135208</xdr:rowOff>
    </xdr:from>
    <xdr:ext cx="1834990" cy="510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7302191" y="460452"/>
              <a:ext cx="1834990" cy="510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𝑺</m:t>
                    </m:r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𝑵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𝒋𝒔</m:t>
                            </m:r>
                          </m:sub>
                        </m:sSub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𝟖𝟓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𝝂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𝒑</m:t>
                            </m:r>
                          </m:sub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𝒈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∙∆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𝝆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𝝆</m:t>
                                        </m:r>
                                      </m:e>
                                      <m:sub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𝑳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𝟒𝟓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𝝌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𝟏𝟑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302191" y="460452"/>
              <a:ext cx="1834990" cy="510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𝑺=(𝑵_𝒋𝒔∙𝒅^(𝟎.𝟖𝟓))/(𝝂^(𝟎.𝟏)∙𝒅_𝒑^(𝟎.𝟐)∙((𝒈∙∆𝝆)/𝝆_𝑳 )^(𝟎.𝟒𝟓) 𝝌^(𝟎.𝟏𝟑) )</a:t>
              </a:r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100361</xdr:colOff>
      <xdr:row>2</xdr:row>
      <xdr:rowOff>158438</xdr:rowOff>
    </xdr:from>
    <xdr:ext cx="2097049" cy="456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5060331" y="483682"/>
              <a:ext cx="2097049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𝒋𝒔</m:t>
                        </m:r>
                      </m:sub>
                    </m:sSub>
                    <m:r>
                      <a:rPr lang="en-ZA" sz="10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𝑺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𝝂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𝒑</m:t>
                            </m:r>
                          </m:sub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𝒈</m:t>
                                    </m:r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∙∆</m:t>
                                    </m:r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𝝆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𝝆</m:t>
                                        </m:r>
                                      </m:e>
                                      <m:sub>
                                        <m: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𝑳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𝟒𝟓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𝝌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𝟏𝟑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𝟖𝟓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5060331" y="483682"/>
              <a:ext cx="2097049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𝑵_𝒋𝒔=(〖𝑺.𝝂〗^(𝟎.𝟏)∙𝒅_𝒑^(𝟎.𝟐)∙((𝒈∙∆𝝆)/𝝆_𝑳 )^(𝟎.𝟒𝟓) 𝝌^(𝟎.𝟏𝟑))/𝒅^(𝟎.𝟖𝟓) </a:t>
              </a:r>
              <a:endParaRPr lang="en-ZA" sz="10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1368862</xdr:colOff>
      <xdr:row>25</xdr:row>
      <xdr:rowOff>143659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1368862" y="4756480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368862" y="4756480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4</xdr:col>
      <xdr:colOff>64398</xdr:colOff>
      <xdr:row>33</xdr:row>
      <xdr:rowOff>140305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3479791" y="6127448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3479791" y="6127448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12</xdr:col>
      <xdr:colOff>19050</xdr:colOff>
      <xdr:row>2</xdr:row>
      <xdr:rowOff>158440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979020" y="173819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12</xdr:col>
      <xdr:colOff>42281</xdr:colOff>
      <xdr:row>6</xdr:row>
      <xdr:rowOff>53897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002251" y="23073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6</xdr:col>
      <xdr:colOff>48969</xdr:colOff>
      <xdr:row>25</xdr:row>
      <xdr:rowOff>130052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5559862" y="475648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5559862" y="475648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13</xdr:col>
      <xdr:colOff>299358</xdr:colOff>
      <xdr:row>25</xdr:row>
      <xdr:rowOff>163285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11008179" y="478971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1008179" y="478971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18</xdr:col>
      <xdr:colOff>84365</xdr:colOff>
      <xdr:row>26</xdr:row>
      <xdr:rowOff>16329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15351579" y="4819650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5351579" y="4819650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13</xdr:col>
      <xdr:colOff>734786</xdr:colOff>
      <xdr:row>34</xdr:row>
      <xdr:rowOff>0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11443607" y="6164036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1443607" y="6164036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18</xdr:col>
      <xdr:colOff>533400</xdr:colOff>
      <xdr:row>34</xdr:row>
      <xdr:rowOff>16329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15800614" y="6180365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15800614" y="6180365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88745</xdr:colOff>
      <xdr:row>10</xdr:row>
      <xdr:rowOff>7434</xdr:rowOff>
    </xdr:from>
    <xdr:ext cx="217046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88745" y="1864809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𝑗𝑠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8745" y="1864809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𝑁_𝑗𝑠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8</xdr:col>
      <xdr:colOff>530148</xdr:colOff>
      <xdr:row>2</xdr:row>
      <xdr:rowOff>135208</xdr:rowOff>
    </xdr:from>
    <xdr:ext cx="1834990" cy="5103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7845348" y="535258"/>
              <a:ext cx="1834990" cy="510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𝑺</m:t>
                    </m:r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𝑵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𝒋𝒔</m:t>
                            </m:r>
                          </m:sub>
                        </m:sSub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𝟖𝟓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𝝂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𝒑</m:t>
                            </m:r>
                          </m:sub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𝒈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∙∆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𝝆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𝝆</m:t>
                                        </m:r>
                                      </m:e>
                                      <m:sub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𝑳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𝟒𝟓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𝝌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𝟏𝟑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845348" y="535258"/>
              <a:ext cx="1834990" cy="5103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𝑺=(𝑵_𝒋𝒔∙𝒅^(𝟎.𝟖𝟓))/(𝝂^(𝟎.𝟏)∙𝒅_𝒑^(𝟎.𝟐)∙((𝒈∙∆𝝆)/𝝆_𝑳 )^(𝟎.𝟒𝟓) 𝝌^(𝟎.𝟏𝟑) )</a:t>
              </a:r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100361</xdr:colOff>
      <xdr:row>2</xdr:row>
      <xdr:rowOff>158438</xdr:rowOff>
    </xdr:from>
    <xdr:ext cx="2097049" cy="456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5605811" y="558488"/>
              <a:ext cx="2097049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𝒋𝒔</m:t>
                        </m:r>
                      </m:sub>
                    </m:sSub>
                    <m:r>
                      <a:rPr lang="en-ZA" sz="10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𝑺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𝝂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𝒑</m:t>
                            </m:r>
                          </m:sub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𝒈</m:t>
                                    </m:r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∙∆</m:t>
                                    </m:r>
                                    <m:r>
                                      <a:rPr lang="en-ZA" sz="10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𝝆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𝝆</m:t>
                                        </m:r>
                                      </m:e>
                                      <m:sub>
                                        <m:r>
                                          <a:rPr lang="en-ZA" sz="1000" b="1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𝑳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𝟒𝟓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𝝌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𝟏𝟑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𝟖𝟓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5605811" y="558488"/>
              <a:ext cx="2097049" cy="4564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𝑵_𝒋𝒔=(〖𝑺.𝝂〗^(𝟎.𝟏)∙𝒅_𝒑^(𝟎.𝟐)∙((𝒈∙∆𝝆)/𝝆_𝑳 )^(𝟎.𝟒𝟓) 𝝌^(𝟎.𝟏𝟑))/𝒅^(𝟎.𝟖𝟓) </a:t>
              </a:r>
              <a:endParaRPr lang="en-ZA" sz="10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1328041</xdr:colOff>
      <xdr:row>25</xdr:row>
      <xdr:rowOff>170873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1328041" y="478369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328041" y="478369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3</xdr:col>
      <xdr:colOff>114853</xdr:colOff>
      <xdr:row>34</xdr:row>
      <xdr:rowOff>11877</xdr:rowOff>
    </xdr:from>
    <xdr:ext cx="217046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2934253" y="6088827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𝑗𝑠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2934253" y="6088827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𝑁_𝑗𝑠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12</xdr:col>
      <xdr:colOff>19050</xdr:colOff>
      <xdr:row>2</xdr:row>
      <xdr:rowOff>158440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915525" y="5584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12</xdr:col>
      <xdr:colOff>9992</xdr:colOff>
      <xdr:row>2</xdr:row>
      <xdr:rowOff>77129</xdr:rowOff>
    </xdr:from>
    <xdr:ext cx="2611693" cy="457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9906467" y="477179"/>
              <a:ext cx="2611693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𝒋𝒔</m:t>
                        </m:r>
                      </m:sub>
                    </m:sSub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𝑺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𝟗𝟕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𝝂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𝟎𝟒𝟖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b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𝒑</m:t>
                            </m:r>
                          </m:sub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𝟎𝟒𝟔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𝒈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∙∆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𝝆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𝝆</m:t>
                                        </m:r>
                                      </m:e>
                                      <m:sub>
                                        <m:r>
                                          <a:rPr lang="en-ZA" sz="10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𝑳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𝟎𝟗𝟐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𝝌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𝟑𝟐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𝟏𝟎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9906467" y="477179"/>
              <a:ext cx="2611693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ZA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𝑵_𝒋𝒔=(𝑺^(𝟎.𝟗𝟕) 〖.𝝂〗^(𝟎.𝟎𝟒𝟖)∙𝒅_𝒑^(𝟎.𝟎𝟒𝟔)∙((𝒈∙∆𝝆)/𝝆_𝑳 )^(𝟎.𝟎𝟗𝟐) 𝝌^(𝟎.𝟑𝟐))/𝒅^(𝟎.𝟏𝟎) </a:t>
              </a:r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12</xdr:col>
      <xdr:colOff>42281</xdr:colOff>
      <xdr:row>6</xdr:row>
      <xdr:rowOff>53897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938756" y="11873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ZA" sz="1100"/>
        </a:p>
      </xdr:txBody>
    </xdr:sp>
    <xdr:clientData/>
  </xdr:oneCellAnchor>
  <xdr:oneCellAnchor>
    <xdr:from>
      <xdr:col>12</xdr:col>
      <xdr:colOff>19048</xdr:colOff>
      <xdr:row>5</xdr:row>
      <xdr:rowOff>123592</xdr:rowOff>
    </xdr:from>
    <xdr:ext cx="4174273" cy="4278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9915523" y="1076092"/>
              <a:ext cx="4174273" cy="4278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𝒋𝒔</m:t>
                        </m:r>
                      </m:sub>
                    </m:sSub>
                    <m:r>
                      <a:rPr lang="en-ZA" sz="10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𝟑𝟑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𝟗𝟕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𝟔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𝟗𝟏𝟓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𝒆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−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𝟎𝟕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𝟎𝟒𝟖</m:t>
                            </m:r>
                          </m:sup>
                        </m:s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bSup>
                          <m:sSub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𝟎𝟎𝟎𝟐</m:t>
                            </m:r>
                          </m:e>
                          <m:sub/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𝟎𝟒𝟔</m:t>
                            </m:r>
                          </m:sup>
                        </m:sSubSup>
                        <m:r>
                          <a:rPr lang="en-ZA" sz="10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∙</m:t>
                        </m:r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ZA" sz="10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𝟗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.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𝟖𝟏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∙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𝟑𝟎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.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𝟔𝟕</m:t>
                                    </m:r>
                                  </m:num>
                                  <m:den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𝟗𝟗𝟑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.</m:t>
                                    </m:r>
                                    <m:r>
                                      <a:rPr lang="en-ZA" sz="10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𝟑𝟑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𝟎𝟗𝟐</m:t>
                            </m:r>
                          </m:sup>
                        </m:sSup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𝟐𝟓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𝟑𝟐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𝟎𝟓</m:t>
                            </m:r>
                          </m:e>
                          <m:sup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10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𝟏𝟎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915523" y="1076092"/>
              <a:ext cx="4174273" cy="4278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ZA" sz="10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𝑵_𝒋𝒔=(〖𝟑𝟑〗^(𝟎.𝟗𝟕) 〖.𝟔.𝟗𝟏𝟓𝒆−𝟎𝟕〗^(𝟎.𝟎𝟒𝟖)∙〖𝟎.𝟎𝟎𝟎𝟐〗_^(𝟎.𝟎𝟒𝟔)∙((𝟗.𝟖𝟏∙𝟑𝟎.𝟔𝟕)/(𝟗𝟗𝟑.𝟑𝟑))^(𝟎.𝟎𝟗𝟐) 〖𝟎.𝟐𝟓〗^(𝟎.𝟑𝟐))/〖𝟎.𝟎𝟓〗^(𝟎.𝟏𝟎) </a:t>
              </a:r>
              <a:endParaRPr lang="en-ZA" sz="10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7</xdr:col>
      <xdr:colOff>415963</xdr:colOff>
      <xdr:row>26</xdr:row>
      <xdr:rowOff>3287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6838534" y="479300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6838534" y="479300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9</xdr:col>
      <xdr:colOff>425217</xdr:colOff>
      <xdr:row>34</xdr:row>
      <xdr:rowOff>1174</xdr:rowOff>
    </xdr:from>
    <xdr:ext cx="217046" cy="1831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8416692" y="6078124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  <m:sub>
                        <m:r>
                          <a:rPr lang="en-ZA" sz="1100" b="0" i="1">
                            <a:latin typeface="Cambria Math" panose="02040503050406030204" pitchFamily="18" charset="0"/>
                          </a:rPr>
                          <m:t>𝑗𝑠</m:t>
                        </m:r>
                      </m:sub>
                    </m:sSub>
                  </m:oMath>
                </m:oMathPara>
              </a14:m>
              <a:endParaRPr lang="en-ZA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8416692" y="6078124"/>
              <a:ext cx="217046" cy="1831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0" i="0">
                  <a:latin typeface="Cambria Math" panose="02040503050406030204" pitchFamily="18" charset="0"/>
                </a:rPr>
                <a:t>𝑁_𝑗𝑠</a:t>
              </a:r>
              <a:endParaRPr lang="en-ZA" sz="1100"/>
            </a:p>
          </xdr:txBody>
        </xdr:sp>
      </mc:Fallback>
    </mc:AlternateContent>
    <xdr:clientData/>
  </xdr:oneCellAnchor>
  <xdr:oneCellAnchor>
    <xdr:from>
      <xdr:col>13</xdr:col>
      <xdr:colOff>1047752</xdr:colOff>
      <xdr:row>33</xdr:row>
      <xdr:rowOff>149678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2205609" y="612321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2205609" y="612321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20</xdr:col>
      <xdr:colOff>2722</xdr:colOff>
      <xdr:row>34</xdr:row>
      <xdr:rowOff>2722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17242972" y="615315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7242972" y="6153151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14</xdr:col>
      <xdr:colOff>286551</xdr:colOff>
      <xdr:row>41</xdr:row>
      <xdr:rowOff>154081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12627029" y="7451912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2627029" y="7451912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oneCellAnchor>
    <xdr:from>
      <xdr:col>20</xdr:col>
      <xdr:colOff>519393</xdr:colOff>
      <xdr:row>41</xdr:row>
      <xdr:rowOff>156403</xdr:rowOff>
    </xdr:from>
    <xdr:ext cx="236603" cy="1855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17748437" y="745423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𝑵</m:t>
                        </m:r>
                      </m:e>
                      <m:sub>
                        <m:r>
                          <a:rPr lang="en-ZA" sz="1100" b="1" i="1">
                            <a:latin typeface="Cambria Math" panose="02040503050406030204" pitchFamily="18" charset="0"/>
                          </a:rPr>
                          <m:t>𝒋𝒔</m:t>
                        </m:r>
                      </m:sub>
                    </m:sSub>
                  </m:oMath>
                </m:oMathPara>
              </a14:m>
              <a:endParaRPr lang="en-ZA" sz="1100" b="1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7748437" y="7454234"/>
              <a:ext cx="236603" cy="1855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1100" b="1" i="0">
                  <a:latin typeface="Cambria Math" panose="02040503050406030204" pitchFamily="18" charset="0"/>
                </a:rPr>
                <a:t>𝑵_𝒋𝒔</a:t>
              </a:r>
              <a:endParaRPr lang="en-ZA" sz="1100" b="1"/>
            </a:p>
          </xdr:txBody>
        </xdr:sp>
      </mc:Fallback>
    </mc:AlternateContent>
    <xdr:clientData/>
  </xdr:oneCellAnchor>
  <xdr:twoCellAnchor editAs="oneCell">
    <xdr:from>
      <xdr:col>14</xdr:col>
      <xdr:colOff>84045</xdr:colOff>
      <xdr:row>9</xdr:row>
      <xdr:rowOff>168087</xdr:rowOff>
    </xdr:from>
    <xdr:to>
      <xdr:col>17</xdr:col>
      <xdr:colOff>574302</xdr:colOff>
      <xdr:row>23</xdr:row>
      <xdr:rowOff>70035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2B694B1-1A7E-4F30-942A-C96507FE03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4523" y="1848969"/>
          <a:ext cx="3459816" cy="2451287"/>
        </a:xfrm>
        <a:prstGeom prst="rect">
          <a:avLst/>
        </a:prstGeom>
      </xdr:spPr>
    </xdr:pic>
    <xdr:clientData/>
  </xdr:twoCellAnchor>
  <xdr:twoCellAnchor>
    <xdr:from>
      <xdr:col>19</xdr:col>
      <xdr:colOff>172290</xdr:colOff>
      <xdr:row>12</xdr:row>
      <xdr:rowOff>183217</xdr:rowOff>
    </xdr:from>
    <xdr:to>
      <xdr:col>25</xdr:col>
      <xdr:colOff>402010</xdr:colOff>
      <xdr:row>28</xdr:row>
      <xdr:rowOff>96931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ABF7A89-A006-4E79-9AC7-432BDAC2B6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2</xdr:row>
      <xdr:rowOff>0</xdr:rowOff>
    </xdr:from>
    <xdr:ext cx="2190750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BE6173A-8AE5-4157-A410-293EF0ABB4F2}"/>
                </a:ext>
              </a:extLst>
            </xdr:cNvPr>
            <xdr:cNvSpPr txBox="1"/>
          </xdr:nvSpPr>
          <xdr:spPr>
            <a:xfrm>
              <a:off x="2000250" y="257175"/>
              <a:ext cx="2190750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𝒇</m:t>
                    </m:r>
                    <m:d>
                      <m:d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𝑳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,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sub>
                        </m:s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 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 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𝝁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𝑽𝒔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𝑸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𝑫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𝑺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m:rPr>
                            <m:sty m:val="p"/>
                          </m:rPr>
                          <a:rPr lang="el-GR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δ</m:t>
                        </m:r>
                      </m:e>
                    </m:d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EBE6173A-8AE5-4157-A410-293EF0ABB4F2}"/>
                </a:ext>
              </a:extLst>
            </xdr:cNvPr>
            <xdr:cNvSpPr txBox="1"/>
          </xdr:nvSpPr>
          <xdr:spPr>
            <a:xfrm>
              <a:off x="2000250" y="257175"/>
              <a:ext cx="2190750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𝒂=𝒇(𝒉_(𝑳,𝒅), 𝒅, 𝒏,𝑷,𝝆,𝝁,𝑽𝒔,𝑸,𝑫,𝑳,𝑺,</a:t>
              </a:r>
              <a:r>
                <a:rPr lang="el-GR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δ</a:t>
              </a: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200025</xdr:colOff>
      <xdr:row>4</xdr:row>
      <xdr:rowOff>190500</xdr:rowOff>
    </xdr:from>
    <xdr:to>
      <xdr:col>0</xdr:col>
      <xdr:colOff>447675</xdr:colOff>
      <xdr:row>6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2B901A6-70A7-4AEE-9B01-15D49DDB0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52475"/>
          <a:ext cx="2476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6</xdr:row>
      <xdr:rowOff>0</xdr:rowOff>
    </xdr:from>
    <xdr:to>
      <xdr:col>0</xdr:col>
      <xdr:colOff>371475</xdr:colOff>
      <xdr:row>7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EE30A44-D58C-43A3-AB9E-1D84ABDA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962025"/>
          <a:ext cx="952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285750</xdr:colOff>
      <xdr:row>7</xdr:row>
      <xdr:rowOff>0</xdr:rowOff>
    </xdr:from>
    <xdr:to>
      <xdr:col>0</xdr:col>
      <xdr:colOff>371475</xdr:colOff>
      <xdr:row>8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4FCE3BD-F7CB-45D2-A201-F238ECE6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6205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8</xdr:row>
      <xdr:rowOff>19050</xdr:rowOff>
    </xdr:from>
    <xdr:to>
      <xdr:col>0</xdr:col>
      <xdr:colOff>371475</xdr:colOff>
      <xdr:row>9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8BE5498-8B0B-47F5-ACA5-C8A60E49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381125"/>
          <a:ext cx="952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266700</xdr:colOff>
      <xdr:row>8</xdr:row>
      <xdr:rowOff>190500</xdr:rowOff>
    </xdr:from>
    <xdr:to>
      <xdr:col>0</xdr:col>
      <xdr:colOff>352425</xdr:colOff>
      <xdr:row>9</xdr:row>
      <xdr:rowOff>171450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83472065-A5FA-4309-B16A-F7C1C2A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238125</xdr:colOff>
      <xdr:row>10</xdr:row>
      <xdr:rowOff>0</xdr:rowOff>
    </xdr:from>
    <xdr:to>
      <xdr:col>0</xdr:col>
      <xdr:colOff>323850</xdr:colOff>
      <xdr:row>11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80DA431-9A37-4C61-A3ED-C2E48E83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1927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238125</xdr:colOff>
      <xdr:row>11</xdr:row>
      <xdr:rowOff>9525</xdr:rowOff>
    </xdr:from>
    <xdr:to>
      <xdr:col>0</xdr:col>
      <xdr:colOff>381000</xdr:colOff>
      <xdr:row>11</xdr:row>
      <xdr:rowOff>219075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CB767D6-E755-4762-AE76-740CE889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288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12</xdr:row>
      <xdr:rowOff>0</xdr:rowOff>
    </xdr:from>
    <xdr:to>
      <xdr:col>0</xdr:col>
      <xdr:colOff>333375</xdr:colOff>
      <xdr:row>13</xdr:row>
      <xdr:rowOff>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737CA0C9-D96A-4CED-8FAA-09951C05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76425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13</xdr:row>
      <xdr:rowOff>190500</xdr:rowOff>
    </xdr:from>
    <xdr:to>
      <xdr:col>0</xdr:col>
      <xdr:colOff>342900</xdr:colOff>
      <xdr:row>15</xdr:row>
      <xdr:rowOff>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3C3BC839-826C-4901-94A4-ED10769D8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714625"/>
          <a:ext cx="1143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15</xdr:row>
      <xdr:rowOff>9525</xdr:rowOff>
    </xdr:from>
    <xdr:to>
      <xdr:col>0</xdr:col>
      <xdr:colOff>295275</xdr:colOff>
      <xdr:row>16</xdr:row>
      <xdr:rowOff>19050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AA2B77C-07A9-42B2-A5AC-1DA2D03B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3370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16</xdr:row>
      <xdr:rowOff>9525</xdr:rowOff>
    </xdr:from>
    <xdr:to>
      <xdr:col>0</xdr:col>
      <xdr:colOff>314325</xdr:colOff>
      <xdr:row>17</xdr:row>
      <xdr:rowOff>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E25296D6-7685-4E2E-9AFC-1C34F404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33725"/>
          <a:ext cx="123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142875</xdr:colOff>
      <xdr:row>17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4A3A499-AF9C-4D9C-83FC-9511592F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85725</xdr:colOff>
      <xdr:row>17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44EB96E2-C66C-4836-8996-CE6674F2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67A83AE0-C4E0-4387-B3FD-F79A0922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190500</xdr:colOff>
      <xdr:row>17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D9ECE0E-924E-4EB2-AE31-390C0162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1905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314325</xdr:colOff>
      <xdr:row>22</xdr:row>
      <xdr:rowOff>19050</xdr:rowOff>
    </xdr:from>
    <xdr:ext cx="2434962" cy="6513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34CF915D-EE54-48B8-A781-F6DD3F7E6571}"/>
                </a:ext>
              </a:extLst>
            </xdr:cNvPr>
            <xdr:cNvSpPr txBox="1"/>
          </xdr:nvSpPr>
          <xdr:spPr>
            <a:xfrm>
              <a:off x="314325" y="3476625"/>
              <a:ext cx="2434962" cy="6513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m>
                      <m:mPr>
                        <m:plcHide m:val="on"/>
                        <m:mcs>
                          <m:mc>
                            <m:mcPr>
                              <m:count m:val="9"/>
                              <m:mcJc m:val="center"/>
                            </m:mcPr>
                          </m:mc>
                        </m:mcs>
                        <m:ctrlPr>
                          <a:rPr lang="en-ZA" sz="9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mPr>
                      <m:mr>
                        <m:e/>
                        <m:e>
                          <m:sSub>
                            <m:sSubPr>
                              <m:ctrlP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𝒉</m:t>
                              </m:r>
                            </m:e>
                            <m:sub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𝑳</m:t>
                              </m:r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,</m:t>
                              </m:r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𝒅</m:t>
                              </m:r>
                            </m:sub>
                          </m:sSub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𝒅</m:t>
                          </m:r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𝒏</m:t>
                          </m:r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𝑷</m:t>
                          </m:r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𝝆</m:t>
                          </m:r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𝝁</m:t>
                          </m:r>
                        </m:e>
                        <m:e>
                          <m:sSub>
                            <m:sSubPr>
                              <m:ctrlP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𝑽</m:t>
                              </m:r>
                            </m:e>
                            <m:sub>
                              <m:r>
                                <a:rPr lang="en-ZA" sz="900" b="1" i="1">
                                  <a:solidFill>
                                    <a:sysClr val="windowText" lastClr="000000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𝑺</m:t>
                              </m:r>
                            </m:sub>
                          </m:sSub>
                        </m:e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𝑸</m:t>
                          </m:r>
                        </m:e>
                      </m:mr>
                      <m:mr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𝐌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</m:mr>
                      <m:mr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𝐋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−3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e>
                      </m:mr>
                      <m:mr>
                        <m:e>
                          <m:r>
                            <a:rPr lang="en-ZA" sz="9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𝐭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−3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0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−1</m:t>
                          </m:r>
                        </m:e>
                        <m:e>
                          <m:r>
                            <a:rPr lang="en-ZA" sz="900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−1</m:t>
                          </m:r>
                        </m:e>
                      </m:mr>
                    </m:m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ZA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34CF915D-EE54-48B8-A781-F6DD3F7E6571}"/>
                </a:ext>
              </a:extLst>
            </xdr:cNvPr>
            <xdr:cNvSpPr txBox="1"/>
          </xdr:nvSpPr>
          <xdr:spPr>
            <a:xfrm>
              <a:off x="314325" y="3476625"/>
              <a:ext cx="2434962" cy="6513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■(&amp;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𝒉_(𝑳,𝒅)&amp;𝒅&amp;𝒏&amp;𝑷&amp;𝝆&amp;𝝁&amp;𝑽_𝑺&amp;𝑸@𝐌&amp;</a:t>
              </a:r>
              <a:r>
                <a:rPr lang="en-ZA" sz="9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0&amp;0&amp;0&amp;1&amp;1&amp;1&amp;0&amp;0@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𝐋&amp;</a:t>
              </a:r>
              <a:r>
                <a:rPr lang="en-ZA" sz="9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1&amp;1&amp;0&amp;2&amp;−3&amp;−1&amp;2&amp;3@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𝐭&amp;</a:t>
              </a:r>
              <a:r>
                <a:rPr lang="en-ZA" sz="90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0&amp;0&amp;−1&amp;−3&amp;0&amp;−1&amp;−1&amp;−1)</a:t>
              </a:r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endParaRPr lang="en-ZA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47625</xdr:colOff>
      <xdr:row>28</xdr:row>
      <xdr:rowOff>28575</xdr:rowOff>
    </xdr:from>
    <xdr:ext cx="901592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D1A217C-26B4-49EF-809B-EE7CFDEC1D16}"/>
                </a:ext>
              </a:extLst>
            </xdr:cNvPr>
            <xdr:cNvSpPr txBox="1"/>
          </xdr:nvSpPr>
          <xdr:spPr>
            <a:xfrm>
              <a:off x="657225" y="4448175"/>
              <a:ext cx="901592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</m:t>
                    </m:r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</m:t>
                    </m:r>
                    <m:r>
                      <a:rPr lang="en-ZA" sz="9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=8−3</m:t>
                    </m:r>
                  </m:oMath>
                </m:oMathPara>
              </a14:m>
              <a:endParaRPr lang="en-ZA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D1A217C-26B4-49EF-809B-EE7CFDEC1D16}"/>
                </a:ext>
              </a:extLst>
            </xdr:cNvPr>
            <xdr:cNvSpPr txBox="1"/>
          </xdr:nvSpPr>
          <xdr:spPr>
            <a:xfrm>
              <a:off x="657225" y="4448175"/>
              <a:ext cx="901592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𝑖=𝑛−𝑟=8−3</a:t>
              </a:r>
              <a:endParaRPr lang="en-ZA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581025</xdr:colOff>
      <xdr:row>29</xdr:row>
      <xdr:rowOff>0</xdr:rowOff>
    </xdr:from>
    <xdr:ext cx="222690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F05020E4-8C3C-4981-9D32-6606D74920B4}"/>
                </a:ext>
              </a:extLst>
            </xdr:cNvPr>
            <xdr:cNvSpPr txBox="1"/>
          </xdr:nvSpPr>
          <xdr:spPr>
            <a:xfrm>
              <a:off x="1190625" y="4619625"/>
              <a:ext cx="222690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ZA" sz="9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𝑖</m:t>
                  </m:r>
                  <m:r>
                    <a:rPr lang="en-ZA" sz="90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</m:oMath>
              </a14:m>
              <a:r>
                <a:rPr lang="en-ZA" sz="900">
                  <a:latin typeface="Arial" panose="020B0604020202020204" pitchFamily="34" charset="0"/>
                  <a:cs typeface="Arial" panose="020B0604020202020204" pitchFamily="34" charset="0"/>
                </a:rPr>
                <a:t>5</a:t>
              </a:r>
            </a:p>
          </xdr:txBody>
        </xdr:sp>
      </mc:Choice>
      <mc:Fallback xmlns="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F05020E4-8C3C-4981-9D32-6606D74920B4}"/>
                </a:ext>
              </a:extLst>
            </xdr:cNvPr>
            <xdr:cNvSpPr txBox="1"/>
          </xdr:nvSpPr>
          <xdr:spPr>
            <a:xfrm>
              <a:off x="1190625" y="4619625"/>
              <a:ext cx="222690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𝑖=</a:t>
              </a:r>
              <a:r>
                <a:rPr lang="en-ZA" sz="900">
                  <a:latin typeface="Arial" panose="020B0604020202020204" pitchFamily="34" charset="0"/>
                  <a:cs typeface="Arial" panose="020B0604020202020204" pitchFamily="34" charset="0"/>
                </a:rPr>
                <a:t>5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28</xdr:row>
      <xdr:rowOff>190500</xdr:rowOff>
    </xdr:from>
    <xdr:ext cx="875304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CDAF63D-2236-474F-AC5B-FB4BFACAC943}"/>
                </a:ext>
              </a:extLst>
            </xdr:cNvPr>
            <xdr:cNvSpPr txBox="1"/>
          </xdr:nvSpPr>
          <xdr:spPr>
            <a:xfrm>
              <a:off x="1524000" y="4610100"/>
              <a:ext cx="875304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</m:t>
                        </m:r>
                      </m:sub>
                    </m:sSub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3CDAF63D-2236-474F-AC5B-FB4BFACAC943}"/>
                </a:ext>
              </a:extLst>
            </xdr:cNvPr>
            <xdr:cNvSpPr txBox="1"/>
          </xdr:nvSpPr>
          <xdr:spPr>
            <a:xfrm>
              <a:off x="1524000" y="4610100"/>
              <a:ext cx="875304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𝝅_𝟏, 𝝅_𝟐, 𝝅_𝟑, 𝝅_𝟒, 𝝅_𝟓</a:t>
              </a:r>
              <a:endParaRPr lang="en-ZA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38100</xdr:colOff>
      <xdr:row>30</xdr:row>
      <xdr:rowOff>38100</xdr:rowOff>
    </xdr:from>
    <xdr:ext cx="765273" cy="1445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390D842-436F-4FEA-B7AB-57F2230377C2}"/>
                </a:ext>
              </a:extLst>
            </xdr:cNvPr>
            <xdr:cNvSpPr txBox="1"/>
          </xdr:nvSpPr>
          <xdr:spPr>
            <a:xfrm>
              <a:off x="2552700" y="4857750"/>
              <a:ext cx="765273" cy="1445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𝝁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𝑸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390D842-436F-4FEA-B7AB-57F2230377C2}"/>
                </a:ext>
              </a:extLst>
            </xdr:cNvPr>
            <xdr:cNvSpPr txBox="1"/>
          </xdr:nvSpPr>
          <xdr:spPr>
            <a:xfrm>
              <a:off x="2552700" y="4857750"/>
              <a:ext cx="765273" cy="1445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𝒉_(𝑳,𝒅),𝑷,𝝁,𝑽_𝑺,𝑸</a:t>
              </a:r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447675</xdr:colOff>
      <xdr:row>31</xdr:row>
      <xdr:rowOff>28575</xdr:rowOff>
    </xdr:from>
    <xdr:ext cx="1461939" cy="1529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F7D6BEB-1540-42FE-83A9-33F0C8300A61}"/>
                </a:ext>
              </a:extLst>
            </xdr:cNvPr>
            <xdr:cNvSpPr txBox="1"/>
          </xdr:nvSpPr>
          <xdr:spPr>
            <a:xfrm>
              <a:off x="447675" y="5038725"/>
              <a:ext cx="1461939" cy="152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𝒂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𝒏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𝒃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𝝆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𝒄</m:t>
                        </m:r>
                      </m:sup>
                    </m:sSup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𝒉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𝑴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𝒕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p>
                    </m:sSup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m:t> 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F7D6BEB-1540-42FE-83A9-33F0C8300A61}"/>
                </a:ext>
              </a:extLst>
            </xdr:cNvPr>
            <xdr:cNvSpPr txBox="1"/>
          </xdr:nvSpPr>
          <xdr:spPr>
            <a:xfrm>
              <a:off x="447675" y="5038725"/>
              <a:ext cx="1461939" cy="1529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𝝅_𝟏=𝒅^𝒂 𝒏^𝒃 𝝆^𝒄 𝒉_(𝑳,𝒅)=𝑴^𝟎 𝑳^𝟎 𝒕^𝟎 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"</a:t>
              </a:r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466725</xdr:colOff>
      <xdr:row>32</xdr:row>
      <xdr:rowOff>19050</xdr:rowOff>
    </xdr:from>
    <xdr:ext cx="504369" cy="1508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C4A8E3-FC06-4D67-B3F1-D6EF0F9C2943}"/>
                </a:ext>
              </a:extLst>
            </xdr:cNvPr>
            <xdr:cNvSpPr txBox="1"/>
          </xdr:nvSpPr>
          <xdr:spPr>
            <a:xfrm>
              <a:off x="466725" y="5229225"/>
              <a:ext cx="504369" cy="1508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𝑴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C4A8E3-FC06-4D67-B3F1-D6EF0F9C2943}"/>
                </a:ext>
              </a:extLst>
            </xdr:cNvPr>
            <xdr:cNvSpPr txBox="1"/>
          </xdr:nvSpPr>
          <xdr:spPr>
            <a:xfrm>
              <a:off x="466725" y="5229225"/>
              <a:ext cx="504369" cy="1508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𝑴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"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Arial" panose="020B0604020202020204" pitchFamily="34" charset="0"/>
                </a:rPr>
                <a:t>:	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𝒄=𝟎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457200</xdr:colOff>
      <xdr:row>33</xdr:row>
      <xdr:rowOff>57150</xdr:rowOff>
    </xdr:from>
    <xdr:ext cx="928075" cy="1522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39C33AB-368C-4170-92C2-A89910862452}"/>
                </a:ext>
              </a:extLst>
            </xdr:cNvPr>
            <xdr:cNvSpPr txBox="1"/>
          </xdr:nvSpPr>
          <xdr:spPr>
            <a:xfrm>
              <a:off x="457200" y="5419725"/>
              <a:ext cx="928075" cy="152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Arial" panose="020B0604020202020204" pitchFamily="34" charset="0"/>
                      </a:rPr>
                      <m:t>L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Arial" panose="020B0604020202020204" pitchFamily="34" charset="0"/>
                      </a:rPr>
                      <m:t> : 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𝒄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+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F39C33AB-368C-4170-92C2-A89910862452}"/>
                </a:ext>
              </a:extLst>
            </xdr:cNvPr>
            <xdr:cNvSpPr txBox="1"/>
          </xdr:nvSpPr>
          <xdr:spPr>
            <a:xfrm>
              <a:off x="457200" y="5419725"/>
              <a:ext cx="928075" cy="1522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Arial" panose="020B0604020202020204" pitchFamily="34" charset="0"/>
                </a:rPr>
                <a:t>"L : 	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 𝒂−𝟑𝒄+𝟏=𝟎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495300</xdr:colOff>
      <xdr:row>34</xdr:row>
      <xdr:rowOff>114300</xdr:rowOff>
    </xdr:from>
    <xdr:ext cx="402290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64BF428-677B-4F61-AB8F-26E78751A6E6}"/>
                </a:ext>
              </a:extLst>
            </xdr:cNvPr>
            <xdr:cNvSpPr txBox="1"/>
          </xdr:nvSpPr>
          <xdr:spPr>
            <a:xfrm>
              <a:off x="495300" y="5629275"/>
              <a:ext cx="402290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64BF428-677B-4F61-AB8F-26E78751A6E6}"/>
                </a:ext>
              </a:extLst>
            </xdr:cNvPr>
            <xdr:cNvSpPr txBox="1"/>
          </xdr:nvSpPr>
          <xdr:spPr>
            <a:xfrm>
              <a:off x="495300" y="5629275"/>
              <a:ext cx="402290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𝒂=−𝟏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142876</xdr:colOff>
      <xdr:row>35</xdr:row>
      <xdr:rowOff>123825</xdr:rowOff>
    </xdr:from>
    <xdr:ext cx="2243316" cy="2630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A8FCBB7-9900-4DC5-962C-80BE3CE8FC62}"/>
                </a:ext>
              </a:extLst>
            </xdr:cNvPr>
            <xdr:cNvSpPr txBox="1"/>
          </xdr:nvSpPr>
          <xdr:spPr>
            <a:xfrm>
              <a:off x="142876" y="5791200"/>
              <a:ext cx="2243316" cy="26308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𝒉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𝑳</m:t>
                            </m:r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,</m:t>
                            </m:r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sub>
                        </m:sSub>
                      </m:num>
                      <m:den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</m:den>
                    </m:f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𝒊𝒎𝒑𝒆𝒍𝒍𝒆𝒓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𝒊𝒎𝒎𝒆𝒓𝒔𝒊𝒐𝒏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𝒓𝒂𝒕𝒊𝒐</m:t>
                    </m:r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A8FCBB7-9900-4DC5-962C-80BE3CE8FC62}"/>
                </a:ext>
              </a:extLst>
            </xdr:cNvPr>
            <xdr:cNvSpPr txBox="1"/>
          </xdr:nvSpPr>
          <xdr:spPr>
            <a:xfrm>
              <a:off x="142876" y="5791200"/>
              <a:ext cx="2243316" cy="26308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𝝅_𝟏=𝒉_(𝑳,𝒅)/𝒅=𝒊𝒎𝒑𝒆𝒍𝒍𝒆𝒓 𝒊𝒎𝒎𝒆𝒓𝒔𝒊𝒐𝒏 𝒓𝒂𝒕𝒊𝒐</a:t>
              </a:r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381000</xdr:colOff>
      <xdr:row>38</xdr:row>
      <xdr:rowOff>104775</xdr:rowOff>
    </xdr:from>
    <xdr:ext cx="1334853" cy="143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32B00BA-2B87-46F1-86D8-86A86E64957C}"/>
                </a:ext>
              </a:extLst>
            </xdr:cNvPr>
            <xdr:cNvSpPr txBox="1"/>
          </xdr:nvSpPr>
          <xdr:spPr>
            <a:xfrm>
              <a:off x="381000" y="6229350"/>
              <a:ext cx="1334853" cy="143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𝟐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𝒆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𝒇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𝒈</m:t>
                        </m:r>
                      </m:sup>
                    </m:sSup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𝑷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𝑴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𝒕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E32B00BA-2B87-46F1-86D8-86A86E64957C}"/>
                </a:ext>
              </a:extLst>
            </xdr:cNvPr>
            <xdr:cNvSpPr txBox="1"/>
          </xdr:nvSpPr>
          <xdr:spPr>
            <a:xfrm>
              <a:off x="381000" y="6229350"/>
              <a:ext cx="1334853" cy="143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𝝅_𝟐=𝒅^𝒆 𝒏^𝒇 𝝆^𝒈 𝑷=𝑴^𝟎 𝑳^𝟎 𝒕^𝟎 " "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600075</xdr:colOff>
      <xdr:row>44</xdr:row>
      <xdr:rowOff>19050</xdr:rowOff>
    </xdr:from>
    <xdr:ext cx="505908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35A97AC-FEC2-45C7-8FE1-EDE52A6D7543}"/>
                </a:ext>
              </a:extLst>
            </xdr:cNvPr>
            <xdr:cNvSpPr txBox="1"/>
          </xdr:nvSpPr>
          <xdr:spPr>
            <a:xfrm>
              <a:off x="600075" y="7058025"/>
              <a:ext cx="505908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𝒇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=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35A97AC-FEC2-45C7-8FE1-EDE52A6D7543}"/>
                </a:ext>
              </a:extLst>
            </xdr:cNvPr>
            <xdr:cNvSpPr txBox="1"/>
          </xdr:nvSpPr>
          <xdr:spPr>
            <a:xfrm>
              <a:off x="600075" y="7058025"/>
              <a:ext cx="505908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-𝒇-𝟑 = 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285750</xdr:colOff>
      <xdr:row>46</xdr:row>
      <xdr:rowOff>9525</xdr:rowOff>
    </xdr:from>
    <xdr:ext cx="941925" cy="2845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AFD35F6-C9E3-4F5F-8500-05EBE5BF2A8F}"/>
                </a:ext>
              </a:extLst>
            </xdr:cNvPr>
            <xdr:cNvSpPr txBox="1"/>
          </xdr:nvSpPr>
          <xdr:spPr>
            <a:xfrm>
              <a:off x="285750" y="7353300"/>
              <a:ext cx="941925" cy="28456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𝟐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</m:t>
                        </m:r>
                      </m:num>
                      <m:den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  <m:sSup>
                          <m:sSup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𝒏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</m:t>
                            </m:r>
                          </m:sup>
                        </m:sSup>
                        <m:sSup>
                          <m:sSup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𝟓</m:t>
                            </m:r>
                          </m:sup>
                        </m:sSup>
                      </m:den>
                    </m:f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</m:t>
                        </m:r>
                      </m:sub>
                    </m:sSub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AFD35F6-C9E3-4F5F-8500-05EBE5BF2A8F}"/>
                </a:ext>
              </a:extLst>
            </xdr:cNvPr>
            <xdr:cNvSpPr txBox="1"/>
          </xdr:nvSpPr>
          <xdr:spPr>
            <a:xfrm>
              <a:off x="285750" y="7353300"/>
              <a:ext cx="941925" cy="284565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𝝅_𝟐=𝑷/(𝝆𝒏^𝟑 𝒅^𝟓 )=𝑵_𝑷</a:t>
              </a:r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209550</xdr:colOff>
      <xdr:row>49</xdr:row>
      <xdr:rowOff>0</xdr:rowOff>
    </xdr:from>
    <xdr:ext cx="1345497" cy="11923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10FFA8B-FB8A-46F3-A18B-A550AB1A3EE9}"/>
                </a:ext>
              </a:extLst>
            </xdr:cNvPr>
            <xdr:cNvSpPr txBox="1"/>
          </xdr:nvSpPr>
          <xdr:spPr>
            <a:xfrm>
              <a:off x="209550" y="7800975"/>
              <a:ext cx="1345497" cy="1192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𝒉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𝒊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𝒋</m:t>
                        </m:r>
                      </m:sup>
                    </m:sSup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𝝁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𝑴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𝒕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𝑴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𝒋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+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𝒋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𝑳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𝒉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𝒋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𝒉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𝟐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T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:  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𝒊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𝒊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10FFA8B-FB8A-46F3-A18B-A550AB1A3EE9}"/>
                </a:ext>
              </a:extLst>
            </xdr:cNvPr>
            <xdr:cNvSpPr txBox="1"/>
          </xdr:nvSpPr>
          <xdr:spPr>
            <a:xfrm>
              <a:off x="209550" y="7800975"/>
              <a:ext cx="1345497" cy="11923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𝝅_𝟑=𝒅^𝒉 𝒏^𝒊 𝝆^𝒋 𝝁=𝑴^𝟎 𝑳^𝟎 𝒕^𝟎 " "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𝑴  " :  	" 𝒋+𝟏=𝟎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𝒋=−𝟏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𝑳   ":	"  𝒉−𝟑𝒋−𝟏=𝟎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𝒉=−𝟐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"T  :  	"−𝒊−𝟏=𝟎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𝒊=−𝟏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304800</xdr:colOff>
      <xdr:row>56</xdr:row>
      <xdr:rowOff>19050</xdr:rowOff>
    </xdr:from>
    <xdr:ext cx="933845" cy="2836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D030B236-DE9C-4A52-BD26-23B33CFC7D6C}"/>
                </a:ext>
              </a:extLst>
            </xdr:cNvPr>
            <xdr:cNvSpPr txBox="1"/>
          </xdr:nvSpPr>
          <xdr:spPr>
            <a:xfrm>
              <a:off x="304800" y="8886825"/>
              <a:ext cx="933845" cy="28360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𝝁</m:t>
                        </m:r>
                      </m:num>
                      <m:den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num>
                      <m:den>
                        <m:sSub>
                          <m:sSub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𝑵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𝑹𝒆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ZA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D030B236-DE9C-4A52-BD26-23B33CFC7D6C}"/>
                </a:ext>
              </a:extLst>
            </xdr:cNvPr>
            <xdr:cNvSpPr txBox="1"/>
          </xdr:nvSpPr>
          <xdr:spPr>
            <a:xfrm>
              <a:off x="304800" y="8886825"/>
              <a:ext cx="933845" cy="283604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𝝅_𝟑=𝝁/(𝝆𝒏𝒅^𝟐 )=𝟏/𝑵_𝑹𝒆 </a:t>
              </a:r>
              <a:endParaRPr lang="en-ZA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266700</xdr:colOff>
      <xdr:row>59</xdr:row>
      <xdr:rowOff>76200</xdr:rowOff>
    </xdr:from>
    <xdr:ext cx="1412374" cy="9101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CA6EEC20-651E-4DBC-9E55-4A8153D37509}"/>
                </a:ext>
              </a:extLst>
            </xdr:cNvPr>
            <xdr:cNvSpPr txBox="1"/>
          </xdr:nvSpPr>
          <xdr:spPr>
            <a:xfrm>
              <a:off x="266700" y="9401175"/>
              <a:ext cx="1412374" cy="9101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𝟒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𝒍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𝒎</m:t>
                        </m:r>
                      </m:sup>
                    </m:sSup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𝑽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𝑺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𝑴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𝒕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𝑴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𝑳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𝒌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+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𝒌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T</m:t>
                    </m:r>
                    <m:r>
                      <m:rPr>
                        <m:nor/>
                      </m:rPr>
                      <a:rPr lang="en-ZA" sz="900" b="1" i="0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: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𝒍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𝒍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CA6EEC20-651E-4DBC-9E55-4A8153D37509}"/>
                </a:ext>
              </a:extLst>
            </xdr:cNvPr>
            <xdr:cNvSpPr txBox="1"/>
          </xdr:nvSpPr>
          <xdr:spPr>
            <a:xfrm>
              <a:off x="266700" y="9401175"/>
              <a:ext cx="1412374" cy="9101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𝝅_𝟒=𝒅^𝒌 𝒏^𝒍 𝝆^𝒎 𝑽_𝑺=𝑴^𝟎 𝑳^𝟎 𝒕^𝟎 " "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𝑴   ":  	" 𝒎=𝟎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𝑳   ":	"  𝒌−𝟑𝒎+𝟏=𝟎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𝒌=−𝟏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"T  : "−𝒍−𝟏=𝟎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𝒍=−𝟏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171450</xdr:colOff>
      <xdr:row>65</xdr:row>
      <xdr:rowOff>104775</xdr:rowOff>
    </xdr:from>
    <xdr:ext cx="2460481" cy="259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DFB17508-A7A1-44EE-B312-BD7F0C893892}"/>
                </a:ext>
              </a:extLst>
            </xdr:cNvPr>
            <xdr:cNvSpPr txBox="1"/>
          </xdr:nvSpPr>
          <xdr:spPr>
            <a:xfrm>
              <a:off x="171450" y="10344150"/>
              <a:ext cx="2460481" cy="259302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𝟒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𝑽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𝑺</m:t>
                            </m:r>
                          </m:sub>
                        </m:sSub>
                      </m:num>
                      <m:den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𝒏𝒅</m:t>
                        </m:r>
                      </m:den>
                    </m:f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𝑽𝑺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𝒎𝒐𝒅𝒊𝒇𝒊𝒆𝒅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𝒂𝒊𝒓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𝒇𝒍𝒐𝒘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𝒏𝒖𝒎𝒃𝒆𝒓</m:t>
                    </m:r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DFB17508-A7A1-44EE-B312-BD7F0C893892}"/>
                </a:ext>
              </a:extLst>
            </xdr:cNvPr>
            <xdr:cNvSpPr txBox="1"/>
          </xdr:nvSpPr>
          <xdr:spPr>
            <a:xfrm>
              <a:off x="171450" y="10344150"/>
              <a:ext cx="2460481" cy="259302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𝝅_𝟒=𝑽_𝑺/𝒏𝒅=𝑵_𝑽𝑺=𝒎𝒐𝒅𝒊𝒇𝒊𝒆𝒅 𝒂𝒊𝒓 𝒇𝒍𝒐𝒘 𝒏𝒖𝒎𝒃𝒆𝒓</a:t>
              </a:r>
              <a:endParaRPr lang="en-ZA" sz="900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352425</xdr:colOff>
      <xdr:row>69</xdr:row>
      <xdr:rowOff>0</xdr:rowOff>
    </xdr:from>
    <xdr:ext cx="1327736" cy="9027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5BD9BD5D-13DF-46FA-AB84-4DF4BF299BA0}"/>
                </a:ext>
              </a:extLst>
            </xdr:cNvPr>
            <xdr:cNvSpPr txBox="1"/>
          </xdr:nvSpPr>
          <xdr:spPr>
            <a:xfrm>
              <a:off x="352425" y="10848975"/>
              <a:ext cx="1327736" cy="9027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𝟓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𝒒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𝒓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𝝆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𝒔</m:t>
                        </m:r>
                      </m:sup>
                    </m:sSup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𝑸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𝑴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𝒕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</m:sup>
                    </m:sSup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𝑴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𝒔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𝑳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 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𝒔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+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𝑻</m:t>
                    </m:r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: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𝒓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ZA" sz="900" b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	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𝒓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5BD9BD5D-13DF-46FA-AB84-4DF4BF299BA0}"/>
                </a:ext>
              </a:extLst>
            </xdr:cNvPr>
            <xdr:cNvSpPr txBox="1"/>
          </xdr:nvSpPr>
          <xdr:spPr>
            <a:xfrm>
              <a:off x="352425" y="10848975"/>
              <a:ext cx="1327736" cy="9027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𝝅_𝟓=𝒅^𝒒 𝒏^𝒓 𝝆^𝒔 𝑸=𝑴^𝟎 𝑳^𝟎 𝒕^𝟎 " "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𝑴   ":	"  𝒔=𝟎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𝑳   ":	"  𝒒−𝟑𝒔+𝟑=𝟎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𝒒=−𝟑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𝑻":	"−𝒓−𝟏=𝟎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	" 𝒓=−𝟏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381000</xdr:colOff>
      <xdr:row>75</xdr:row>
      <xdr:rowOff>28575</xdr:rowOff>
    </xdr:from>
    <xdr:ext cx="818814" cy="2601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B1EE5646-5604-4923-8A8E-CD6A965820BC}"/>
                </a:ext>
              </a:extLst>
            </xdr:cNvPr>
            <xdr:cNvSpPr txBox="1"/>
          </xdr:nvSpPr>
          <xdr:spPr>
            <a:xfrm>
              <a:off x="381000" y="11791950"/>
              <a:ext cx="818814" cy="26019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𝝅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𝟓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𝑸</m:t>
                        </m:r>
                      </m:num>
                      <m:den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𝒏</m:t>
                        </m:r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𝒅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</m:t>
                            </m:r>
                          </m:sup>
                        </m:sSup>
                      </m:den>
                    </m:f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𝑵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𝑸</m:t>
                        </m:r>
                      </m:sub>
                    </m:sSub>
                  </m:oMath>
                </m:oMathPara>
              </a14:m>
              <a:endParaRPr lang="en-ZA" sz="9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B1EE5646-5604-4923-8A8E-CD6A965820BC}"/>
                </a:ext>
              </a:extLst>
            </xdr:cNvPr>
            <xdr:cNvSpPr txBox="1"/>
          </xdr:nvSpPr>
          <xdr:spPr>
            <a:xfrm>
              <a:off x="381000" y="11791950"/>
              <a:ext cx="818814" cy="26019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𝝅_𝟓=𝑸/(𝒏𝒅^𝟑 )=𝑵_𝑸</a:t>
              </a:r>
              <a:endParaRPr lang="en-ZA" sz="900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219075</xdr:colOff>
      <xdr:row>80</xdr:row>
      <xdr:rowOff>47625</xdr:rowOff>
    </xdr:from>
    <xdr:ext cx="2691570" cy="3441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2C69A78F-F3F6-4FFB-A267-34D850680176}"/>
                </a:ext>
              </a:extLst>
            </xdr:cNvPr>
            <xdr:cNvSpPr txBox="1"/>
          </xdr:nvSpPr>
          <xdr:spPr>
            <a:xfrm>
              <a:off x="219075" y="12573000"/>
              <a:ext cx="2691570" cy="3441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b>
                    </m:sSub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𝒉</m:t>
                                    </m:r>
                                  </m:e>
                                  <m:sub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𝑳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𝜶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𝑷</m:t>
                                </m:r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𝝆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𝒏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</m:t>
                                    </m:r>
                                  </m:sup>
                                </m:sSup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𝟓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𝜷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𝝆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𝝁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𝜸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𝑽</m:t>
                                    </m:r>
                                  </m:e>
                                  <m:sub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𝑺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𝜹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𝑸</m:t>
                                </m:r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𝜺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2C69A78F-F3F6-4FFB-A267-34D850680176}"/>
                </a:ext>
              </a:extLst>
            </xdr:cNvPr>
            <xdr:cNvSpPr txBox="1"/>
          </xdr:nvSpPr>
          <xdr:spPr>
            <a:xfrm>
              <a:off x="219075" y="12573000"/>
              <a:ext cx="2691570" cy="3441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𝒂=𝑲_𝟏 (𝒉_(𝑳,𝒅)/𝒅)^𝜶 (𝑷/(𝝆𝒏^𝟑 𝒅^𝟓 ))^𝜷 ((𝝆𝒏𝒅^𝟐)/𝝁)^𝜸 (𝑽_𝑺/𝒏𝒅)^𝜹 (𝑸/(𝒏𝒅^𝟑 ))^𝜺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428625</xdr:colOff>
      <xdr:row>78</xdr:row>
      <xdr:rowOff>38100</xdr:rowOff>
    </xdr:from>
    <xdr:ext cx="1147558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F74C1195-C8E2-4160-AA81-88782B9F83B2}"/>
                </a:ext>
              </a:extLst>
            </xdr:cNvPr>
            <xdr:cNvSpPr txBox="1"/>
          </xdr:nvSpPr>
          <xdr:spPr>
            <a:xfrm>
              <a:off x="428625" y="12258675"/>
              <a:ext cx="1147558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ZA" sz="9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𝒌</m:t>
                      </m:r>
                    </m:e>
                    <m:sub>
                      <m:r>
                        <a:rPr lang="en-ZA" sz="9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𝑳</m:t>
                      </m:r>
                    </m:sub>
                  </m:sSub>
                  <m:r>
                    <a:rPr lang="en-ZA" sz="9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𝒂</m:t>
                  </m:r>
                </m:oMath>
              </a14:m>
              <a:r>
                <a:rPr lang="en-ZA" sz="900" b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</a:t>
              </a:r>
              <a14:m>
                <m:oMath xmlns:m="http://schemas.openxmlformats.org/officeDocument/2006/math">
                  <m:sSub>
                    <m:sSubPr>
                      <m:ctrlP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𝝅</m:t>
                      </m:r>
                    </m:e>
                    <m:sub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𝟏</m:t>
                      </m:r>
                    </m:sub>
                  </m:sSub>
                  <m:r>
                    <a:rPr lang="en-ZA" sz="9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, </m:t>
                  </m:r>
                  <m:sSub>
                    <m:sSubPr>
                      <m:ctrlP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𝝅</m:t>
                      </m:r>
                    </m:e>
                    <m:sub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𝟐</m:t>
                      </m:r>
                    </m:sub>
                  </m:sSub>
                  <m:r>
                    <a:rPr lang="en-ZA" sz="9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, </m:t>
                  </m:r>
                  <m:sSub>
                    <m:sSubPr>
                      <m:ctrlP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𝝅</m:t>
                      </m:r>
                    </m:e>
                    <m:sub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𝟑</m:t>
                      </m:r>
                    </m:sub>
                  </m:sSub>
                  <m:r>
                    <a:rPr lang="en-ZA" sz="9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, </m:t>
                  </m:r>
                  <m:sSub>
                    <m:sSubPr>
                      <m:ctrlP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𝝅</m:t>
                      </m:r>
                    </m:e>
                    <m:sub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𝟒</m:t>
                      </m:r>
                    </m:sub>
                  </m:sSub>
                  <m:r>
                    <a:rPr lang="en-ZA" sz="9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, </m:t>
                  </m:r>
                  <m:sSub>
                    <m:sSubPr>
                      <m:ctrlP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𝝅</m:t>
                      </m:r>
                    </m:e>
                    <m:sub>
                      <m:r>
                        <a:rPr lang="en-ZA" sz="9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𝟓</m:t>
                      </m:r>
                    </m:sub>
                  </m:sSub>
                </m:oMath>
              </a14:m>
              <a:endParaRPr lang="en-ZA" sz="9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F74C1195-C8E2-4160-AA81-88782B9F83B2}"/>
                </a:ext>
              </a:extLst>
            </xdr:cNvPr>
            <xdr:cNvSpPr txBox="1"/>
          </xdr:nvSpPr>
          <xdr:spPr>
            <a:xfrm>
              <a:off x="428625" y="12258675"/>
              <a:ext cx="1147558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</a:t>
              </a:r>
              <a:r>
                <a:rPr lang="en-ZA" sz="900" b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=</a:t>
              </a: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𝝅_𝟏, 𝝅_𝟐, 𝝅_𝟑, 𝝅_𝟒, 𝝅_𝟓</a:t>
              </a:r>
              <a:endParaRPr lang="en-ZA" sz="900" b="1">
                <a:solidFill>
                  <a:sysClr val="windowText" lastClr="000000"/>
                </a:solidFill>
                <a:latin typeface="Cambria Math" panose="02040503050406030204" pitchFamily="18" charset="0"/>
                <a:ea typeface="Cambria Math" panose="02040503050406030204" pitchFamily="18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409575</xdr:colOff>
      <xdr:row>83</xdr:row>
      <xdr:rowOff>95250</xdr:rowOff>
    </xdr:from>
    <xdr:ext cx="2250808" cy="32682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95CE3AAE-71C7-4C48-BC8E-53F19BF9E548}"/>
                </a:ext>
              </a:extLst>
            </xdr:cNvPr>
            <xdr:cNvSpPr txBox="1"/>
          </xdr:nvSpPr>
          <xdr:spPr>
            <a:xfrm>
              <a:off x="409575" y="13077825"/>
              <a:ext cx="2250808" cy="32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b>
                    </m:sSub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𝒉</m:t>
                                    </m:r>
                                  </m:e>
                                  <m:sub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𝑳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𝜶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𝑷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𝜷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𝑹𝒆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𝜸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𝑽𝑺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𝜹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𝑵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𝑸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𝜺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95CE3AAE-71C7-4C48-BC8E-53F19BF9E548}"/>
                </a:ext>
              </a:extLst>
            </xdr:cNvPr>
            <xdr:cNvSpPr txBox="1"/>
          </xdr:nvSpPr>
          <xdr:spPr>
            <a:xfrm>
              <a:off x="409575" y="13077825"/>
              <a:ext cx="2250808" cy="3268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𝒂=𝑲_𝟏 (𝒉_(𝑳,𝒅)/𝒅)^𝜶 (𝑵_𝑷 )^𝜷 (𝑵_𝑹𝒆 )^𝜸 (𝑵_𝑽𝑺 )^𝜹 (𝑵_𝑸 )^𝜺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104775</xdr:colOff>
      <xdr:row>88</xdr:row>
      <xdr:rowOff>85725</xdr:rowOff>
    </xdr:from>
    <xdr:ext cx="3816622" cy="3484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B7000799-1691-454F-87EE-367839F76D10}"/>
                </a:ext>
              </a:extLst>
            </xdr:cNvPr>
            <xdr:cNvSpPr txBox="1"/>
          </xdr:nvSpPr>
          <xdr:spPr>
            <a:xfrm>
              <a:off x="104775" y="13677900"/>
              <a:ext cx="3816622" cy="34842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sub>
                    </m:sSub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(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𝒉</m:t>
                        </m:r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p>
                    </m:sSup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)=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𝟎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𝟑𝟔</m:t>
                    </m:r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𝒉</m:t>
                                    </m:r>
                                  </m:e>
                                  <m:sub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𝑳</m:t>
                                    </m:r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,</m:t>
                                    </m:r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𝟎𝟖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𝑷</m:t>
                                </m:r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𝝆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𝒏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</m:t>
                                    </m:r>
                                  </m:sup>
                                </m:sSup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𝟓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𝟗𝟎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𝝆</m:t>
                                </m:r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𝝁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𝟎𝟑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𝑽</m:t>
                                    </m:r>
                                  </m:e>
                                  <m:sub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𝑺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𝒏𝒅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𝟒𝟖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900" b="1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𝑸</m:t>
                                </m:r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𝒏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𝒅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𝟑</m:t>
                                    </m:r>
                                  </m:sup>
                                </m:sSup>
                              </m:den>
                            </m:f>
                          </m:e>
                        </m:d>
                      </m:e>
                      <m:sup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𝟕𝟗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B7000799-1691-454F-87EE-367839F76D10}"/>
                </a:ext>
              </a:extLst>
            </xdr:cNvPr>
            <xdr:cNvSpPr txBox="1"/>
          </xdr:nvSpPr>
          <xdr:spPr>
            <a:xfrm>
              <a:off x="104775" y="13677900"/>
              <a:ext cx="3816622" cy="348429"/>
            </a:xfrm>
            <a:prstGeom prst="rect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 (𝒉^(−𝟏))=𝟎.𝟑𝟔(𝒉_(𝑳,𝒅)/𝒅)^(𝟎.𝟎𝟖) (𝑷/(𝝆𝒏^𝟑 𝒅^𝟓 ))^(−𝟎.𝟗𝟎) ((𝝆𝒏𝒅^𝟐)/𝝁)^(−𝟎.𝟎𝟑) (𝑽_𝑺/𝒏𝒅)^(𝟎.𝟒𝟖) (𝑸/(𝒏𝒅^𝟑 ))^(𝟎.𝟕𝟗)</a:t>
              </a:r>
              <a:endParaRPr lang="en-ZA" sz="900" b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247650</xdr:colOff>
      <xdr:row>108</xdr:row>
      <xdr:rowOff>23812</xdr:rowOff>
    </xdr:from>
    <xdr:ext cx="1816523" cy="2930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9DCD6F5-09E1-454A-BD71-E09202365C4B}"/>
                </a:ext>
              </a:extLst>
            </xdr:cNvPr>
            <xdr:cNvSpPr txBox="1"/>
          </xdr:nvSpPr>
          <xdr:spPr>
            <a:xfrm>
              <a:off x="247650" y="16663987"/>
              <a:ext cx="1816523" cy="29309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𝒂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𝟐𝟗</m:t>
                    </m:r>
                    <m:f>
                      <m:f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𝒉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𝑳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,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𝒅</m:t>
                                </m:r>
                              </m:sub>
                            </m:sSub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𝟎𝟖</m:t>
                            </m:r>
                          </m:sup>
                        </m:sSup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𝑽</m:t>
                                </m:r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𝑺</m:t>
                                </m:r>
                              </m:sub>
                            </m:sSub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𝟒𝟖</m:t>
                            </m:r>
                          </m:sup>
                        </m:sSup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𝑸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𝟕𝟗</m:t>
                            </m:r>
                          </m:sup>
                        </m:sSup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𝒏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𝟒𝟏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𝑷</m:t>
                            </m:r>
                          </m:e>
                          <m:sup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𝟗𝟎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ZA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9DCD6F5-09E1-454A-BD71-E09202365C4B}"/>
                </a:ext>
              </a:extLst>
            </xdr:cNvPr>
            <xdr:cNvSpPr txBox="1"/>
          </xdr:nvSpPr>
          <xdr:spPr>
            <a:xfrm>
              <a:off x="247650" y="16663987"/>
              <a:ext cx="1816523" cy="293094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𝒌_𝑳 𝒂=𝟏.𝟐𝟗 (〖𝒉_(𝑳,𝒅)〗^(𝟎.𝟎𝟖) 〖𝑽_𝑺〗^(𝟎.𝟒𝟖) 𝑸^(𝟎.𝟕𝟗) 𝒏^(𝟏.𝟒𝟏))/𝑷^(𝟎.𝟗𝟎) </a:t>
              </a:r>
              <a:endParaRPr lang="en-ZA" sz="9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76200</xdr:colOff>
      <xdr:row>94</xdr:row>
      <xdr:rowOff>28575</xdr:rowOff>
    </xdr:from>
    <xdr:ext cx="3725507" cy="2705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11BFD7E7-CC31-4ECE-AFA0-2BF352F85620}"/>
                </a:ext>
              </a:extLst>
            </xdr:cNvPr>
            <xdr:cNvSpPr txBox="1"/>
          </xdr:nvSpPr>
          <xdr:spPr>
            <a:xfrm>
              <a:off x="76200" y="14535150"/>
              <a:ext cx="3725507" cy="2705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𝒅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’=−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𝟎𝟖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𝟗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𝟎𝟑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𝟒𝟖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𝟕𝟗</m:t>
                        </m:r>
                      </m:e>
                    </m:d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𝒅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𝟓𝟑</m:t>
                    </m:r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11BFD7E7-CC31-4ECE-AFA0-2BF352F85620}"/>
                </a:ext>
              </a:extLst>
            </xdr:cNvPr>
            <xdr:cNvSpPr txBox="1"/>
          </xdr:nvSpPr>
          <xdr:spPr>
            <a:xfrm>
              <a:off x="76200" y="14535150"/>
              <a:ext cx="3725507" cy="2705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𝒅’=−𝟎.𝟎𝟖+(−𝟓×−𝟎.𝟗)+(𝟐×−𝟎.𝟎𝟑)+(−𝟏×𝟎.𝟒𝟖)+(−𝟑×𝟎.𝟕𝟗)</a:t>
              </a:r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𝒅’=𝟏.𝟓𝟑</a:t>
              </a:r>
              <a:endParaRPr lang="en-ZA" sz="90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66675</xdr:colOff>
      <xdr:row>98</xdr:row>
      <xdr:rowOff>57150</xdr:rowOff>
    </xdr:from>
    <xdr:ext cx="3043333" cy="2817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A96C51F3-07F6-4F21-B145-5AF60E7175B8}"/>
                </a:ext>
              </a:extLst>
            </xdr:cNvPr>
            <xdr:cNvSpPr txBox="1"/>
          </xdr:nvSpPr>
          <xdr:spPr>
            <a:xfrm>
              <a:off x="66675" y="15173325"/>
              <a:ext cx="3043333" cy="2817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𝟗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𝟎𝟑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𝟒𝟖</m:t>
                        </m:r>
                      </m:e>
                    </m:d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d>
                      <m:dPr>
                        <m:ctrlP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𝟕𝟗</m:t>
                        </m:r>
                      </m:e>
                    </m:d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𝟒𝟏</m:t>
                    </m:r>
                  </m:oMath>
                </m:oMathPara>
              </a14:m>
              <a:endParaRPr lang="en-ZA" sz="900">
                <a:solidFill>
                  <a:sysClr val="windowText" lastClr="000000"/>
                </a:solidFill>
                <a:effectLst/>
              </a:endParaRPr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A96C51F3-07F6-4F21-B145-5AF60E7175B8}"/>
                </a:ext>
              </a:extLst>
            </xdr:cNvPr>
            <xdr:cNvSpPr txBox="1"/>
          </xdr:nvSpPr>
          <xdr:spPr>
            <a:xfrm>
              <a:off x="66675" y="15173325"/>
              <a:ext cx="3043333" cy="2817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𝒏’=(−𝟑×−𝟎.𝟗)+(−𝟎.𝟎𝟑)+(−𝟏×𝟎.𝟒𝟖)+(−𝟏×𝟎.𝟕𝟗)</a:t>
              </a:r>
              <a:endParaRPr lang="en-ZA" sz="900">
                <a:solidFill>
                  <a:sysClr val="windowText" lastClr="000000"/>
                </a:solidFill>
                <a:effectLst/>
              </a:endParaRPr>
            </a:p>
            <a:p>
              <a:r>
                <a:rPr lang="en-ZA" sz="900" b="1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𝒏’=𝟏.𝟒𝟏</a:t>
              </a:r>
              <a:endParaRPr lang="en-ZA" sz="900">
                <a:solidFill>
                  <a:sysClr val="windowText" lastClr="000000"/>
                </a:solidFill>
                <a:effectLst/>
              </a:endParaRPr>
            </a:p>
          </xdr:txBody>
        </xdr:sp>
      </mc:Fallback>
    </mc:AlternateContent>
    <xdr:clientData/>
  </xdr:oneCellAnchor>
  <xdr:oneCellAnchor>
    <xdr:from>
      <xdr:col>0</xdr:col>
      <xdr:colOff>9525</xdr:colOff>
      <xdr:row>102</xdr:row>
      <xdr:rowOff>76200</xdr:rowOff>
    </xdr:from>
    <xdr:ext cx="3742115" cy="600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59588891-BBE0-42BA-9AA8-5791EF7F858B}"/>
                </a:ext>
              </a:extLst>
            </xdr:cNvPr>
            <xdr:cNvSpPr txBox="1"/>
          </xdr:nvSpPr>
          <xdr:spPr>
            <a:xfrm>
              <a:off x="9525" y="15801975"/>
              <a:ext cx="3742115" cy="6000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𝝆</m:t>
                        </m:r>
                      </m:e>
                      <m:sup>
                        <m:d>
                          <m:dPr>
                            <m:begChr m:val="["/>
                            <m:endChr m:val="]"/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×−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𝟗</m:t>
                                </m:r>
                              </m:e>
                            </m:d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+(−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𝟎𝟑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d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𝝁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𝟎𝟑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𝒅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𝟓𝟑</m:t>
                        </m:r>
                      </m:sup>
                    </m:sSup>
                  </m:oMath>
                </m:oMathPara>
              </a14:m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𝝆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𝟗𝟗𝟑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𝟑𝟑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𝒌𝒈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 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𝝁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𝟎𝟎𝟎𝟔𝟗𝟏𝟓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𝒌𝒈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𝒔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 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𝒅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𝟎𝟓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𝒎</m:t>
                    </m:r>
                  </m:oMath>
                </m:oMathPara>
              </a14:m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𝟑𝟔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𝟗𝟗𝟑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𝟑𝟑</m:t>
                        </m:r>
                      </m:e>
                      <m:sup>
                        <m:d>
                          <m:dPr>
                            <m:begChr m:val="["/>
                            <m:endChr m:val="]"/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×−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𝟗</m:t>
                                </m:r>
                              </m:e>
                            </m:d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+(−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𝟎𝟑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d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𝟎𝟎𝟎𝟔𝟗𝟏𝟓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𝟎𝟑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𝟎𝟓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𝟓𝟑</m:t>
                        </m:r>
                      </m:sup>
                    </m:sSup>
                  </m:oMath>
                </m:oMathPara>
              </a14:m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𝑲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’=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𝟐𝟖𝟖𝟗</m:t>
                    </m:r>
                  </m:oMath>
                </m:oMathPara>
              </a14:m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59588891-BBE0-42BA-9AA8-5791EF7F858B}"/>
                </a:ext>
              </a:extLst>
            </xdr:cNvPr>
            <xdr:cNvSpPr txBox="1"/>
          </xdr:nvSpPr>
          <xdr:spPr>
            <a:xfrm>
              <a:off x="9525" y="15801975"/>
              <a:ext cx="3742115" cy="6000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𝑲_𝟏’=𝑲_𝟏×𝝆^[(−𝟏×−𝟎.𝟗)+(−𝟎.𝟎𝟑)] ×𝝁^((−𝟏×−𝟎.𝟎𝟑))×𝒅^(𝟏.𝟓𝟑)</a:t>
              </a:r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ZA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𝝆=𝟗𝟗𝟑.𝟑𝟑 𝒌𝒈.𝒎^(−𝟑),  𝝁=𝟎.𝟎𝟎𝟎𝟔𝟗𝟏𝟓 𝒌𝒈𝒎^(−𝟏) 𝒔^(−𝟏),  𝒅=𝟎.𝟎𝟓 𝒎</a:t>
              </a:r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ZA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𝑲_𝟏’=𝟎.𝟑𝟔×〖𝟗𝟗𝟑.𝟑𝟑〗^[(−𝟏×−𝟎.𝟗)+(−𝟎.𝟎𝟑)] ×〖𝟎.𝟎𝟎𝟎𝟔𝟗𝟏𝟓〗^((−𝟏×−𝟎.𝟎𝟑))×〖𝟎.𝟎𝟓〗^(𝟏.𝟓𝟑)</a:t>
              </a:r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ZA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𝑲_𝟏’=𝟏.𝟐𝟖𝟖𝟗</a:t>
              </a:r>
              <a:endParaRPr lang="en-ZA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224119</xdr:colOff>
      <xdr:row>11</xdr:row>
      <xdr:rowOff>82923</xdr:rowOff>
    </xdr:from>
    <xdr:ext cx="3053978" cy="2745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CF293DF-42B7-4235-804D-B2014C4BC0AB}"/>
                </a:ext>
              </a:extLst>
            </xdr:cNvPr>
            <xdr:cNvSpPr txBox="1"/>
          </xdr:nvSpPr>
          <xdr:spPr>
            <a:xfrm>
              <a:off x="5266766" y="1931894"/>
              <a:ext cx="3053978" cy="2745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𝑪</m:t>
                        </m:r>
                      </m:e>
                      <m:sub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𝒎</m:t>
                        </m:r>
                      </m:sub>
                    </m:sSub>
                    <m:r>
                      <a:rPr lang="en-ZA" sz="800" b="1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ZA" sz="8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𝑪</m:t>
                        </m:r>
                      </m:e>
                      <m:sup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∗</m:t>
                        </m:r>
                      </m:sup>
                    </m:sSup>
                    <m:r>
                      <a:rPr lang="en-ZA" sz="8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ZA" sz="8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𝑪</m:t>
                            </m:r>
                          </m:e>
                          <m:sup>
                            <m: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</m:sup>
                        </m:sSup>
                        <m:r>
                          <a:rPr lang="en-ZA" sz="8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𝑪</m:t>
                            </m:r>
                          </m:e>
                          <m:sub>
                            <m:r>
                              <a:rPr lang="en-ZA" sz="8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𝒐</m:t>
                            </m:r>
                          </m:sub>
                        </m:sSub>
                      </m:num>
                      <m:den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ZA" sz="800" b="1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𝝉</m:t>
                            </m:r>
                          </m:e>
                          <m:sub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𝒓</m:t>
                            </m:r>
                          </m:sub>
                        </m:sSub>
                        <m:sSub>
                          <m:sSubPr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𝒌</m:t>
                            </m:r>
                          </m:e>
                          <m:sub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𝑳</m:t>
                            </m:r>
                          </m:sub>
                        </m:sSub>
                        <m:r>
                          <a:rPr kumimoji="0" lang="en-ZA" sz="800" b="1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𝒂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kumimoji="0" lang="en-ZA" sz="800" b="1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𝝉</m:t>
                            </m:r>
                          </m:e>
                          <m:sub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𝒓</m:t>
                            </m:r>
                          </m:sub>
                        </m:sSub>
                        <m:sSub>
                          <m:sSubPr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𝒌</m:t>
                            </m:r>
                          </m:e>
                          <m:sub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𝑳</m:t>
                            </m:r>
                          </m:sub>
                        </m:sSub>
                        <m:r>
                          <a:rPr kumimoji="0" lang="en-ZA" sz="800" b="1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𝒂</m:t>
                        </m:r>
                        <m:r>
                          <a:rPr kumimoji="0" lang="en-ZA" sz="800" b="1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kumimoji="0" lang="en-ZA" sz="800" b="1" i="0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𝐞𝐱𝐩</m:t>
                        </m:r>
                        <m:d>
                          <m:dPr>
                            <m:begChr m:val="{"/>
                            <m:endChr m:val="}"/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d>
                                  <m:dPr>
                                    <m:ctrlP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𝒕</m:t>
                                    </m:r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kumimoji="0" lang="en-ZA" sz="800" b="1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prstClr val="black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0" lang="en-ZA" sz="800" b="1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prstClr val="black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𝒕</m:t>
                                        </m:r>
                                      </m:e>
                                      <m:sub>
                                        <m:r>
                                          <a:rPr kumimoji="0" lang="en-ZA" sz="800" b="1" i="1" u="none" strike="noStrike" kern="0" cap="none" spc="0" normalizeH="0" baseline="0" noProof="0">
                                            <a:ln>
                                              <a:noFill/>
                                            </a:ln>
                                            <a:solidFill>
                                              <a:prstClr val="black"/>
                                            </a:solidFill>
                                            <a:effectLst/>
                                            <a:uLnTx/>
                                            <a:uFillTx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𝒐</m:t>
                                        </m:r>
                                      </m:sub>
                                    </m:sSub>
                                  </m:e>
                                </m:d>
                              </m:num>
                              <m:den>
                                <m:sSub>
                                  <m:sSubPr>
                                    <m:ctrlP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𝝉</m:t>
                                    </m:r>
                                  </m:e>
                                  <m:sub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  <m:r>
                          <a:rPr kumimoji="0" lang="en-ZA" sz="800" b="1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kumimoji="0" lang="en-ZA" sz="800" b="1" i="0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prstClr val="black"/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𝐞𝐱𝐩</m:t>
                        </m:r>
                        <m:d>
                          <m:dPr>
                            <m:begChr m:val="{"/>
                            <m:endChr m:val="}"/>
                            <m:ctrlP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𝒌</m:t>
                                </m:r>
                              </m:e>
                              <m:sub>
                                <m: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𝑳</m:t>
                                </m:r>
                              </m:sub>
                            </m:sSub>
                            <m:r>
                              <a:rPr kumimoji="0" lang="en-ZA" sz="800" b="1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prstClr val="black"/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𝒂</m:t>
                            </m:r>
                            <m:d>
                              <m:dPr>
                                <m:ctrlP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𝒕</m:t>
                                </m:r>
                                <m:r>
                                  <a:rPr kumimoji="0" lang="en-ZA" sz="800" b="1" i="1" u="none" strike="noStrike" kern="0" cap="none" spc="0" normalizeH="0" baseline="0" noProof="0">
                                    <a:ln>
                                      <a:noFill/>
                                    </a:ln>
                                    <a:solidFill>
                                      <a:prstClr val="black"/>
                                    </a:solidFill>
                                    <a:effectLst/>
                                    <a:uLnTx/>
                                    <a:uFillTx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𝒕</m:t>
                                    </m:r>
                                  </m:e>
                                  <m:sub>
                                    <m:r>
                                      <a:rPr kumimoji="0" lang="en-ZA" sz="800" b="1" i="1" u="none" strike="noStrike" kern="0" cap="none" spc="0" normalizeH="0" baseline="0" noProof="0">
                                        <a:ln>
                                          <a:noFill/>
                                        </a:ln>
                                        <a:solidFill>
                                          <a:prstClr val="black"/>
                                        </a:solidFill>
                                        <a:effectLst/>
                                        <a:uLnTx/>
                                        <a:uFillTx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𝒐</m:t>
                                    </m:r>
                                  </m:sub>
                                </m:sSub>
                              </m:e>
                            </m:d>
                          </m:e>
                        </m:d>
                      </m:e>
                    </m:d>
                  </m:oMath>
                </m:oMathPara>
              </a14:m>
              <a:endParaRPr lang="en-ZA" sz="800" b="1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CF293DF-42B7-4235-804D-B2014C4BC0AB}"/>
                </a:ext>
              </a:extLst>
            </xdr:cNvPr>
            <xdr:cNvSpPr txBox="1"/>
          </xdr:nvSpPr>
          <xdr:spPr>
            <a:xfrm>
              <a:off x="5266766" y="1931894"/>
              <a:ext cx="3053978" cy="2745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800" b="1" i="0">
                  <a:latin typeface="Cambria Math" panose="02040503050406030204" pitchFamily="18" charset="0"/>
                </a:rPr>
                <a:t>𝑪_𝒎=𝑪^∗+(</a:t>
              </a:r>
              <a:r>
                <a:rPr lang="en-ZA" sz="8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𝑪^∗−𝑪_𝒐)/(</a:t>
              </a:r>
              <a:r>
                <a:rPr lang="en-ZA" sz="800" b="1" i="0">
                  <a:latin typeface="Cambria Math" panose="02040503050406030204" pitchFamily="18" charset="0"/>
                </a:rPr>
                <a:t>𝟏−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𝝉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_𝒓 𝒌_𝑳 𝒂) [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𝝉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_𝒓 𝒌_𝑳 𝒂.𝐞𝐱𝐩{(−(𝒕−𝒕_𝒐 ))/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𝝉</a:t>
              </a:r>
              <a:r>
                <a:rPr kumimoji="0" lang="en-ZA" sz="800" b="1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_𝒓 }−𝐞𝐱𝐩{−𝒌_𝑳 𝒂(𝒕−𝒕_𝒐 )}]</a:t>
              </a:r>
              <a:endParaRPr lang="en-ZA" sz="800" b="1"/>
            </a:p>
          </xdr:txBody>
        </xdr:sp>
      </mc:Fallback>
    </mc:AlternateContent>
    <xdr:clientData/>
  </xdr:oneCellAnchor>
  <xdr:twoCellAnchor>
    <xdr:from>
      <xdr:col>0</xdr:col>
      <xdr:colOff>781050</xdr:colOff>
      <xdr:row>56</xdr:row>
      <xdr:rowOff>66675</xdr:rowOff>
    </xdr:from>
    <xdr:to>
      <xdr:col>7</xdr:col>
      <xdr:colOff>47625</xdr:colOff>
      <xdr:row>74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1F07F9-719A-45B1-BA77-284638BAAC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341779</xdr:colOff>
      <xdr:row>7</xdr:row>
      <xdr:rowOff>60232</xdr:rowOff>
    </xdr:from>
    <xdr:ext cx="1994905" cy="3009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3CD55A2-AB57-4F19-B24B-F620256A271C}"/>
                </a:ext>
              </a:extLst>
            </xdr:cNvPr>
            <xdr:cNvSpPr txBox="1"/>
          </xdr:nvSpPr>
          <xdr:spPr>
            <a:xfrm>
              <a:off x="5384426" y="1259261"/>
              <a:ext cx="1994905" cy="300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sub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ZA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num>
                              <m:den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sSub>
                                  <m:sSubPr>
                                    <m:ctrlP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Sup>
                      <m:sSub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ZA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num>
                              <m:den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sSub>
                                  <m:sSubPr>
                                    <m:ctrlP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Sup>
                      <m:sSub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a:rPr lang="en-ZA" sz="8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+…</m:t>
                    </m:r>
                    <m:sSup>
                      <m:s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ZA" sz="8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𝑓</m:t>
                                </m:r>
                              </m:num>
                              <m:den>
                                <m:r>
                                  <a:rPr lang="en-ZA" sz="8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𝜕</m:t>
                                </m:r>
                                <m:sSub>
                                  <m:sSubPr>
                                    <m:ctrlP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ZA" sz="8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𝑛</m:t>
                                    </m:r>
                                  </m:sub>
                                </m:sSub>
                              </m:den>
                            </m:f>
                          </m:e>
                        </m:d>
                      </m:e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Sup>
                      <m:sSubSupPr>
                        <m:ctrlP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𝜎</m:t>
                        </m:r>
                      </m:e>
                      <m:sub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en-ZA" sz="8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bSup>
                    <m:r>
                      <m:rPr>
                        <m:nor/>
                      </m:rPr>
                      <a:rPr lang="en-ZA" sz="80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	</m:t>
                    </m:r>
                  </m:oMath>
                </m:oMathPara>
              </a14:m>
              <a:endParaRPr lang="en-ZA" sz="8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3CD55A2-AB57-4F19-B24B-F620256A271C}"/>
                </a:ext>
              </a:extLst>
            </xdr:cNvPr>
            <xdr:cNvSpPr txBox="1"/>
          </xdr:nvSpPr>
          <xdr:spPr>
            <a:xfrm>
              <a:off x="5384426" y="1259261"/>
              <a:ext cx="1994905" cy="300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ZA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𝜎_𝑦^2=(𝜕𝑓/(𝜕𝑥_1 ))^2 𝜎_1^2+(𝜕𝑓/(𝜕𝑥_2 ))^2 𝜎_2^2+…(𝜕𝑓/(𝜕𝑥_𝑛 ))^2 𝜎_𝑛^2</a:t>
              </a:r>
              <a:r>
                <a:rPr lang="en-ZA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ZA" sz="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	</a:t>
              </a:r>
              <a:r>
                <a:rPr lang="en-ZA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en-ZA" sz="800"/>
            </a:p>
          </xdr:txBody>
        </xdr:sp>
      </mc:Fallback>
    </mc:AlternateContent>
    <xdr:clientData/>
  </xdr:oneCellAnchor>
  <xdr:oneCellAnchor>
    <xdr:from>
      <xdr:col>7</xdr:col>
      <xdr:colOff>489697</xdr:colOff>
      <xdr:row>56</xdr:row>
      <xdr:rowOff>125505</xdr:rowOff>
    </xdr:from>
    <xdr:ext cx="3932807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154314D-2E43-4E55-90AB-0AF649692CDE}"/>
                </a:ext>
              </a:extLst>
            </xdr:cNvPr>
            <xdr:cNvSpPr txBox="1"/>
          </xdr:nvSpPr>
          <xdr:spPr>
            <a:xfrm>
              <a:off x="5980579" y="7790329"/>
              <a:ext cx="3932807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𝑘</m:t>
                        </m:r>
                      </m:e>
                      <m:sub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</m:sub>
                    </m:sSub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</m:t>
                    </m:r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=0.0892 </m:t>
                    </m:r>
                    <m:sSup>
                      <m:sSup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𝑚𝑖𝑛</m:t>
                        </m:r>
                      </m:e>
                      <m:sup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=0.0892 </m:t>
                    </m:r>
                    <m:sSup>
                      <m:sSup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𝑚𝑖𝑛</m:t>
                        </m:r>
                      </m:e>
                      <m:sup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p>
                    </m:sSup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f>
                      <m:fPr>
                        <m:ctrlP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60</m:t>
                        </m:r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𝑚𝑖𝑛</m:t>
                        </m:r>
                      </m:num>
                      <m:den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  <m:r>
                          <a:rPr lang="en-Z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den>
                    </m:f>
                    <m:r>
                      <a:rPr lang="en-ZA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=5.352759319</m:t>
                    </m:r>
                  </m:oMath>
                </m:oMathPara>
              </a14:m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D154314D-2E43-4E55-90AB-0AF649692CDE}"/>
                </a:ext>
              </a:extLst>
            </xdr:cNvPr>
            <xdr:cNvSpPr txBox="1"/>
          </xdr:nvSpPr>
          <xdr:spPr>
            <a:xfrm>
              <a:off x="5980579" y="7790329"/>
              <a:ext cx="3932807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𝑘_𝐿 𝑎=0.0892 〖𝑚𝑖𝑛〗^(−1)=0.0892 〖𝑚𝑖𝑛〗^(−1)×60𝑚𝑖𝑛/1ℎ=5.352759319</a:t>
              </a:r>
              <a:endParaRPr lang="en-Z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0</xdr:col>
      <xdr:colOff>600075</xdr:colOff>
      <xdr:row>3</xdr:row>
      <xdr:rowOff>19050</xdr:rowOff>
    </xdr:from>
    <xdr:ext cx="762000" cy="161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32CF733-53FD-40EC-8CE4-CACE0A04FFD5}"/>
                </a:ext>
              </a:extLst>
            </xdr:cNvPr>
            <xdr:cNvSpPr txBox="1"/>
          </xdr:nvSpPr>
          <xdr:spPr>
            <a:xfrm>
              <a:off x="600075" y="428625"/>
              <a:ext cx="762000" cy="161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𝑯</m:t>
                        </m:r>
                      </m:sub>
                    </m:sSub>
                    <m:d>
                      <m:d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𝟐𝟗𝟖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𝟏𝟓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𝑲</m:t>
                        </m:r>
                      </m:e>
                    </m:d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832CF733-53FD-40EC-8CE4-CACE0A04FFD5}"/>
                </a:ext>
              </a:extLst>
            </xdr:cNvPr>
            <xdr:cNvSpPr txBox="1"/>
          </xdr:nvSpPr>
          <xdr:spPr>
            <a:xfrm>
              <a:off x="600075" y="428625"/>
              <a:ext cx="762000" cy="161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𝒌_𝑯 (𝟐𝟗𝟖.𝟏𝟓𝑲)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552450</xdr:colOff>
      <xdr:row>4</xdr:row>
      <xdr:rowOff>57150</xdr:rowOff>
    </xdr:from>
    <xdr:ext cx="628650" cy="409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20502D5-A7D5-4A7E-8ABE-590E2ACC1D90}"/>
                </a:ext>
              </a:extLst>
            </xdr:cNvPr>
            <xdr:cNvSpPr txBox="1"/>
          </xdr:nvSpPr>
          <xdr:spPr>
            <a:xfrm>
              <a:off x="552450" y="619125"/>
              <a:ext cx="628650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  <m:func>
                          <m:func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𝒍𝒏</m:t>
                            </m:r>
                          </m:fName>
                          <m:e>
                            <m:sSub>
                              <m:sSub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d>
                                  <m:d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en-ZA" sz="9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ZA" sz="9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𝒌</m:t>
                                        </m:r>
                                      </m:e>
                                      <m:sub>
                                        <m:r>
                                          <a:rPr lang="en-ZA" sz="900" b="1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𝑯</m:t>
                                        </m:r>
                                      </m:sub>
                                    </m:sSub>
                                  </m:e>
                                </m:d>
                              </m:e>
                              <m:sub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𝑪𝒑</m:t>
                                </m:r>
                              </m:sub>
                            </m:sSub>
                          </m:e>
                        </m:func>
                      </m:num>
                      <m:den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𝒅</m:t>
                        </m:r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𝟏</m:t>
                                </m:r>
                              </m:num>
                              <m:den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𝑻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20502D5-A7D5-4A7E-8ABE-590E2ACC1D90}"/>
                </a:ext>
              </a:extLst>
            </xdr:cNvPr>
            <xdr:cNvSpPr txBox="1"/>
          </xdr:nvSpPr>
          <xdr:spPr>
            <a:xfrm>
              <a:off x="552450" y="619125"/>
              <a:ext cx="628650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(𝒅 𝒍𝒏⁡〖(𝒌_𝑯 )_𝑪𝒑 〗)/𝒅(𝟏/𝑻) 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400050</xdr:colOff>
      <xdr:row>6</xdr:row>
      <xdr:rowOff>85725</xdr:rowOff>
    </xdr:from>
    <xdr:ext cx="3396956" cy="3112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4F7EF50-158C-4D16-8F8B-F32D3CA1B8D9}"/>
                </a:ext>
              </a:extLst>
            </xdr:cNvPr>
            <xdr:cNvSpPr txBox="1"/>
          </xdr:nvSpPr>
          <xdr:spPr>
            <a:xfrm>
              <a:off x="400050" y="1060637"/>
              <a:ext cx="3396956" cy="3112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uncPr>
                      <m:fNam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𝒍𝒏</m:t>
                        </m:r>
                      </m:fName>
                      <m:e>
                        <m:sSub>
                          <m:sSub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𝒌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𝑯</m:t>
                            </m:r>
                          </m:sub>
                        </m:sSub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𝟑𝟏𝟎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𝟏𝟓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𝑲</m:t>
                            </m:r>
                          </m:e>
                        </m:d>
                      </m:e>
                    </m:func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unc>
                          <m:func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𝒍𝒏</m:t>
                            </m:r>
                          </m:fName>
                          <m:e>
                            <m:d>
                              <m:dPr>
                                <m:ctrlP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𝟏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𝟑</m:t>
                                </m:r>
                                <m:r>
                                  <a:rPr lang="en-ZA" sz="9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×</m:t>
                                </m:r>
                                <m:sSup>
                                  <m:sSupPr>
                                    <m:ctrlP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𝟏𝟎</m:t>
                                    </m:r>
                                  </m:e>
                                  <m:sup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𝟓</m:t>
                                    </m:r>
                                    <m:r>
                                      <a:rPr lang="en-ZA" sz="9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  <a:cs typeface="+mn-cs"/>
                                      </a:rPr>
                                      <m:t> </m:t>
                                    </m:r>
                                  </m:sup>
                                </m:sSup>
                              </m:e>
                            </m:d>
                          </m:e>
                        </m:func>
                      </m:e>
                    </m:d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+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𝟏𝟓𝟎𝟎</m:t>
                    </m:r>
                    <m:d>
                      <m:d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num>
                          <m:den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𝟑𝟏𝟎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𝟏𝟓</m:t>
                            </m:r>
                          </m:den>
                        </m:f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</m:t>
                            </m:r>
                          </m:num>
                          <m:den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𝟐𝟗𝟖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𝟏𝟓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4F7EF50-158C-4D16-8F8B-F32D3CA1B8D9}"/>
                </a:ext>
              </a:extLst>
            </xdr:cNvPr>
            <xdr:cNvSpPr txBox="1"/>
          </xdr:nvSpPr>
          <xdr:spPr>
            <a:xfrm>
              <a:off x="400050" y="1060637"/>
              <a:ext cx="3396956" cy="3112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𝒍𝒏⁡〖𝒌_𝑯 (𝟑𝟏𝟎.𝟏𝟓𝑲)〗=[𝒍𝒏⁡(𝟏.𝟑×〖𝟏𝟎〗^(−𝟓 ) ) ]+𝟏𝟓𝟎𝟎(𝟏/(𝟑𝟏𝟎.𝟏𝟓)−𝟏/(𝟐𝟗𝟖.𝟏𝟓))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19050</xdr:colOff>
      <xdr:row>3</xdr:row>
      <xdr:rowOff>9525</xdr:rowOff>
    </xdr:from>
    <xdr:ext cx="752475" cy="142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F9A07CB-5D00-412C-B597-E2C8A3D7AA63}"/>
                </a:ext>
              </a:extLst>
            </xdr:cNvPr>
            <xdr:cNvSpPr txBox="1"/>
          </xdr:nvSpPr>
          <xdr:spPr>
            <a:xfrm>
              <a:off x="2181225" y="419100"/>
              <a:ext cx="752475" cy="142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𝒎𝒐𝒍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𝑷𝒂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EF9A07CB-5D00-412C-B597-E2C8A3D7AA63}"/>
                </a:ext>
              </a:extLst>
            </xdr:cNvPr>
            <xdr:cNvSpPr txBox="1"/>
          </xdr:nvSpPr>
          <xdr:spPr>
            <a:xfrm>
              <a:off x="2181225" y="419100"/>
              <a:ext cx="752475" cy="142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𝒎𝒐𝒍.𝒎^(−𝟑) 〖𝑷𝒂〗^(−𝟏)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571500</xdr:colOff>
      <xdr:row>9</xdr:row>
      <xdr:rowOff>9525</xdr:rowOff>
    </xdr:from>
    <xdr:ext cx="875945" cy="1352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849F9291-372A-4E63-855B-A1FDDACA7EC0}"/>
                </a:ext>
              </a:extLst>
            </xdr:cNvPr>
            <xdr:cNvSpPr txBox="1"/>
          </xdr:nvSpPr>
          <xdr:spPr>
            <a:xfrm>
              <a:off x="571500" y="1455084"/>
              <a:ext cx="875945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uncPr>
                      <m:fNam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𝒍𝒏</m:t>
                        </m:r>
                      </m:fName>
                      <m:e>
                        <m:sSub>
                          <m:sSub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𝒌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𝑯</m:t>
                            </m:r>
                          </m:sub>
                        </m:sSub>
                        <m:d>
                          <m:d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𝟑𝟏𝟎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.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𝟏𝟓</m:t>
                            </m:r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𝑲</m:t>
                            </m:r>
                          </m:e>
                        </m:d>
                      </m:e>
                    </m:func>
                  </m:oMath>
                </m:oMathPara>
              </a14:m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849F9291-372A-4E63-855B-A1FDDACA7EC0}"/>
                </a:ext>
              </a:extLst>
            </xdr:cNvPr>
            <xdr:cNvSpPr txBox="1"/>
          </xdr:nvSpPr>
          <xdr:spPr>
            <a:xfrm>
              <a:off x="571500" y="1455084"/>
              <a:ext cx="875945" cy="1352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𝒍𝒏⁡〖𝒌_𝑯 (𝟑𝟏𝟎.𝟏𝟓𝑲)〗</a:t>
              </a:r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0</xdr:colOff>
      <xdr:row>10</xdr:row>
      <xdr:rowOff>0</xdr:rowOff>
    </xdr:from>
    <xdr:ext cx="752475" cy="142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016C372-5C26-44FD-ACC3-5363703989AA}"/>
                </a:ext>
              </a:extLst>
            </xdr:cNvPr>
            <xdr:cNvSpPr txBox="1"/>
          </xdr:nvSpPr>
          <xdr:spPr>
            <a:xfrm>
              <a:off x="2162175" y="1514475"/>
              <a:ext cx="752475" cy="142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𝒎𝒐𝒍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p>
                    </m:sSup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𝑷𝒂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2016C372-5C26-44FD-ACC3-5363703989AA}"/>
                </a:ext>
              </a:extLst>
            </xdr:cNvPr>
            <xdr:cNvSpPr txBox="1"/>
          </xdr:nvSpPr>
          <xdr:spPr>
            <a:xfrm>
              <a:off x="2162175" y="1514475"/>
              <a:ext cx="752475" cy="142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𝒎𝒐𝒍.𝒎^(−𝟑) 〖𝑷𝒂〗^(−𝟏)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19050</xdr:colOff>
      <xdr:row>10</xdr:row>
      <xdr:rowOff>9525</xdr:rowOff>
    </xdr:from>
    <xdr:ext cx="762000" cy="161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A6DF40A-D9FE-4E32-868A-017C4B4F4E1C}"/>
                </a:ext>
              </a:extLst>
            </xdr:cNvPr>
            <xdr:cNvSpPr txBox="1"/>
          </xdr:nvSpPr>
          <xdr:spPr>
            <a:xfrm>
              <a:off x="628650" y="1524000"/>
              <a:ext cx="762000" cy="161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𝑯</m:t>
                        </m:r>
                      </m:sub>
                    </m:sSub>
                    <m:d>
                      <m:d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𝟑𝟏𝟎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.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𝟏𝟓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𝑲</m:t>
                        </m:r>
                      </m:e>
                    </m:d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BA6DF40A-D9FE-4E32-868A-017C4B4F4E1C}"/>
                </a:ext>
              </a:extLst>
            </xdr:cNvPr>
            <xdr:cNvSpPr txBox="1"/>
          </xdr:nvSpPr>
          <xdr:spPr>
            <a:xfrm>
              <a:off x="628650" y="1524000"/>
              <a:ext cx="762000" cy="1619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𝒌_𝑯 (𝟑𝟏𝟎.𝟏𝟓𝑲)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114300</xdr:colOff>
      <xdr:row>13</xdr:row>
      <xdr:rowOff>19050</xdr:rowOff>
    </xdr:from>
    <xdr:ext cx="1830501" cy="2000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F1CB36E-13AB-478F-A422-A4273B93D95B}"/>
                </a:ext>
              </a:extLst>
            </xdr:cNvPr>
            <xdr:cNvSpPr txBox="1"/>
          </xdr:nvSpPr>
          <xdr:spPr>
            <a:xfrm>
              <a:off x="723900" y="1990725"/>
              <a:ext cx="1830501" cy="200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𝑪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𝑶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𝟐</m:t>
                        </m:r>
                      </m:sub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∗</m:t>
                        </m:r>
                      </m:sup>
                    </m:sSubSup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𝒌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𝑯</m:t>
                        </m:r>
                      </m:sub>
                    </m:sSub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𝑨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,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𝒔𝒂𝒕</m:t>
                        </m:r>
                      </m:sub>
                    </m:sSub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𝒌</m:t>
                            </m:r>
                          </m:e>
                          <m:sub>
                            <m:r>
                              <a:rPr lang="en-ZA" sz="9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𝑯</m:t>
                            </m:r>
                          </m:sub>
                        </m:s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𝒚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𝑨</m:t>
                        </m:r>
                      </m:sub>
                    </m:sSub>
                    <m:sSub>
                      <m:sSub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𝑷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𝒕𝒐𝒕𝒂𝒍</m:t>
                        </m:r>
                      </m:sub>
                    </m:sSub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AF1CB36E-13AB-478F-A422-A4273B93D95B}"/>
                </a:ext>
              </a:extLst>
            </xdr:cNvPr>
            <xdr:cNvSpPr txBox="1"/>
          </xdr:nvSpPr>
          <xdr:spPr>
            <a:xfrm>
              <a:off x="723900" y="1990725"/>
              <a:ext cx="1830501" cy="2000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𝑪_𝑶𝟐^∗=𝒌_𝑯 𝑷_(𝑨,𝒔𝒂𝒕)=〖𝒌_𝑯 𝒚〗_𝑨 𝑷_𝒕𝒐𝒕𝒂𝒍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</xdr:col>
      <xdr:colOff>295275</xdr:colOff>
      <xdr:row>15</xdr:row>
      <xdr:rowOff>0</xdr:rowOff>
    </xdr:from>
    <xdr:ext cx="2762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B7DC72D-210E-448C-BED7-B9E307DF81CE}"/>
                </a:ext>
              </a:extLst>
            </xdr:cNvPr>
            <xdr:cNvSpPr txBox="1"/>
          </xdr:nvSpPr>
          <xdr:spPr>
            <a:xfrm>
              <a:off x="904875" y="2276475"/>
              <a:ext cx="2762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𝑪</m:t>
                        </m:r>
                      </m:e>
                      <m:sub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𝑶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b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</m:sup>
                    </m:sSubSup>
                  </m:oMath>
                </m:oMathPara>
              </a14:m>
              <a:endParaRPr lang="en-ZA" sz="900" b="1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B7DC72D-210E-448C-BED7-B9E307DF81CE}"/>
                </a:ext>
              </a:extLst>
            </xdr:cNvPr>
            <xdr:cNvSpPr txBox="1"/>
          </xdr:nvSpPr>
          <xdr:spPr>
            <a:xfrm>
              <a:off x="904875" y="2276475"/>
              <a:ext cx="2762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ZA" sz="9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𝑪_𝑶𝟐^∗</a:t>
              </a:r>
              <a:endParaRPr lang="en-ZA" sz="900" b="1"/>
            </a:p>
          </xdr:txBody>
        </xdr:sp>
      </mc:Fallback>
    </mc:AlternateContent>
    <xdr:clientData/>
  </xdr:oneCellAnchor>
  <xdr:oneCellAnchor>
    <xdr:from>
      <xdr:col>3</xdr:col>
      <xdr:colOff>19051</xdr:colOff>
      <xdr:row>14</xdr:row>
      <xdr:rowOff>142875</xdr:rowOff>
    </xdr:from>
    <xdr:ext cx="552450" cy="152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4B6DB178-C17D-4A55-9D93-BAE3848872BC}"/>
                </a:ext>
              </a:extLst>
            </xdr:cNvPr>
            <xdr:cNvSpPr txBox="1"/>
          </xdr:nvSpPr>
          <xdr:spPr>
            <a:xfrm>
              <a:off x="2181226" y="2266950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𝒎𝒐𝒍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4B6DB178-C17D-4A55-9D93-BAE3848872BC}"/>
                </a:ext>
              </a:extLst>
            </xdr:cNvPr>
            <xdr:cNvSpPr txBox="1"/>
          </xdr:nvSpPr>
          <xdr:spPr>
            <a:xfrm>
              <a:off x="2181226" y="2266950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𝒎𝒐𝒍.𝒎^(−𝟑)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552450" cy="152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374EBEF-6BC2-4F69-A44D-8DF6CECD0DAA}"/>
                </a:ext>
              </a:extLst>
            </xdr:cNvPr>
            <xdr:cNvSpPr txBox="1"/>
          </xdr:nvSpPr>
          <xdr:spPr>
            <a:xfrm>
              <a:off x="3381375" y="2276475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𝒎𝒐𝒍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1374EBEF-6BC2-4F69-A44D-8DF6CECD0DAA}"/>
                </a:ext>
              </a:extLst>
            </xdr:cNvPr>
            <xdr:cNvSpPr txBox="1"/>
          </xdr:nvSpPr>
          <xdr:spPr>
            <a:xfrm>
              <a:off x="3381375" y="2276475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𝒎𝒐𝒍.𝑳^(−𝟏)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552450" cy="152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2B1618CB-26EE-4E10-AE68-82439DDCC45E}"/>
                </a:ext>
              </a:extLst>
            </xdr:cNvPr>
            <xdr:cNvSpPr txBox="1"/>
          </xdr:nvSpPr>
          <xdr:spPr>
            <a:xfrm>
              <a:off x="3381375" y="2428875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𝒎𝒈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𝑳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𝟏</m:t>
                        </m:r>
                      </m:sup>
                    </m:sSup>
                  </m:oMath>
                </m:oMathPara>
              </a14:m>
              <a:endParaRPr lang="en-ZA" sz="900" b="1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2B1618CB-26EE-4E10-AE68-82439DDCC45E}"/>
                </a:ext>
              </a:extLst>
            </xdr:cNvPr>
            <xdr:cNvSpPr txBox="1"/>
          </xdr:nvSpPr>
          <xdr:spPr>
            <a:xfrm>
              <a:off x="3381375" y="2428875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𝒎𝒈.𝑳^(−𝟏)</a:t>
              </a:r>
              <a:endParaRPr lang="en-ZA" sz="900" b="1" i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0</xdr:colOff>
      <xdr:row>21</xdr:row>
      <xdr:rowOff>0</xdr:rowOff>
    </xdr:from>
    <xdr:ext cx="552450" cy="1524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48A24FA-82CF-4314-BA36-67B22BE4E5D4}"/>
                </a:ext>
              </a:extLst>
            </xdr:cNvPr>
            <xdr:cNvSpPr txBox="1"/>
          </xdr:nvSpPr>
          <xdr:spPr>
            <a:xfrm>
              <a:off x="2095500" y="3563471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𝒎𝒐𝒍</m:t>
                    </m:r>
                    <m:r>
                      <a:rPr lang="en-ZA" sz="9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.</m:t>
                    </m:r>
                    <m:sSup>
                      <m:sSupPr>
                        <m:ctrlP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𝒎</m:t>
                        </m:r>
                      </m:e>
                      <m:sup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−</m:t>
                        </m:r>
                        <m:r>
                          <a:rPr lang="en-ZA" sz="9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𝟑</m:t>
                        </m:r>
                      </m:sup>
                    </m:sSup>
                  </m:oMath>
                </m:oMathPara>
              </a14:m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48A24FA-82CF-4314-BA36-67B22BE4E5D4}"/>
                </a:ext>
              </a:extLst>
            </xdr:cNvPr>
            <xdr:cNvSpPr txBox="1"/>
          </xdr:nvSpPr>
          <xdr:spPr>
            <a:xfrm>
              <a:off x="2095500" y="3563471"/>
              <a:ext cx="552450" cy="1524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ZA" sz="9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𝒎𝒐𝒍.𝒎^(−𝟑)</a:t>
              </a:r>
              <a:endParaRPr lang="en-ZA" sz="900" b="1">
                <a:solidFill>
                  <a:schemeClr val="tx1"/>
                </a:solidFill>
                <a:effectLst/>
                <a:latin typeface="Cambria Math" panose="02040503050406030204" pitchFamily="18" charset="0"/>
                <a:ea typeface="Cambria Math" panose="02040503050406030204" pitchFamily="18" charset="0"/>
                <a:cs typeface="+mn-cs"/>
              </a:endParaRPr>
            </a:p>
            <a:p>
              <a:endParaRPr lang="en-ZA" sz="900" b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jdesigner.com/phphydraulicradius/hydraulic_radius_equation_pipe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4906-F143-475D-9933-FF34C6C45EA0}">
  <dimension ref="A1:U32"/>
  <sheetViews>
    <sheetView tabSelected="1" workbookViewId="0">
      <selection activeCell="R16" sqref="R16"/>
    </sheetView>
  </sheetViews>
  <sheetFormatPr defaultRowHeight="12.75"/>
  <cols>
    <col min="1" max="1" width="13.7109375" style="12" bestFit="1" customWidth="1"/>
    <col min="2" max="2" width="20.85546875" style="12" customWidth="1"/>
    <col min="3" max="3" width="9.85546875" style="12" customWidth="1"/>
    <col min="4" max="12" width="9.140625" style="12"/>
    <col min="13" max="13" width="4" style="12" customWidth="1"/>
    <col min="14" max="14" width="4.28515625" style="12" customWidth="1"/>
    <col min="15" max="20" width="9.140625" style="12"/>
    <col min="21" max="21" width="12.5703125" style="12" customWidth="1"/>
    <col min="22" max="16384" width="9.140625" style="12"/>
  </cols>
  <sheetData>
    <row r="1" spans="1:21" ht="13.5" thickBot="1">
      <c r="A1" s="149" t="s">
        <v>132</v>
      </c>
      <c r="B1" s="470" t="s">
        <v>133</v>
      </c>
      <c r="C1" s="471"/>
      <c r="D1" s="471"/>
      <c r="E1" s="471"/>
      <c r="F1" s="471"/>
      <c r="G1" s="471"/>
      <c r="H1" s="471"/>
      <c r="I1" s="471"/>
      <c r="J1" s="471"/>
      <c r="K1" s="471"/>
      <c r="L1" s="472"/>
      <c r="N1" s="476" t="s">
        <v>134</v>
      </c>
      <c r="O1" s="476"/>
      <c r="P1" s="476"/>
      <c r="Q1" s="476"/>
      <c r="R1" s="476"/>
      <c r="S1" s="476"/>
      <c r="T1" s="476"/>
      <c r="U1" s="202"/>
    </row>
    <row r="2" spans="1:21">
      <c r="A2" s="15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26">
        <v>1</v>
      </c>
      <c r="O2" s="477" t="s">
        <v>718</v>
      </c>
      <c r="P2" s="477"/>
      <c r="Q2" s="477"/>
      <c r="R2" s="477"/>
      <c r="S2" s="477"/>
      <c r="T2" s="477"/>
      <c r="U2" s="202"/>
    </row>
    <row r="3" spans="1:21">
      <c r="A3" s="151" t="s">
        <v>135</v>
      </c>
      <c r="B3" s="473" t="s">
        <v>136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N3" s="426">
        <v>2</v>
      </c>
      <c r="O3" s="477" t="s">
        <v>195</v>
      </c>
      <c r="P3" s="477"/>
      <c r="Q3" s="477"/>
      <c r="R3" s="477"/>
      <c r="S3" s="477"/>
      <c r="T3" s="477"/>
      <c r="U3" s="202"/>
    </row>
    <row r="4" spans="1:21" ht="13.5" customHeight="1" thickBot="1">
      <c r="N4" s="426">
        <v>3</v>
      </c>
      <c r="O4" s="428" t="s">
        <v>526</v>
      </c>
      <c r="P4" s="428"/>
      <c r="Q4" s="428"/>
      <c r="R4" s="428"/>
      <c r="S4" s="428"/>
      <c r="T4" s="428"/>
      <c r="U4" s="203"/>
    </row>
    <row r="5" spans="1:21" ht="13.5" thickBot="1">
      <c r="A5" s="152" t="s">
        <v>137</v>
      </c>
      <c r="B5" s="470" t="s">
        <v>138</v>
      </c>
      <c r="C5" s="471"/>
      <c r="D5" s="471"/>
      <c r="E5" s="471"/>
      <c r="F5" s="471"/>
      <c r="G5" s="471"/>
      <c r="H5" s="471"/>
      <c r="I5" s="471"/>
      <c r="J5" s="471"/>
      <c r="K5" s="471"/>
      <c r="L5" s="472"/>
      <c r="N5" s="426">
        <v>4</v>
      </c>
      <c r="O5" s="428" t="s">
        <v>527</v>
      </c>
      <c r="P5" s="428"/>
      <c r="Q5" s="428"/>
      <c r="R5" s="428"/>
      <c r="S5" s="428"/>
      <c r="T5" s="428"/>
      <c r="U5" s="202"/>
    </row>
    <row r="6" spans="1:21" ht="13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N6" s="426">
        <v>5</v>
      </c>
      <c r="O6" s="436" t="s">
        <v>120</v>
      </c>
      <c r="P6" s="436"/>
      <c r="Q6" s="436"/>
      <c r="R6" s="436"/>
      <c r="S6" s="436"/>
      <c r="T6" s="436"/>
      <c r="U6" s="202"/>
    </row>
    <row r="7" spans="1:21">
      <c r="A7" s="463" t="s">
        <v>139</v>
      </c>
      <c r="B7" s="464" t="s">
        <v>140</v>
      </c>
      <c r="C7" s="465"/>
      <c r="D7" s="465"/>
      <c r="E7" s="465"/>
      <c r="F7" s="465"/>
      <c r="G7" s="465"/>
      <c r="H7" s="465"/>
      <c r="I7" s="465"/>
      <c r="J7" s="465"/>
      <c r="K7" s="465"/>
      <c r="L7" s="466"/>
      <c r="N7" s="426">
        <v>6</v>
      </c>
      <c r="O7" s="428" t="s">
        <v>119</v>
      </c>
      <c r="P7" s="428"/>
      <c r="Q7" s="428"/>
      <c r="R7" s="428"/>
      <c r="S7" s="428"/>
      <c r="T7" s="428"/>
      <c r="U7" s="202"/>
    </row>
    <row r="8" spans="1:21" ht="13.5" thickBot="1">
      <c r="A8" s="463"/>
      <c r="B8" s="467"/>
      <c r="C8" s="468"/>
      <c r="D8" s="468"/>
      <c r="E8" s="468"/>
      <c r="F8" s="468"/>
      <c r="G8" s="468"/>
      <c r="H8" s="468"/>
      <c r="I8" s="468"/>
      <c r="J8" s="468"/>
      <c r="K8" s="468"/>
      <c r="L8" s="469"/>
      <c r="N8" s="426">
        <v>7</v>
      </c>
      <c r="O8" s="478" t="s">
        <v>490</v>
      </c>
      <c r="P8" s="478"/>
      <c r="Q8" s="478"/>
      <c r="R8" s="478"/>
      <c r="S8" s="478"/>
      <c r="T8" s="478"/>
      <c r="U8" s="204"/>
    </row>
    <row r="9" spans="1:2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N9" s="426">
        <v>8</v>
      </c>
      <c r="O9" s="436" t="s">
        <v>417</v>
      </c>
      <c r="P9" s="436"/>
      <c r="Q9" s="436"/>
      <c r="R9" s="436"/>
      <c r="S9" s="436"/>
      <c r="T9" s="436"/>
    </row>
    <row r="10" spans="1:21" ht="15.75" customHeight="1">
      <c r="A10" s="205" t="s">
        <v>141</v>
      </c>
      <c r="B10" s="154" t="s">
        <v>142</v>
      </c>
      <c r="C10" s="154" t="s">
        <v>201</v>
      </c>
      <c r="D10" s="474" t="s">
        <v>143</v>
      </c>
      <c r="E10" s="474"/>
      <c r="F10" s="474"/>
      <c r="G10" s="474"/>
      <c r="H10" s="474"/>
      <c r="I10" s="474"/>
      <c r="J10" s="474"/>
      <c r="K10" s="474"/>
      <c r="L10" s="155"/>
      <c r="N10" s="426">
        <v>9</v>
      </c>
      <c r="O10" s="426" t="s">
        <v>380</v>
      </c>
      <c r="P10" s="426"/>
      <c r="Q10" s="426"/>
      <c r="R10" s="426"/>
      <c r="S10" s="426"/>
      <c r="T10" s="426"/>
      <c r="U10" s="204"/>
    </row>
    <row r="11" spans="1:21">
      <c r="A11" s="206"/>
      <c r="B11" s="1" t="s">
        <v>144</v>
      </c>
      <c r="C11" s="1">
        <v>3</v>
      </c>
      <c r="D11" s="39" t="s">
        <v>147</v>
      </c>
      <c r="E11" s="156"/>
      <c r="F11" s="156"/>
      <c r="G11" s="156"/>
      <c r="H11" s="156"/>
      <c r="I11" s="156"/>
      <c r="J11" s="156"/>
      <c r="K11" s="156"/>
      <c r="L11" s="156"/>
      <c r="N11" s="437">
        <v>10</v>
      </c>
      <c r="O11" s="438" t="s">
        <v>386</v>
      </c>
      <c r="P11" s="438"/>
      <c r="Q11" s="438"/>
      <c r="R11" s="438"/>
      <c r="S11" s="438"/>
      <c r="T11" s="439"/>
    </row>
    <row r="12" spans="1:21">
      <c r="B12" s="1" t="s">
        <v>146</v>
      </c>
      <c r="C12" s="1">
        <v>4</v>
      </c>
      <c r="D12" s="39" t="s">
        <v>145</v>
      </c>
      <c r="E12" s="39"/>
      <c r="F12" s="39"/>
      <c r="G12" s="39"/>
      <c r="H12" s="39"/>
      <c r="I12" s="39"/>
      <c r="J12" s="39"/>
      <c r="K12" s="39"/>
      <c r="L12" s="39"/>
      <c r="O12" s="39"/>
      <c r="P12" s="39"/>
      <c r="Q12" s="39"/>
      <c r="R12" s="39"/>
      <c r="S12" s="39"/>
      <c r="T12" s="153"/>
    </row>
    <row r="13" spans="1:21">
      <c r="B13" s="1" t="s">
        <v>148</v>
      </c>
      <c r="C13" s="1">
        <v>4</v>
      </c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N13" s="155"/>
      <c r="O13" s="155"/>
      <c r="P13" s="155"/>
      <c r="Q13" s="155"/>
      <c r="R13" s="155"/>
      <c r="S13" s="155"/>
      <c r="T13" s="153"/>
    </row>
    <row r="14" spans="1:21">
      <c r="B14" s="1" t="s">
        <v>150</v>
      </c>
      <c r="C14" s="1">
        <v>4</v>
      </c>
      <c r="D14" s="475" t="s">
        <v>151</v>
      </c>
      <c r="E14" s="475"/>
      <c r="F14" s="475"/>
      <c r="G14" s="475"/>
      <c r="H14" s="475"/>
      <c r="I14" s="475"/>
      <c r="J14" s="39"/>
      <c r="K14" s="39"/>
      <c r="L14" s="39"/>
      <c r="N14" s="1"/>
      <c r="O14" s="156"/>
      <c r="P14" s="156"/>
      <c r="Q14" s="156"/>
      <c r="R14" s="156"/>
      <c r="S14" s="156"/>
      <c r="T14" s="153"/>
    </row>
    <row r="15" spans="1:21">
      <c r="B15" s="1" t="s">
        <v>152</v>
      </c>
      <c r="C15" s="1">
        <v>4</v>
      </c>
      <c r="D15" s="39" t="s">
        <v>529</v>
      </c>
      <c r="E15" s="156"/>
      <c r="F15" s="156"/>
      <c r="G15" s="156"/>
      <c r="H15" s="156"/>
      <c r="I15" s="156"/>
      <c r="J15" s="156"/>
      <c r="K15" s="156"/>
      <c r="L15" s="39"/>
      <c r="N15" s="1"/>
      <c r="O15" s="156"/>
      <c r="P15" s="156"/>
      <c r="Q15" s="156"/>
      <c r="R15" s="156"/>
      <c r="S15" s="156"/>
    </row>
    <row r="16" spans="1:21">
      <c r="B16" s="1" t="s">
        <v>153</v>
      </c>
      <c r="C16" s="1">
        <v>4</v>
      </c>
      <c r="D16" s="39" t="s">
        <v>154</v>
      </c>
      <c r="E16" s="156"/>
      <c r="F16" s="156"/>
      <c r="G16" s="156"/>
      <c r="H16" s="156"/>
      <c r="I16" s="156"/>
      <c r="J16" s="156"/>
      <c r="K16" s="156"/>
      <c r="L16" s="39"/>
      <c r="N16" s="1"/>
      <c r="O16" s="156"/>
      <c r="P16" s="156"/>
      <c r="Q16" s="156"/>
      <c r="R16" s="156"/>
      <c r="S16" s="156"/>
    </row>
    <row r="17" spans="2:19" s="427" customFormat="1">
      <c r="B17" s="425" t="s">
        <v>534</v>
      </c>
      <c r="C17" s="425">
        <v>7</v>
      </c>
      <c r="D17" s="39" t="s">
        <v>721</v>
      </c>
      <c r="E17" s="156"/>
      <c r="F17" s="156"/>
      <c r="G17" s="156"/>
      <c r="H17" s="156"/>
      <c r="I17" s="156"/>
      <c r="J17" s="156"/>
      <c r="K17" s="156"/>
      <c r="L17" s="39"/>
      <c r="N17" s="425"/>
      <c r="O17" s="156"/>
      <c r="P17" s="156"/>
      <c r="Q17" s="156"/>
      <c r="R17" s="156"/>
      <c r="S17" s="156"/>
    </row>
    <row r="18" spans="2:19" s="427" customFormat="1">
      <c r="B18" s="425" t="s">
        <v>535</v>
      </c>
      <c r="C18" s="425">
        <v>7</v>
      </c>
      <c r="D18" s="39" t="s">
        <v>721</v>
      </c>
      <c r="E18" s="156"/>
      <c r="F18" s="156"/>
      <c r="G18" s="156"/>
      <c r="H18" s="156"/>
      <c r="I18" s="156"/>
      <c r="J18" s="156"/>
      <c r="K18" s="156"/>
      <c r="L18" s="39"/>
      <c r="N18" s="425"/>
      <c r="O18" s="156"/>
      <c r="P18" s="156"/>
      <c r="Q18" s="156"/>
      <c r="R18" s="156"/>
      <c r="S18" s="156"/>
    </row>
    <row r="19" spans="2:19" s="427" customFormat="1">
      <c r="B19" s="425" t="s">
        <v>536</v>
      </c>
      <c r="C19" s="425">
        <v>6</v>
      </c>
      <c r="D19" s="440" t="s">
        <v>546</v>
      </c>
      <c r="E19" s="440"/>
      <c r="F19" s="440"/>
      <c r="G19" s="440"/>
      <c r="H19" s="440"/>
      <c r="I19" s="156"/>
      <c r="J19" s="156"/>
      <c r="K19" s="156"/>
      <c r="L19" s="39"/>
      <c r="N19" s="425"/>
      <c r="O19" s="156"/>
      <c r="P19" s="156"/>
      <c r="Q19" s="156"/>
      <c r="R19" s="156"/>
      <c r="S19" s="156"/>
    </row>
    <row r="20" spans="2:19" s="427" customFormat="1">
      <c r="B20" s="425" t="s">
        <v>537</v>
      </c>
      <c r="C20" s="425"/>
      <c r="D20" s="39"/>
      <c r="E20" s="156"/>
      <c r="F20" s="156"/>
      <c r="G20" s="156"/>
      <c r="H20" s="156"/>
      <c r="I20" s="156"/>
      <c r="J20" s="156"/>
      <c r="K20" s="156"/>
      <c r="L20" s="39"/>
      <c r="N20" s="425"/>
      <c r="O20" s="156"/>
      <c r="P20" s="156"/>
      <c r="Q20" s="156"/>
      <c r="R20" s="156"/>
      <c r="S20" s="156"/>
    </row>
    <row r="21" spans="2:19" s="427" customFormat="1">
      <c r="B21" s="425" t="s">
        <v>538</v>
      </c>
      <c r="C21" s="425">
        <v>6</v>
      </c>
      <c r="D21" s="440" t="s">
        <v>545</v>
      </c>
      <c r="E21" s="156"/>
      <c r="F21" s="156"/>
      <c r="G21" s="156"/>
      <c r="H21" s="156"/>
      <c r="I21" s="156"/>
      <c r="J21" s="156"/>
      <c r="K21" s="156"/>
      <c r="L21" s="39"/>
      <c r="N21" s="425"/>
      <c r="O21" s="156"/>
      <c r="P21" s="156"/>
      <c r="Q21" s="156"/>
      <c r="R21" s="156"/>
      <c r="S21" s="156"/>
    </row>
    <row r="22" spans="2:19" s="427" customFormat="1">
      <c r="B22" s="425" t="s">
        <v>539</v>
      </c>
      <c r="C22" s="425">
        <v>6</v>
      </c>
      <c r="D22" s="440" t="s">
        <v>540</v>
      </c>
      <c r="E22" s="156"/>
      <c r="F22" s="156"/>
      <c r="G22" s="156"/>
      <c r="H22" s="156"/>
      <c r="I22" s="156"/>
      <c r="J22" s="156"/>
      <c r="K22" s="156"/>
      <c r="L22" s="39"/>
      <c r="N22" s="425"/>
      <c r="O22" s="156"/>
      <c r="P22" s="156"/>
      <c r="Q22" s="156"/>
      <c r="R22" s="156"/>
      <c r="S22" s="156"/>
    </row>
    <row r="23" spans="2:19" s="427" customFormat="1">
      <c r="B23" s="425" t="s">
        <v>410</v>
      </c>
      <c r="C23" s="425">
        <v>10</v>
      </c>
      <c r="D23" s="440" t="s">
        <v>544</v>
      </c>
      <c r="E23" s="156"/>
      <c r="F23" s="156"/>
      <c r="G23" s="156"/>
      <c r="H23" s="156"/>
      <c r="I23" s="156"/>
      <c r="J23" s="156"/>
      <c r="K23" s="156"/>
      <c r="L23" s="39"/>
      <c r="N23" s="425"/>
      <c r="O23" s="156"/>
      <c r="P23" s="156"/>
      <c r="Q23" s="156"/>
      <c r="R23" s="156"/>
      <c r="S23" s="156"/>
    </row>
    <row r="24" spans="2:19">
      <c r="B24" s="425" t="s">
        <v>416</v>
      </c>
      <c r="C24" s="1">
        <v>10</v>
      </c>
      <c r="D24" s="440" t="s">
        <v>541</v>
      </c>
      <c r="E24" s="156"/>
      <c r="F24" s="156"/>
      <c r="G24" s="156"/>
      <c r="H24" s="156"/>
      <c r="I24" s="156"/>
      <c r="J24" s="156"/>
      <c r="K24" s="156"/>
      <c r="L24" s="39"/>
      <c r="N24" s="1"/>
      <c r="O24" s="156"/>
      <c r="P24" s="156"/>
      <c r="Q24" s="156"/>
      <c r="R24" s="156"/>
      <c r="S24" s="156"/>
    </row>
    <row r="25" spans="2:19" s="427" customFormat="1">
      <c r="B25" s="425" t="s">
        <v>542</v>
      </c>
      <c r="C25" s="425">
        <v>10</v>
      </c>
      <c r="D25" s="440" t="s">
        <v>543</v>
      </c>
      <c r="E25" s="156"/>
      <c r="F25" s="156"/>
      <c r="G25" s="156"/>
      <c r="H25" s="156"/>
      <c r="I25" s="156"/>
      <c r="J25" s="156"/>
      <c r="K25" s="156"/>
      <c r="L25" s="39"/>
      <c r="N25" s="425"/>
      <c r="O25" s="156"/>
      <c r="P25" s="156"/>
      <c r="Q25" s="156"/>
      <c r="R25" s="156"/>
      <c r="S25" s="156"/>
    </row>
    <row r="26" spans="2:19" s="427" customFormat="1">
      <c r="B26" s="425"/>
      <c r="C26" s="425"/>
      <c r="D26" s="440"/>
      <c r="E26" s="156"/>
      <c r="F26" s="156"/>
      <c r="G26" s="156"/>
      <c r="H26" s="156"/>
      <c r="I26" s="156"/>
      <c r="J26" s="156"/>
      <c r="K26" s="156"/>
      <c r="L26" s="39"/>
      <c r="N26" s="425"/>
      <c r="O26" s="156"/>
      <c r="P26" s="156"/>
      <c r="Q26" s="156"/>
      <c r="R26" s="156"/>
      <c r="S26" s="156"/>
    </row>
    <row r="27" spans="2:19" s="462" customFormat="1">
      <c r="B27" s="461" t="s">
        <v>716</v>
      </c>
      <c r="C27" s="461">
        <v>1</v>
      </c>
      <c r="D27" s="39" t="s">
        <v>717</v>
      </c>
      <c r="E27" s="156"/>
      <c r="F27" s="156"/>
      <c r="G27" s="156"/>
      <c r="H27" s="156"/>
      <c r="I27" s="156"/>
      <c r="J27" s="156"/>
      <c r="K27" s="156"/>
      <c r="L27" s="39"/>
      <c r="N27" s="461"/>
      <c r="O27" s="156"/>
      <c r="P27" s="156"/>
      <c r="Q27" s="156"/>
      <c r="R27" s="156"/>
      <c r="S27" s="156"/>
    </row>
    <row r="28" spans="2:19">
      <c r="B28" s="1" t="s">
        <v>155</v>
      </c>
      <c r="C28" s="1">
        <v>4</v>
      </c>
      <c r="D28" s="39" t="s">
        <v>156</v>
      </c>
      <c r="E28" s="39"/>
      <c r="F28" s="39"/>
      <c r="G28" s="39"/>
      <c r="H28" s="39"/>
      <c r="I28" s="39"/>
      <c r="J28" s="39"/>
      <c r="K28" s="39"/>
      <c r="L28" s="39"/>
      <c r="N28" s="1"/>
      <c r="O28" s="156"/>
      <c r="P28" s="156"/>
      <c r="Q28" s="156"/>
      <c r="R28" s="156"/>
      <c r="S28" s="156"/>
    </row>
    <row r="29" spans="2:19">
      <c r="B29" s="1" t="s">
        <v>157</v>
      </c>
      <c r="C29" s="1"/>
      <c r="D29" s="1"/>
      <c r="E29" s="1"/>
      <c r="F29" s="1"/>
      <c r="G29" s="1"/>
      <c r="H29" s="1"/>
      <c r="I29" s="1"/>
      <c r="J29" s="1"/>
      <c r="K29" s="1"/>
      <c r="L29" s="39"/>
      <c r="N29" s="1"/>
      <c r="O29" s="156"/>
      <c r="P29" s="156"/>
      <c r="Q29" s="156"/>
      <c r="R29" s="156"/>
      <c r="S29" s="156"/>
    </row>
    <row r="30" spans="2:19" ht="14.25">
      <c r="B30" s="425" t="s">
        <v>530</v>
      </c>
      <c r="C30" s="12">
        <v>8</v>
      </c>
      <c r="D30" s="440" t="s">
        <v>532</v>
      </c>
      <c r="E30" s="157"/>
      <c r="F30" s="157"/>
      <c r="G30" s="157"/>
      <c r="H30" s="157"/>
      <c r="I30" s="157"/>
      <c r="J30" s="157"/>
      <c r="K30" s="157"/>
      <c r="N30" s="1"/>
      <c r="O30" s="1"/>
      <c r="P30" s="1"/>
      <c r="Q30" s="1"/>
      <c r="R30" s="1"/>
      <c r="S30" s="1"/>
    </row>
    <row r="31" spans="2:19" ht="14.25">
      <c r="B31" s="12" t="s">
        <v>531</v>
      </c>
      <c r="C31" s="12">
        <v>8</v>
      </c>
      <c r="D31" s="440" t="s">
        <v>533</v>
      </c>
    </row>
    <row r="32" spans="2:19">
      <c r="B32" s="12" t="s">
        <v>719</v>
      </c>
      <c r="C32" s="12">
        <v>4</v>
      </c>
      <c r="D32" s="39" t="s">
        <v>720</v>
      </c>
    </row>
  </sheetData>
  <mergeCells count="11">
    <mergeCell ref="D14:I14"/>
    <mergeCell ref="N1:T1"/>
    <mergeCell ref="O2:T2"/>
    <mergeCell ref="O3:T3"/>
    <mergeCell ref="B5:L5"/>
    <mergeCell ref="O8:T8"/>
    <mergeCell ref="A7:A8"/>
    <mergeCell ref="B7:L8"/>
    <mergeCell ref="B1:L1"/>
    <mergeCell ref="B3:L3"/>
    <mergeCell ref="D10:K10"/>
  </mergeCells>
  <phoneticPr fontId="44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B211F-477A-4E8C-A343-F7337B19BB35}">
  <dimension ref="A1:W85"/>
  <sheetViews>
    <sheetView zoomScaleNormal="100" workbookViewId="0">
      <selection activeCell="I6" sqref="I6"/>
    </sheetView>
  </sheetViews>
  <sheetFormatPr defaultRowHeight="12"/>
  <cols>
    <col min="1" max="1" width="6.140625" style="340" customWidth="1"/>
    <col min="2" max="3" width="5.28515625" style="340" customWidth="1"/>
    <col min="4" max="4" width="10.140625" style="340" customWidth="1"/>
    <col min="5" max="5" width="7.5703125" style="340" customWidth="1"/>
    <col min="6" max="6" width="4.7109375" style="340" customWidth="1"/>
    <col min="7" max="7" width="7.28515625" style="340" customWidth="1"/>
    <col min="8" max="8" width="8" style="340" customWidth="1"/>
    <col min="9" max="9" width="7.140625" style="340" customWidth="1"/>
    <col min="10" max="10" width="9.7109375" style="340" customWidth="1"/>
    <col min="11" max="11" width="8" style="340" customWidth="1"/>
    <col min="12" max="12" width="2.85546875" style="340" customWidth="1"/>
    <col min="13" max="13" width="6.5703125" style="340" customWidth="1"/>
    <col min="14" max="14" width="6.28515625" style="340" customWidth="1"/>
    <col min="15" max="15" width="7.7109375" style="340" customWidth="1"/>
    <col min="16" max="16" width="9.42578125" style="340" customWidth="1"/>
    <col min="17" max="16384" width="9.140625" style="340"/>
  </cols>
  <sheetData>
    <row r="1" spans="1:23">
      <c r="A1" s="340" t="s">
        <v>380</v>
      </c>
      <c r="K1" s="349"/>
    </row>
    <row r="2" spans="1:23">
      <c r="B2" s="340" t="s">
        <v>376</v>
      </c>
      <c r="C2" s="340" t="s">
        <v>377</v>
      </c>
      <c r="D2" s="340" t="s">
        <v>378</v>
      </c>
      <c r="K2" s="349"/>
    </row>
    <row r="3" spans="1:23">
      <c r="A3" s="340" t="s">
        <v>1</v>
      </c>
      <c r="B3" s="340">
        <v>2</v>
      </c>
      <c r="C3" s="340">
        <v>2</v>
      </c>
      <c r="D3" s="340" t="s">
        <v>355</v>
      </c>
      <c r="K3" s="349"/>
      <c r="M3" s="340" t="s">
        <v>1</v>
      </c>
      <c r="N3" s="340">
        <v>3</v>
      </c>
      <c r="O3" s="340">
        <v>3</v>
      </c>
      <c r="P3" s="340" t="s">
        <v>355</v>
      </c>
      <c r="W3" s="349"/>
    </row>
    <row r="4" spans="1:23">
      <c r="B4" s="340">
        <v>4180</v>
      </c>
      <c r="D4" s="340" t="s">
        <v>356</v>
      </c>
      <c r="K4" s="349"/>
      <c r="N4" s="340">
        <v>4180</v>
      </c>
      <c r="P4" s="340" t="s">
        <v>356</v>
      </c>
      <c r="W4" s="349"/>
    </row>
    <row r="5" spans="1:23">
      <c r="A5" s="340" t="s">
        <v>357</v>
      </c>
      <c r="B5" s="342">
        <f>273+C12</f>
        <v>328</v>
      </c>
      <c r="C5" s="342">
        <f>273+I12</f>
        <v>322</v>
      </c>
      <c r="D5" s="340" t="s">
        <v>363</v>
      </c>
      <c r="K5" s="349"/>
      <c r="M5" s="340" t="s">
        <v>357</v>
      </c>
      <c r="N5" s="342">
        <f>273+O12</f>
        <v>323</v>
      </c>
      <c r="O5" s="342">
        <f>273+U12</f>
        <v>325.5</v>
      </c>
      <c r="P5" s="340" t="s">
        <v>363</v>
      </c>
      <c r="W5" s="349"/>
    </row>
    <row r="6" spans="1:23">
      <c r="A6" s="340" t="s">
        <v>358</v>
      </c>
      <c r="B6" s="342">
        <f>273+C35</f>
        <v>301</v>
      </c>
      <c r="C6" s="342">
        <f>273+I35</f>
        <v>300.5</v>
      </c>
      <c r="D6" s="340" t="s">
        <v>363</v>
      </c>
      <c r="K6" s="349"/>
      <c r="M6" s="340" t="s">
        <v>358</v>
      </c>
      <c r="N6" s="342">
        <f>273+O35</f>
        <v>302</v>
      </c>
      <c r="O6" s="342">
        <f>273+U35</f>
        <v>302</v>
      </c>
      <c r="P6" s="340" t="s">
        <v>363</v>
      </c>
      <c r="W6" s="349"/>
    </row>
    <row r="7" spans="1:23" ht="15.75" customHeight="1" thickBot="1">
      <c r="A7" s="340" t="s">
        <v>364</v>
      </c>
      <c r="B7" s="342">
        <f>AVERAGE(B12:B35)+273</f>
        <v>297.16506509439074</v>
      </c>
      <c r="C7" s="342">
        <f>AVERAGE(H12:H35)+273</f>
        <v>297.17500000000001</v>
      </c>
      <c r="D7" s="340" t="s">
        <v>363</v>
      </c>
      <c r="E7" s="584" t="s">
        <v>368</v>
      </c>
      <c r="F7" s="583">
        <f>E36</f>
        <v>0.86853527122206275</v>
      </c>
      <c r="J7" s="584" t="s">
        <v>368</v>
      </c>
      <c r="K7" s="349"/>
      <c r="M7" s="340" t="s">
        <v>364</v>
      </c>
      <c r="N7" s="342">
        <f>AVERAGE(N12:N35)+273</f>
        <v>296.23333333333335</v>
      </c>
      <c r="O7" s="342">
        <f>AVERAGE(T12:T35)+273</f>
        <v>296.27499999999998</v>
      </c>
      <c r="P7" s="340" t="s">
        <v>363</v>
      </c>
      <c r="Q7" s="584" t="s">
        <v>368</v>
      </c>
      <c r="R7" s="583">
        <f>Q85</f>
        <v>36.348316938149146</v>
      </c>
      <c r="V7" s="584" t="s">
        <v>368</v>
      </c>
      <c r="W7" s="349"/>
    </row>
    <row r="8" spans="1:23" ht="15" customHeight="1" thickBot="1">
      <c r="A8" s="340" t="s">
        <v>362</v>
      </c>
      <c r="B8" s="447">
        <v>0.20922639045747865</v>
      </c>
      <c r="C8" s="448">
        <v>0.21432189235080287</v>
      </c>
      <c r="D8" s="449">
        <f>AVERAGE(B8:C8)</f>
        <v>0.21177414140414075</v>
      </c>
      <c r="E8" s="584"/>
      <c r="F8" s="583"/>
      <c r="J8" s="584"/>
      <c r="K8" s="585">
        <f>SUM(K12:K35)</f>
        <v>0.70978914271665738</v>
      </c>
      <c r="M8" s="340" t="s">
        <v>362</v>
      </c>
      <c r="N8" s="447">
        <v>0.23456747651163759</v>
      </c>
      <c r="O8" s="448">
        <v>0.27202096686166477</v>
      </c>
      <c r="P8" s="449">
        <f>AVERAGE(N8:O8)</f>
        <v>0.25329422168665117</v>
      </c>
      <c r="Q8" s="584"/>
      <c r="R8" s="583"/>
      <c r="V8" s="584"/>
      <c r="W8" s="585">
        <f>SUM(W12:W39)</f>
        <v>36.124423797697034</v>
      </c>
    </row>
    <row r="9" spans="1:23">
      <c r="A9" s="340" t="s">
        <v>379</v>
      </c>
      <c r="B9" s="342">
        <f>AVERAGE(B12:B35)</f>
        <v>24.165065094390755</v>
      </c>
      <c r="C9" s="342">
        <f>AVERAGE(H12:H84)</f>
        <v>24.175000000000001</v>
      </c>
      <c r="D9" s="342"/>
      <c r="E9" s="584"/>
      <c r="F9" s="583"/>
      <c r="J9" s="584"/>
      <c r="K9" s="585"/>
      <c r="M9" s="340" t="s">
        <v>379</v>
      </c>
      <c r="N9" s="342">
        <f>AVERAGE(N12:N84)</f>
        <v>23.616438356164384</v>
      </c>
      <c r="O9" s="342">
        <f>AVERAGE(T12:T39)</f>
        <v>23.228571428571424</v>
      </c>
      <c r="P9" s="342"/>
      <c r="Q9" s="584"/>
      <c r="R9" s="583"/>
      <c r="V9" s="584"/>
      <c r="W9" s="585"/>
    </row>
    <row r="10" spans="1:23">
      <c r="A10" s="584" t="s">
        <v>361</v>
      </c>
      <c r="B10" s="584" t="s">
        <v>550</v>
      </c>
      <c r="C10" s="584" t="s">
        <v>551</v>
      </c>
      <c r="D10" s="586" t="s">
        <v>359</v>
      </c>
      <c r="E10" s="584" t="s">
        <v>360</v>
      </c>
      <c r="G10" s="584" t="s">
        <v>361</v>
      </c>
      <c r="H10" s="584" t="s">
        <v>550</v>
      </c>
      <c r="I10" s="584" t="s">
        <v>551</v>
      </c>
      <c r="J10" s="586" t="s">
        <v>359</v>
      </c>
      <c r="K10" s="587" t="s">
        <v>360</v>
      </c>
      <c r="M10" s="584" t="s">
        <v>361</v>
      </c>
      <c r="N10" s="584" t="s">
        <v>550</v>
      </c>
      <c r="O10" s="584" t="s">
        <v>551</v>
      </c>
      <c r="P10" s="586" t="s">
        <v>359</v>
      </c>
      <c r="Q10" s="584" t="s">
        <v>360</v>
      </c>
      <c r="S10" s="584" t="s">
        <v>361</v>
      </c>
      <c r="T10" s="584" t="s">
        <v>550</v>
      </c>
      <c r="U10" s="584" t="s">
        <v>551</v>
      </c>
      <c r="V10" s="586" t="s">
        <v>359</v>
      </c>
      <c r="W10" s="587" t="s">
        <v>360</v>
      </c>
    </row>
    <row r="11" spans="1:23">
      <c r="A11" s="584"/>
      <c r="B11" s="584"/>
      <c r="C11" s="584"/>
      <c r="D11" s="586"/>
      <c r="E11" s="584"/>
      <c r="G11" s="584"/>
      <c r="H11" s="584"/>
      <c r="I11" s="584"/>
      <c r="J11" s="586"/>
      <c r="K11" s="587"/>
      <c r="M11" s="584"/>
      <c r="N11" s="584"/>
      <c r="O11" s="584"/>
      <c r="P11" s="586"/>
      <c r="Q11" s="584"/>
      <c r="S11" s="584"/>
      <c r="T11" s="584"/>
      <c r="U11" s="584"/>
      <c r="V11" s="586"/>
      <c r="W11" s="587"/>
    </row>
    <row r="12" spans="1:23">
      <c r="A12" s="340">
        <v>0</v>
      </c>
      <c r="B12" s="445">
        <v>24.085756711657801</v>
      </c>
      <c r="C12" s="445">
        <v>55</v>
      </c>
      <c r="D12" s="342">
        <f t="shared" ref="D12:D35" si="0">($C$12-$B$9)*EXP(-$B$8/$B$3/$B$4*A12*3600)+$B$9</f>
        <v>55</v>
      </c>
      <c r="E12" s="342">
        <f>(D12-C12)^2</f>
        <v>0</v>
      </c>
      <c r="G12" s="445">
        <v>0</v>
      </c>
      <c r="H12" s="218">
        <v>25.2</v>
      </c>
      <c r="I12" s="445">
        <v>49</v>
      </c>
      <c r="J12" s="342">
        <f t="shared" ref="J12:J35" si="1">($I$12-$C$9)*EXP(-$C$8/$C$3/$B$4*G12*3600)+$C$9</f>
        <v>49</v>
      </c>
      <c r="K12" s="350">
        <f>(J12-I12)^2</f>
        <v>0</v>
      </c>
      <c r="M12" s="340">
        <v>0</v>
      </c>
      <c r="N12" s="446">
        <v>23.4</v>
      </c>
      <c r="O12" s="445">
        <v>50</v>
      </c>
      <c r="P12" s="342">
        <f>($O$12-$N$9)*EXP(-$N$8/$N$3/$N$4*M12*3600)+$N$9</f>
        <v>50</v>
      </c>
      <c r="Q12" s="342">
        <f>(P12-O12)^2</f>
        <v>0</v>
      </c>
      <c r="S12" s="445">
        <v>0</v>
      </c>
      <c r="T12" s="223">
        <v>23.7</v>
      </c>
      <c r="U12" s="218">
        <v>52.5</v>
      </c>
      <c r="V12" s="342">
        <f>($U$12-$O$9)*EXP(-$O$8/$O$3/$N$4*S12*3600)+$O$9</f>
        <v>52.5</v>
      </c>
      <c r="W12" s="350">
        <f>(V12-U12)^2</f>
        <v>0</v>
      </c>
    </row>
    <row r="13" spans="1:23">
      <c r="A13" s="340">
        <v>1</v>
      </c>
      <c r="B13" s="445">
        <v>23.697939997334561</v>
      </c>
      <c r="C13" s="445">
        <v>52.5</v>
      </c>
      <c r="D13" s="342">
        <f t="shared" si="0"/>
        <v>52.343326504066788</v>
      </c>
      <c r="E13" s="342">
        <f t="shared" ref="E13:E35" si="2">(D13-C13)^2</f>
        <v>2.4546584327934301E-2</v>
      </c>
      <c r="G13" s="445">
        <v>1</v>
      </c>
      <c r="H13" s="218">
        <v>24.8</v>
      </c>
      <c r="I13" s="445">
        <v>47</v>
      </c>
      <c r="J13" s="342">
        <f t="shared" si="1"/>
        <v>46.811405791787891</v>
      </c>
      <c r="K13" s="350">
        <f t="shared" ref="K13:K35" si="3">(J13-I13)^2</f>
        <v>3.5567775371152334E-2</v>
      </c>
      <c r="M13" s="340">
        <v>1</v>
      </c>
      <c r="N13" s="446">
        <v>23.2</v>
      </c>
      <c r="O13" s="445">
        <v>47.5</v>
      </c>
      <c r="P13" s="342">
        <f t="shared" ref="P13:P76" si="4">($O$12-$N$9)*EXP(-$N$8/$N$3/$N$4*M13*3600)+$N$9</f>
        <v>48.281832286835424</v>
      </c>
      <c r="Q13" s="342">
        <f t="shared" ref="Q13:Q76" si="5">(P13-O13)^2</f>
        <v>0.61126172473830931</v>
      </c>
      <c r="S13" s="445">
        <v>1</v>
      </c>
      <c r="T13" s="223">
        <v>23.4</v>
      </c>
      <c r="U13" s="218">
        <v>48</v>
      </c>
      <c r="V13" s="342">
        <f t="shared" ref="V13:V39" si="6">($U$12-$O$9)*EXP(-$O$8/$O$3/$N$4*S13*3600)+$O$9</f>
        <v>50.301106895532229</v>
      </c>
      <c r="W13" s="350">
        <f t="shared" ref="W13:W39" si="7">(V13-U13)^2</f>
        <v>5.2950929446659716</v>
      </c>
    </row>
    <row r="14" spans="1:23">
      <c r="A14" s="340">
        <v>2</v>
      </c>
      <c r="B14" s="445">
        <v>23.03139677332749</v>
      </c>
      <c r="C14" s="445">
        <v>49.5</v>
      </c>
      <c r="D14" s="342">
        <f t="shared" si="0"/>
        <v>49.915546439742855</v>
      </c>
      <c r="E14" s="342">
        <f t="shared" si="2"/>
        <v>0.17267884358296184</v>
      </c>
      <c r="G14" s="445">
        <v>2</v>
      </c>
      <c r="H14" s="218">
        <v>24</v>
      </c>
      <c r="I14" s="445">
        <v>45</v>
      </c>
      <c r="J14" s="342">
        <f t="shared" si="1"/>
        <v>44.81576000686762</v>
      </c>
      <c r="K14" s="350">
        <f t="shared" si="3"/>
        <v>3.3944375069419323E-2</v>
      </c>
      <c r="M14" s="340">
        <v>2</v>
      </c>
      <c r="N14" s="446">
        <v>23.1</v>
      </c>
      <c r="O14" s="445">
        <v>46</v>
      </c>
      <c r="P14" s="342">
        <f t="shared" si="4"/>
        <v>46.67555622538994</v>
      </c>
      <c r="Q14" s="342">
        <f t="shared" si="5"/>
        <v>0.45637621366310321</v>
      </c>
      <c r="S14" s="445">
        <v>2</v>
      </c>
      <c r="T14" s="223">
        <v>23.3</v>
      </c>
      <c r="U14" s="218">
        <v>46</v>
      </c>
      <c r="V14" s="342">
        <f t="shared" si="6"/>
        <v>48.267396398161246</v>
      </c>
      <c r="W14" s="350">
        <f t="shared" si="7"/>
        <v>5.1410864263945912</v>
      </c>
    </row>
    <row r="15" spans="1:23">
      <c r="A15" s="340">
        <v>3</v>
      </c>
      <c r="B15" s="445">
        <v>23.846810540027015</v>
      </c>
      <c r="C15" s="445">
        <v>47.5</v>
      </c>
      <c r="D15" s="342">
        <f t="shared" si="0"/>
        <v>47.696938827723059</v>
      </c>
      <c r="E15" s="342">
        <f t="shared" si="2"/>
        <v>3.8784901864932816E-2</v>
      </c>
      <c r="G15" s="445">
        <v>3</v>
      </c>
      <c r="H15" s="218">
        <v>23.8</v>
      </c>
      <c r="I15" s="445">
        <v>43</v>
      </c>
      <c r="J15" s="342">
        <f t="shared" si="1"/>
        <v>42.9960521396319</v>
      </c>
      <c r="K15" s="350">
        <f t="shared" si="3"/>
        <v>1.5585601486018331E-5</v>
      </c>
      <c r="M15" s="340">
        <v>3</v>
      </c>
      <c r="N15" s="446">
        <v>23.1</v>
      </c>
      <c r="O15" s="445">
        <v>44.5</v>
      </c>
      <c r="P15" s="342">
        <f t="shared" si="4"/>
        <v>45.173885133677558</v>
      </c>
      <c r="Q15" s="342">
        <f t="shared" si="5"/>
        <v>0.4541211733916205</v>
      </c>
      <c r="S15" s="445">
        <v>3</v>
      </c>
      <c r="T15" s="223">
        <v>23.1</v>
      </c>
      <c r="U15" s="218">
        <v>44</v>
      </c>
      <c r="V15" s="342">
        <f t="shared" si="6"/>
        <v>46.386459858447992</v>
      </c>
      <c r="W15" s="350">
        <f t="shared" si="7"/>
        <v>5.6951906559836107</v>
      </c>
    </row>
    <row r="16" spans="1:23">
      <c r="A16" s="340">
        <v>4</v>
      </c>
      <c r="B16" s="445">
        <v>23.578440307855278</v>
      </c>
      <c r="C16" s="445">
        <v>45.5</v>
      </c>
      <c r="D16" s="342">
        <f t="shared" si="0"/>
        <v>45.669481807030003</v>
      </c>
      <c r="E16" s="342">
        <f t="shared" si="2"/>
        <v>2.8724082914155187E-2</v>
      </c>
      <c r="G16" s="445">
        <v>4</v>
      </c>
      <c r="H16" s="218">
        <v>23.2</v>
      </c>
      <c r="I16" s="445">
        <v>41.5</v>
      </c>
      <c r="J16" s="342">
        <f t="shared" si="1"/>
        <v>41.33677134586528</v>
      </c>
      <c r="K16" s="350">
        <f t="shared" si="3"/>
        <v>2.6643593530632004E-2</v>
      </c>
      <c r="M16" s="340">
        <v>4</v>
      </c>
      <c r="N16" s="446">
        <v>23</v>
      </c>
      <c r="O16" s="445">
        <v>43</v>
      </c>
      <c r="P16" s="342">
        <f t="shared" si="4"/>
        <v>43.770006857825415</v>
      </c>
      <c r="Q16" s="342">
        <f t="shared" si="5"/>
        <v>0.59291056109816831</v>
      </c>
      <c r="S16" s="445">
        <v>4</v>
      </c>
      <c r="T16" s="223">
        <v>23</v>
      </c>
      <c r="U16" s="218">
        <v>43</v>
      </c>
      <c r="V16" s="342">
        <f t="shared" si="6"/>
        <v>44.646820774614781</v>
      </c>
      <c r="W16" s="350">
        <f t="shared" si="7"/>
        <v>2.7120186637028278</v>
      </c>
    </row>
    <row r="17" spans="1:23">
      <c r="A17" s="340">
        <v>5</v>
      </c>
      <c r="B17" s="445">
        <v>24.740118413885451</v>
      </c>
      <c r="C17" s="445">
        <v>43.5</v>
      </c>
      <c r="D17" s="342">
        <f t="shared" si="0"/>
        <v>43.816706242532888</v>
      </c>
      <c r="E17" s="342">
        <f t="shared" si="2"/>
        <v>0.10030284405930043</v>
      </c>
      <c r="G17" s="445">
        <v>5</v>
      </c>
      <c r="H17" s="218">
        <v>24.5</v>
      </c>
      <c r="I17" s="445">
        <v>39.5</v>
      </c>
      <c r="J17" s="342">
        <f t="shared" si="1"/>
        <v>39.823774231254149</v>
      </c>
      <c r="K17" s="350">
        <f t="shared" si="3"/>
        <v>0.10482975282421483</v>
      </c>
      <c r="M17" s="340">
        <v>5</v>
      </c>
      <c r="N17" s="446">
        <v>23</v>
      </c>
      <c r="O17" s="445">
        <v>41.5</v>
      </c>
      <c r="P17" s="342">
        <f t="shared" si="4"/>
        <v>42.45755286954082</v>
      </c>
      <c r="Q17" s="342">
        <f t="shared" si="5"/>
        <v>0.9169074979658578</v>
      </c>
      <c r="S17" s="445">
        <v>5</v>
      </c>
      <c r="T17" s="223">
        <v>23</v>
      </c>
      <c r="U17" s="218">
        <v>41.5</v>
      </c>
      <c r="V17" s="342">
        <f t="shared" si="6"/>
        <v>43.037864768868062</v>
      </c>
      <c r="W17" s="350">
        <f t="shared" si="7"/>
        <v>2.3650280473256164</v>
      </c>
    </row>
    <row r="18" spans="1:23">
      <c r="A18" s="340">
        <v>6</v>
      </c>
      <c r="B18" s="445">
        <v>24.569406721469136</v>
      </c>
      <c r="C18" s="445">
        <v>42</v>
      </c>
      <c r="D18" s="342">
        <f t="shared" si="0"/>
        <v>42.123561945336313</v>
      </c>
      <c r="E18" s="342">
        <f t="shared" si="2"/>
        <v>1.5267554335293957E-2</v>
      </c>
      <c r="G18" s="445">
        <v>6</v>
      </c>
      <c r="H18" s="218">
        <v>24.2</v>
      </c>
      <c r="I18" s="445">
        <v>38.5</v>
      </c>
      <c r="J18" s="342">
        <f t="shared" si="1"/>
        <v>38.444164295780169</v>
      </c>
      <c r="K18" s="350">
        <f t="shared" si="3"/>
        <v>3.1176258657244502E-3</v>
      </c>
      <c r="M18" s="340">
        <v>6</v>
      </c>
      <c r="N18" s="446">
        <v>23</v>
      </c>
      <c r="O18" s="445">
        <v>40.5</v>
      </c>
      <c r="P18" s="342">
        <f t="shared" si="4"/>
        <v>41.230569376033472</v>
      </c>
      <c r="Q18" s="342">
        <f t="shared" si="5"/>
        <v>0.53373161319793649</v>
      </c>
      <c r="S18" s="445">
        <v>6</v>
      </c>
      <c r="T18" s="223">
        <v>23.1</v>
      </c>
      <c r="U18" s="218">
        <v>40</v>
      </c>
      <c r="V18" s="342">
        <f t="shared" si="6"/>
        <v>41.5497748239559</v>
      </c>
      <c r="W18" s="350">
        <f t="shared" si="7"/>
        <v>2.4018020049675415</v>
      </c>
    </row>
    <row r="19" spans="1:23">
      <c r="A19" s="340">
        <v>7</v>
      </c>
      <c r="B19" s="445">
        <v>24.622988569087976</v>
      </c>
      <c r="C19" s="445">
        <v>40.5</v>
      </c>
      <c r="D19" s="342">
        <f t="shared" si="0"/>
        <v>40.57629541934056</v>
      </c>
      <c r="E19" s="342">
        <f t="shared" si="2"/>
        <v>5.8209910123519729E-3</v>
      </c>
      <c r="G19" s="445">
        <v>7</v>
      </c>
      <c r="H19" s="218">
        <v>24.6</v>
      </c>
      <c r="I19" s="445">
        <v>37</v>
      </c>
      <c r="J19" s="342">
        <f t="shared" si="1"/>
        <v>37.186182006403676</v>
      </c>
      <c r="K19" s="350">
        <f t="shared" si="3"/>
        <v>3.4663739508498576E-2</v>
      </c>
      <c r="M19" s="340">
        <v>7</v>
      </c>
      <c r="N19" s="446">
        <v>23</v>
      </c>
      <c r="O19" s="445">
        <v>39</v>
      </c>
      <c r="P19" s="342">
        <f t="shared" si="4"/>
        <v>40.083490311336362</v>
      </c>
      <c r="Q19" s="342">
        <f t="shared" si="5"/>
        <v>1.1739512547597672</v>
      </c>
      <c r="S19" s="445">
        <v>7</v>
      </c>
      <c r="T19" s="223">
        <v>23.2</v>
      </c>
      <c r="U19" s="218">
        <v>39</v>
      </c>
      <c r="V19" s="342">
        <f t="shared" si="6"/>
        <v>40.173471384806859</v>
      </c>
      <c r="W19" s="350">
        <f t="shared" si="7"/>
        <v>1.3770350909605282</v>
      </c>
    </row>
    <row r="20" spans="1:23">
      <c r="A20" s="340">
        <v>8</v>
      </c>
      <c r="B20" s="445">
        <v>24.217791213933427</v>
      </c>
      <c r="C20" s="445">
        <v>39</v>
      </c>
      <c r="D20" s="342">
        <f t="shared" si="0"/>
        <v>39.16233814090252</v>
      </c>
      <c r="E20" s="342">
        <f t="shared" si="2"/>
        <v>2.6353671991686426E-2</v>
      </c>
      <c r="G20" s="445">
        <v>8</v>
      </c>
      <c r="H20" s="218">
        <v>24</v>
      </c>
      <c r="I20" s="445">
        <v>36</v>
      </c>
      <c r="J20" s="342">
        <f t="shared" si="1"/>
        <v>36.039104561037767</v>
      </c>
      <c r="K20" s="350">
        <f t="shared" si="3"/>
        <v>1.5291666939564747E-3</v>
      </c>
      <c r="M20" s="340">
        <v>8</v>
      </c>
      <c r="N20" s="446">
        <v>23</v>
      </c>
      <c r="O20" s="445">
        <v>38</v>
      </c>
      <c r="P20" s="342">
        <f t="shared" si="4"/>
        <v>39.01111208650368</v>
      </c>
      <c r="Q20" s="342">
        <f t="shared" si="5"/>
        <v>1.0223476514738243</v>
      </c>
      <c r="S20" s="445">
        <v>8</v>
      </c>
      <c r="T20" s="223">
        <v>23.4</v>
      </c>
      <c r="U20" s="218">
        <v>38</v>
      </c>
      <c r="V20" s="342">
        <f t="shared" si="6"/>
        <v>38.900556959781795</v>
      </c>
      <c r="W20" s="350">
        <f t="shared" si="7"/>
        <v>0.81100283781143001</v>
      </c>
    </row>
    <row r="21" spans="1:23">
      <c r="A21" s="340">
        <v>9</v>
      </c>
      <c r="B21" s="445">
        <v>24.599499964679929</v>
      </c>
      <c r="C21" s="445">
        <v>38</v>
      </c>
      <c r="D21" s="342">
        <f t="shared" si="0"/>
        <v>37.870204464087344</v>
      </c>
      <c r="E21" s="342">
        <f t="shared" si="2"/>
        <v>1.6846881142853608E-2</v>
      </c>
      <c r="G21" s="445">
        <v>9</v>
      </c>
      <c r="H21" s="218">
        <v>23.6</v>
      </c>
      <c r="I21" s="445">
        <v>35</v>
      </c>
      <c r="J21" s="342">
        <f t="shared" si="1"/>
        <v>34.993154489420043</v>
      </c>
      <c r="K21" s="350">
        <f t="shared" si="3"/>
        <v>4.6861015100305857E-5</v>
      </c>
      <c r="M21" s="340">
        <v>9</v>
      </c>
      <c r="N21" s="446">
        <v>23</v>
      </c>
      <c r="O21" s="445">
        <v>37</v>
      </c>
      <c r="P21" s="342">
        <f t="shared" si="4"/>
        <v>38.008569984143065</v>
      </c>
      <c r="Q21" s="342">
        <f t="shared" si="5"/>
        <v>1.0172134129143431</v>
      </c>
      <c r="S21" s="445">
        <v>9</v>
      </c>
      <c r="T21" s="223">
        <v>23.5</v>
      </c>
      <c r="U21" s="218">
        <v>37</v>
      </c>
      <c r="V21" s="342">
        <f t="shared" si="6"/>
        <v>37.723264883523719</v>
      </c>
      <c r="W21" s="350">
        <f t="shared" si="7"/>
        <v>0.52311209173857809</v>
      </c>
    </row>
    <row r="22" spans="1:23">
      <c r="A22" s="340">
        <v>10</v>
      </c>
      <c r="B22" s="445">
        <v>24.779906816013504</v>
      </c>
      <c r="C22" s="445">
        <v>36.5</v>
      </c>
      <c r="D22" s="342">
        <f t="shared" si="0"/>
        <v>36.689398322190144</v>
      </c>
      <c r="E22" s="342">
        <f t="shared" si="2"/>
        <v>3.5871724448441451E-2</v>
      </c>
      <c r="G22" s="445">
        <v>10</v>
      </c>
      <c r="H22" s="218">
        <v>24.2</v>
      </c>
      <c r="I22" s="445">
        <v>34</v>
      </c>
      <c r="J22" s="342">
        <f t="shared" si="1"/>
        <v>34.039416311813255</v>
      </c>
      <c r="K22" s="350">
        <f t="shared" si="3"/>
        <v>1.553645636959772E-3</v>
      </c>
      <c r="M22" s="340">
        <v>10</v>
      </c>
      <c r="N22" s="446">
        <v>23.1</v>
      </c>
      <c r="O22" s="445">
        <v>36</v>
      </c>
      <c r="P22" s="342">
        <f t="shared" si="4"/>
        <v>37.07131609019865</v>
      </c>
      <c r="Q22" s="342">
        <f t="shared" si="5"/>
        <v>1.1477181651185215</v>
      </c>
      <c r="S22" s="445">
        <v>10</v>
      </c>
      <c r="T22" s="223">
        <v>23.5</v>
      </c>
      <c r="U22" s="218">
        <v>36.5</v>
      </c>
      <c r="V22" s="342">
        <f t="shared" si="6"/>
        <v>36.63441192878345</v>
      </c>
      <c r="W22" s="350">
        <f t="shared" si="7"/>
        <v>1.8066566599287289E-2</v>
      </c>
    </row>
    <row r="23" spans="1:23">
      <c r="A23" s="340">
        <v>11</v>
      </c>
      <c r="B23" s="445">
        <v>24.824294058979319</v>
      </c>
      <c r="C23" s="445">
        <v>35.5</v>
      </c>
      <c r="D23" s="342">
        <f t="shared" si="0"/>
        <v>35.61032796765933</v>
      </c>
      <c r="E23" s="342">
        <f t="shared" si="2"/>
        <v>1.2172260447838229E-2</v>
      </c>
      <c r="G23" s="445">
        <v>11</v>
      </c>
      <c r="H23" s="218">
        <v>24.1</v>
      </c>
      <c r="I23" s="445">
        <v>33</v>
      </c>
      <c r="J23" s="342">
        <f t="shared" si="1"/>
        <v>33.169760545149508</v>
      </c>
      <c r="K23" s="350">
        <f t="shared" si="3"/>
        <v>2.8818642689458107E-2</v>
      </c>
      <c r="M23" s="340">
        <v>11</v>
      </c>
      <c r="N23" s="446">
        <v>23.1</v>
      </c>
      <c r="O23" s="445">
        <v>35.5</v>
      </c>
      <c r="P23" s="342">
        <f t="shared" si="4"/>
        <v>36.195098662875068</v>
      </c>
      <c r="Q23" s="342">
        <f t="shared" si="5"/>
        <v>0.48316215113070798</v>
      </c>
      <c r="S23" s="445">
        <v>11</v>
      </c>
      <c r="T23" s="223">
        <v>23.5</v>
      </c>
      <c r="U23" s="218">
        <v>35.5</v>
      </c>
      <c r="V23" s="342">
        <f t="shared" si="6"/>
        <v>35.627354478082736</v>
      </c>
      <c r="W23" s="350">
        <f t="shared" si="7"/>
        <v>1.6219163087726206E-2</v>
      </c>
    </row>
    <row r="24" spans="1:23">
      <c r="A24" s="340">
        <v>12</v>
      </c>
      <c r="B24" s="445">
        <v>24.063165749753502</v>
      </c>
      <c r="C24" s="445">
        <v>34.5</v>
      </c>
      <c r="D24" s="342">
        <f t="shared" si="0"/>
        <v>34.624228057849891</v>
      </c>
      <c r="E24" s="342">
        <f t="shared" si="2"/>
        <v>1.543261035715578E-2</v>
      </c>
      <c r="G24" s="445">
        <v>12</v>
      </c>
      <c r="H24" s="218">
        <v>24.6</v>
      </c>
      <c r="I24" s="445">
        <v>32</v>
      </c>
      <c r="J24" s="342">
        <f t="shared" si="1"/>
        <v>32.376774408860726</v>
      </c>
      <c r="K24" s="350">
        <f t="shared" si="3"/>
        <v>0.14195895517234944</v>
      </c>
      <c r="M24" s="340">
        <v>12</v>
      </c>
      <c r="N24" s="446">
        <v>23.2</v>
      </c>
      <c r="O24" s="445">
        <v>34.5</v>
      </c>
      <c r="P24" s="342">
        <f t="shared" si="4"/>
        <v>35.375942845112135</v>
      </c>
      <c r="Q24" s="342">
        <f t="shared" si="5"/>
        <v>0.76727586790314206</v>
      </c>
      <c r="S24" s="445">
        <v>12</v>
      </c>
      <c r="T24" s="223">
        <v>23.4</v>
      </c>
      <c r="U24" s="218">
        <v>34.5</v>
      </c>
      <c r="V24" s="342">
        <f t="shared" si="6"/>
        <v>34.695947987797055</v>
      </c>
      <c r="W24" s="350">
        <f t="shared" si="7"/>
        <v>3.8395613921714866E-2</v>
      </c>
    </row>
    <row r="25" spans="1:23">
      <c r="A25" s="340">
        <v>13</v>
      </c>
      <c r="B25" s="445">
        <v>24.168244043807114</v>
      </c>
      <c r="C25" s="445">
        <v>34</v>
      </c>
      <c r="D25" s="342">
        <f t="shared" si="0"/>
        <v>33.723088453705195</v>
      </c>
      <c r="E25" s="342">
        <f t="shared" si="2"/>
        <v>7.6680004471379973E-2</v>
      </c>
      <c r="G25" s="445">
        <v>13</v>
      </c>
      <c r="H25" s="218">
        <v>23.8</v>
      </c>
      <c r="I25" s="445">
        <v>31.5</v>
      </c>
      <c r="J25" s="342">
        <f t="shared" si="1"/>
        <v>31.653698639745123</v>
      </c>
      <c r="K25" s="350">
        <f t="shared" si="3"/>
        <v>2.36232718595011E-2</v>
      </c>
      <c r="M25" s="340">
        <v>13</v>
      </c>
      <c r="N25" s="446">
        <v>23.2</v>
      </c>
      <c r="O25" s="445">
        <v>34</v>
      </c>
      <c r="P25" s="342">
        <f t="shared" si="4"/>
        <v>34.61013263311429</v>
      </c>
      <c r="Q25" s="342">
        <f t="shared" si="5"/>
        <v>0.37226182999097679</v>
      </c>
      <c r="S25" s="445">
        <v>13</v>
      </c>
      <c r="T25" s="223">
        <v>23.4</v>
      </c>
      <c r="U25" s="218">
        <v>34</v>
      </c>
      <c r="V25" s="342">
        <f t="shared" si="6"/>
        <v>33.834509497328945</v>
      </c>
      <c r="W25" s="350">
        <f t="shared" si="7"/>
        <v>2.7387106474318509E-2</v>
      </c>
    </row>
    <row r="26" spans="1:23">
      <c r="A26" s="340">
        <v>14</v>
      </c>
      <c r="B26" s="445">
        <v>23.186973503398026</v>
      </c>
      <c r="C26" s="445">
        <v>33</v>
      </c>
      <c r="D26" s="342">
        <f t="shared" si="0"/>
        <v>32.899589152995404</v>
      </c>
      <c r="E26" s="342">
        <f t="shared" si="2"/>
        <v>1.0082338196180455E-2</v>
      </c>
      <c r="G26" s="445">
        <v>14</v>
      </c>
      <c r="H26" s="218">
        <v>23.2</v>
      </c>
      <c r="I26" s="445">
        <v>31</v>
      </c>
      <c r="J26" s="342">
        <f t="shared" si="1"/>
        <v>30.99436987729155</v>
      </c>
      <c r="K26" s="350">
        <f t="shared" si="3"/>
        <v>3.1698281712200395E-5</v>
      </c>
      <c r="M26" s="340">
        <v>14</v>
      </c>
      <c r="N26" s="446">
        <v>23.3</v>
      </c>
      <c r="O26" s="445">
        <v>33</v>
      </c>
      <c r="P26" s="342">
        <f t="shared" si="4"/>
        <v>33.894194019137558</v>
      </c>
      <c r="Q26" s="342">
        <f t="shared" si="5"/>
        <v>0.79958294386137929</v>
      </c>
      <c r="S26" s="445">
        <v>14</v>
      </c>
      <c r="T26" s="223">
        <v>23.4</v>
      </c>
      <c r="U26" s="218">
        <v>33.5</v>
      </c>
      <c r="V26" s="342">
        <f t="shared" si="6"/>
        <v>33.037782954622152</v>
      </c>
      <c r="W26" s="350">
        <f t="shared" si="7"/>
        <v>0.21364459703782762</v>
      </c>
    </row>
    <row r="27" spans="1:23">
      <c r="A27" s="340">
        <v>15</v>
      </c>
      <c r="B27" s="445">
        <v>24.789037484177207</v>
      </c>
      <c r="C27" s="445">
        <v>32</v>
      </c>
      <c r="D27" s="342">
        <f t="shared" si="0"/>
        <v>32.147040829571999</v>
      </c>
      <c r="E27" s="342">
        <f t="shared" si="2"/>
        <v>2.16210055612217E-2</v>
      </c>
      <c r="G27" s="445">
        <v>15</v>
      </c>
      <c r="H27" s="218">
        <v>23.6</v>
      </c>
      <c r="I27" s="445">
        <v>30.5</v>
      </c>
      <c r="J27" s="342">
        <f t="shared" si="1"/>
        <v>30.393168128365215</v>
      </c>
      <c r="K27" s="350">
        <f t="shared" si="3"/>
        <v>1.1413048796991256E-2</v>
      </c>
      <c r="M27" s="340">
        <v>15</v>
      </c>
      <c r="N27" s="446">
        <v>23.3</v>
      </c>
      <c r="O27" s="445">
        <v>32.5</v>
      </c>
      <c r="P27" s="342">
        <f t="shared" si="4"/>
        <v>33.224879232062904</v>
      </c>
      <c r="Q27" s="342">
        <f t="shared" si="5"/>
        <v>0.5254499010761049</v>
      </c>
      <c r="S27" s="445">
        <v>15</v>
      </c>
      <c r="T27" s="223">
        <v>23.3</v>
      </c>
      <c r="U27" s="218">
        <v>32.5</v>
      </c>
      <c r="V27" s="342">
        <f t="shared" si="6"/>
        <v>32.300907146450896</v>
      </c>
      <c r="W27" s="350">
        <f t="shared" si="7"/>
        <v>3.9637964334324843E-2</v>
      </c>
    </row>
    <row r="28" spans="1:23">
      <c r="A28" s="340">
        <v>16</v>
      </c>
      <c r="B28" s="445">
        <v>23.908371538250819</v>
      </c>
      <c r="C28" s="445">
        <v>31.5</v>
      </c>
      <c r="D28" s="342">
        <f t="shared" si="0"/>
        <v>31.459330495635783</v>
      </c>
      <c r="E28" s="342">
        <f t="shared" si="2"/>
        <v>1.6540085852310938E-3</v>
      </c>
      <c r="G28" s="445">
        <v>16</v>
      </c>
      <c r="H28" s="218">
        <v>24</v>
      </c>
      <c r="I28" s="445">
        <v>30</v>
      </c>
      <c r="J28" s="342">
        <f t="shared" si="1"/>
        <v>29.844968863453662</v>
      </c>
      <c r="K28" s="350">
        <f t="shared" si="3"/>
        <v>2.4034653298849278E-2</v>
      </c>
      <c r="M28" s="340">
        <v>16</v>
      </c>
      <c r="N28" s="446">
        <v>23.4</v>
      </c>
      <c r="O28" s="445">
        <v>32</v>
      </c>
      <c r="P28" s="342">
        <f t="shared" si="4"/>
        <v>32.599152004265484</v>
      </c>
      <c r="Q28" s="342">
        <f t="shared" si="5"/>
        <v>0.35898312421534667</v>
      </c>
      <c r="S28" s="445">
        <v>16</v>
      </c>
      <c r="T28" s="223">
        <v>23.2</v>
      </c>
      <c r="U28" s="218">
        <v>32</v>
      </c>
      <c r="V28" s="342">
        <f t="shared" si="6"/>
        <v>31.619386037811395</v>
      </c>
      <c r="W28" s="350">
        <f t="shared" si="7"/>
        <v>0.14486698821290858</v>
      </c>
    </row>
    <row r="29" spans="1:23">
      <c r="A29" s="340">
        <v>17</v>
      </c>
      <c r="B29" s="445">
        <v>24.438378012926023</v>
      </c>
      <c r="C29" s="445">
        <v>31</v>
      </c>
      <c r="D29" s="342">
        <f t="shared" si="0"/>
        <v>30.830871845630163</v>
      </c>
      <c r="E29" s="342">
        <f t="shared" si="2"/>
        <v>2.8604332600547292E-2</v>
      </c>
      <c r="G29" s="445">
        <v>17</v>
      </c>
      <c r="H29" s="218">
        <v>24.4</v>
      </c>
      <c r="I29" s="445">
        <v>29.5</v>
      </c>
      <c r="J29" s="342">
        <f t="shared" si="1"/>
        <v>29.345099336150636</v>
      </c>
      <c r="K29" s="350">
        <f t="shared" si="3"/>
        <v>2.3994215660973789E-2</v>
      </c>
      <c r="M29" s="340">
        <v>17</v>
      </c>
      <c r="N29" s="446">
        <v>23.4</v>
      </c>
      <c r="O29" s="445">
        <v>31.5</v>
      </c>
      <c r="P29" s="342">
        <f t="shared" si="4"/>
        <v>32.014173797944501</v>
      </c>
      <c r="Q29" s="342">
        <f t="shared" si="5"/>
        <v>0.2643746944926727</v>
      </c>
      <c r="S29" s="445">
        <v>17</v>
      </c>
      <c r="T29" s="223">
        <v>23.1</v>
      </c>
      <c r="U29" s="218">
        <v>31.5</v>
      </c>
      <c r="V29" s="342">
        <f t="shared" si="6"/>
        <v>30.989061339442063</v>
      </c>
      <c r="W29" s="350">
        <f t="shared" si="7"/>
        <v>0.26105831485273845</v>
      </c>
    </row>
    <row r="30" spans="1:23">
      <c r="A30" s="340">
        <v>18</v>
      </c>
      <c r="B30" s="445">
        <v>24.863903630113271</v>
      </c>
      <c r="C30" s="445">
        <v>30.5</v>
      </c>
      <c r="D30" s="342">
        <f t="shared" si="0"/>
        <v>30.256559878400779</v>
      </c>
      <c r="E30" s="342">
        <f t="shared" si="2"/>
        <v>5.9263092804243515E-2</v>
      </c>
      <c r="G30" s="445">
        <v>18</v>
      </c>
      <c r="H30" s="218">
        <v>24.8</v>
      </c>
      <c r="I30" s="445">
        <v>29</v>
      </c>
      <c r="J30" s="342">
        <f t="shared" si="1"/>
        <v>28.889298753553234</v>
      </c>
      <c r="K30" s="350">
        <f t="shared" si="3"/>
        <v>1.2254765964867582E-2</v>
      </c>
      <c r="M30" s="340">
        <v>18</v>
      </c>
      <c r="N30" s="446">
        <v>23.4</v>
      </c>
      <c r="O30" s="445">
        <v>31</v>
      </c>
      <c r="P30" s="342">
        <f t="shared" si="4"/>
        <v>31.467290928431105</v>
      </c>
      <c r="Q30" s="342">
        <f t="shared" si="5"/>
        <v>0.21836081179400377</v>
      </c>
      <c r="S30" s="445">
        <v>18</v>
      </c>
      <c r="T30" s="223">
        <v>23</v>
      </c>
      <c r="U30" s="218">
        <v>31</v>
      </c>
      <c r="V30" s="342">
        <f t="shared" si="6"/>
        <v>30.406087136093426</v>
      </c>
      <c r="W30" s="350">
        <f t="shared" si="7"/>
        <v>0.35273248991370904</v>
      </c>
    </row>
    <row r="31" spans="1:23">
      <c r="A31" s="340">
        <v>19</v>
      </c>
      <c r="B31" s="445">
        <v>23.141049865910741</v>
      </c>
      <c r="C31" s="445">
        <v>30</v>
      </c>
      <c r="D31" s="342">
        <f t="shared" si="0"/>
        <v>29.731729429014912</v>
      </c>
      <c r="E31" s="342">
        <f t="shared" si="2"/>
        <v>7.1969099256665073E-2</v>
      </c>
      <c r="G31" s="445">
        <v>19</v>
      </c>
      <c r="H31" s="218">
        <v>24.8</v>
      </c>
      <c r="I31" s="445">
        <v>28.5</v>
      </c>
      <c r="J31" s="342">
        <f t="shared" si="1"/>
        <v>28.473681958072543</v>
      </c>
      <c r="K31" s="350">
        <f t="shared" si="3"/>
        <v>6.9263933089537945E-4</v>
      </c>
      <c r="M31" s="340">
        <v>19</v>
      </c>
      <c r="N31" s="446">
        <v>23.4</v>
      </c>
      <c r="O31" s="445">
        <v>30.5</v>
      </c>
      <c r="P31" s="342">
        <f t="shared" si="4"/>
        <v>30.956022526060746</v>
      </c>
      <c r="Q31" s="342">
        <f t="shared" si="5"/>
        <v>0.20795654427482377</v>
      </c>
      <c r="S31" s="445">
        <v>19</v>
      </c>
      <c r="T31" s="223">
        <v>23.2</v>
      </c>
      <c r="U31" s="218">
        <v>30.5</v>
      </c>
      <c r="V31" s="342">
        <f t="shared" si="6"/>
        <v>29.866906420742744</v>
      </c>
      <c r="W31" s="350">
        <f t="shared" si="7"/>
        <v>0.40080748009676359</v>
      </c>
    </row>
    <row r="32" spans="1:23">
      <c r="A32" s="340">
        <v>20</v>
      </c>
      <c r="B32" s="445">
        <v>24.841596123962063</v>
      </c>
      <c r="C32" s="445">
        <v>29.5</v>
      </c>
      <c r="D32" s="342">
        <f t="shared" si="0"/>
        <v>29.252117273392606</v>
      </c>
      <c r="E32" s="342">
        <f t="shared" si="2"/>
        <v>6.14458461503158E-2</v>
      </c>
      <c r="G32" s="445">
        <v>20</v>
      </c>
      <c r="H32" s="218">
        <v>24.6</v>
      </c>
      <c r="I32" s="445">
        <v>28</v>
      </c>
      <c r="J32" s="342">
        <f t="shared" si="1"/>
        <v>28.094706311088316</v>
      </c>
      <c r="K32" s="350">
        <f t="shared" si="3"/>
        <v>8.9692853599569605E-3</v>
      </c>
      <c r="M32" s="340">
        <v>20</v>
      </c>
      <c r="N32" s="446">
        <v>23.4</v>
      </c>
      <c r="O32" s="445">
        <v>30</v>
      </c>
      <c r="P32" s="342">
        <f t="shared" si="4"/>
        <v>30.47804928200042</v>
      </c>
      <c r="Q32" s="342">
        <f t="shared" si="5"/>
        <v>0.22853111602111695</v>
      </c>
      <c r="S32" s="445">
        <v>20</v>
      </c>
      <c r="T32" s="223">
        <v>23.4</v>
      </c>
      <c r="U32" s="218">
        <v>30</v>
      </c>
      <c r="V32" s="342">
        <f t="shared" si="6"/>
        <v>29.36822939157716</v>
      </c>
      <c r="W32" s="350">
        <f t="shared" si="7"/>
        <v>0.39913410166696606</v>
      </c>
    </row>
    <row r="33" spans="1:23">
      <c r="A33" s="340">
        <v>21</v>
      </c>
      <c r="B33" s="445">
        <v>23.877688458764545</v>
      </c>
      <c r="C33" s="445">
        <v>29</v>
      </c>
      <c r="D33" s="342">
        <f t="shared" si="0"/>
        <v>28.813827497923516</v>
      </c>
      <c r="E33" s="342">
        <f t="shared" si="2"/>
        <v>3.4660200529418587E-2</v>
      </c>
      <c r="G33" s="445">
        <v>21</v>
      </c>
      <c r="H33" s="218">
        <v>24.2</v>
      </c>
      <c r="I33" s="445">
        <v>28</v>
      </c>
      <c r="J33" s="342">
        <f t="shared" si="1"/>
        <v>27.749141496170274</v>
      </c>
      <c r="K33" s="350">
        <f t="shared" si="3"/>
        <v>6.2929988943688411E-2</v>
      </c>
      <c r="M33" s="340">
        <v>21</v>
      </c>
      <c r="N33" s="446">
        <v>23.5</v>
      </c>
      <c r="O33" s="445">
        <v>30</v>
      </c>
      <c r="P33" s="342">
        <f t="shared" si="4"/>
        <v>30.031202926977564</v>
      </c>
      <c r="Q33" s="342">
        <f t="shared" si="5"/>
        <v>9.7362265196716314E-4</v>
      </c>
      <c r="S33" s="445">
        <v>21</v>
      </c>
      <c r="T33" s="223">
        <v>23.3</v>
      </c>
      <c r="U33" s="218">
        <v>29.5</v>
      </c>
      <c r="V33" s="342">
        <f t="shared" si="6"/>
        <v>28.907013379324805</v>
      </c>
      <c r="W33" s="350">
        <f t="shared" si="7"/>
        <v>0.3516331322997871</v>
      </c>
    </row>
    <row r="34" spans="1:23">
      <c r="A34" s="340">
        <v>22</v>
      </c>
      <c r="B34" s="445">
        <v>24.176050158191213</v>
      </c>
      <c r="C34" s="445">
        <v>28.5</v>
      </c>
      <c r="D34" s="342">
        <f t="shared" si="0"/>
        <v>28.413299852765114</v>
      </c>
      <c r="E34" s="342">
        <f t="shared" si="2"/>
        <v>7.5169155305509208E-3</v>
      </c>
      <c r="G34" s="445">
        <v>22</v>
      </c>
      <c r="H34" s="218">
        <v>24</v>
      </c>
      <c r="I34" s="445">
        <v>27.5</v>
      </c>
      <c r="J34" s="342">
        <f t="shared" si="1"/>
        <v>27.434041984474451</v>
      </c>
      <c r="K34" s="350">
        <f t="shared" si="3"/>
        <v>4.350459812068567E-3</v>
      </c>
      <c r="M34" s="340">
        <v>22</v>
      </c>
      <c r="N34" s="446">
        <v>23.5</v>
      </c>
      <c r="O34" s="445">
        <v>29.5</v>
      </c>
      <c r="P34" s="342">
        <f t="shared" si="4"/>
        <v>29.613456395182133</v>
      </c>
      <c r="Q34" s="342">
        <f t="shared" si="5"/>
        <v>1.2872353607724438E-2</v>
      </c>
      <c r="S34" s="445">
        <v>22</v>
      </c>
      <c r="T34" s="223">
        <v>23.2</v>
      </c>
      <c r="U34" s="218">
        <v>29.5</v>
      </c>
      <c r="V34" s="342">
        <f t="shared" si="6"/>
        <v>28.480444282460848</v>
      </c>
      <c r="W34" s="350">
        <f t="shared" si="7"/>
        <v>1.0394938611667752</v>
      </c>
    </row>
    <row r="35" spans="1:23">
      <c r="A35" s="340">
        <v>23</v>
      </c>
      <c r="B35" s="445">
        <v>23.912753607872801</v>
      </c>
      <c r="C35" s="445">
        <v>28</v>
      </c>
      <c r="D35" s="342">
        <f t="shared" si="0"/>
        <v>28.047280831754556</v>
      </c>
      <c r="E35" s="342">
        <f t="shared" si="2"/>
        <v>2.2354770514025992E-3</v>
      </c>
      <c r="G35" s="445">
        <v>23</v>
      </c>
      <c r="H35" s="218">
        <v>24</v>
      </c>
      <c r="I35" s="445">
        <v>27.5</v>
      </c>
      <c r="J35" s="342">
        <f t="shared" si="1"/>
        <v>27.146721927614802</v>
      </c>
      <c r="K35" s="350">
        <f t="shared" si="3"/>
        <v>0.12480539642820107</v>
      </c>
      <c r="M35" s="340">
        <v>23</v>
      </c>
      <c r="N35" s="446">
        <v>23.6</v>
      </c>
      <c r="O35" s="445">
        <v>29</v>
      </c>
      <c r="P35" s="342">
        <f t="shared" si="4"/>
        <v>29.222914628721529</v>
      </c>
      <c r="Q35" s="342">
        <f t="shared" si="5"/>
        <v>4.9690931698057272E-2</v>
      </c>
      <c r="S35" s="445">
        <v>23</v>
      </c>
      <c r="T35" s="223">
        <v>23</v>
      </c>
      <c r="U35" s="218">
        <v>29</v>
      </c>
      <c r="V35" s="342">
        <f t="shared" si="6"/>
        <v>28.08591939701569</v>
      </c>
      <c r="W35" s="350">
        <f t="shared" si="7"/>
        <v>0.83554334875215941</v>
      </c>
    </row>
    <row r="36" spans="1:23">
      <c r="D36" s="583" t="s">
        <v>365</v>
      </c>
      <c r="E36" s="342">
        <f>SUM(E12:E35)</f>
        <v>0.86853527122206275</v>
      </c>
      <c r="G36" s="445"/>
      <c r="H36" s="446"/>
      <c r="I36" s="445"/>
      <c r="J36" s="342"/>
      <c r="K36" s="350"/>
      <c r="M36" s="340">
        <v>24</v>
      </c>
      <c r="N36" s="446">
        <v>24.2</v>
      </c>
      <c r="O36" s="445">
        <v>29</v>
      </c>
      <c r="P36" s="342">
        <f t="shared" si="4"/>
        <v>28.857805980913867</v>
      </c>
      <c r="Q36" s="342">
        <f t="shared" si="5"/>
        <v>2.0219139063867696E-2</v>
      </c>
      <c r="S36" s="445">
        <v>24</v>
      </c>
      <c r="T36" s="223">
        <v>23</v>
      </c>
      <c r="U36" s="218">
        <v>28.5</v>
      </c>
      <c r="V36" s="342">
        <f t="shared" si="6"/>
        <v>27.721031536221702</v>
      </c>
      <c r="W36" s="350">
        <f t="shared" si="7"/>
        <v>0.60679186756112202</v>
      </c>
    </row>
    <row r="37" spans="1:23">
      <c r="D37" s="583"/>
      <c r="G37" s="445"/>
      <c r="H37" s="446"/>
      <c r="I37" s="445"/>
      <c r="J37" s="342"/>
      <c r="K37" s="350"/>
      <c r="M37" s="340">
        <v>25</v>
      </c>
      <c r="N37" s="446">
        <v>24.4</v>
      </c>
      <c r="O37" s="445">
        <v>28.5</v>
      </c>
      <c r="P37" s="342">
        <f t="shared" si="4"/>
        <v>28.516474179421678</v>
      </c>
      <c r="Q37" s="342">
        <f t="shared" si="5"/>
        <v>2.713985876176408E-4</v>
      </c>
      <c r="S37" s="445">
        <v>25</v>
      </c>
      <c r="T37" s="223">
        <v>22.9</v>
      </c>
      <c r="U37" s="218">
        <v>28.5</v>
      </c>
      <c r="V37" s="342">
        <f t="shared" si="6"/>
        <v>27.383554343104763</v>
      </c>
      <c r="W37" s="350">
        <f t="shared" si="7"/>
        <v>1.2464509048002383</v>
      </c>
    </row>
    <row r="38" spans="1:23">
      <c r="G38" s="445"/>
      <c r="H38" s="446"/>
      <c r="I38" s="445"/>
      <c r="J38" s="342"/>
      <c r="K38" s="350"/>
      <c r="M38" s="340">
        <v>26</v>
      </c>
      <c r="N38" s="446">
        <v>24.2</v>
      </c>
      <c r="O38" s="445">
        <v>28.5</v>
      </c>
      <c r="P38" s="342">
        <f t="shared" si="4"/>
        <v>28.197370812767709</v>
      </c>
      <c r="Q38" s="342">
        <f t="shared" si="5"/>
        <v>9.1584424964877342E-2</v>
      </c>
      <c r="S38" s="445">
        <v>26</v>
      </c>
      <c r="T38" s="223">
        <v>22.8</v>
      </c>
      <c r="U38" s="218">
        <v>28</v>
      </c>
      <c r="V38" s="342">
        <f t="shared" si="6"/>
        <v>27.071428706405683</v>
      </c>
      <c r="W38" s="350">
        <f t="shared" si="7"/>
        <v>0.86224464728742267</v>
      </c>
    </row>
    <row r="39" spans="1:23">
      <c r="G39" s="445"/>
      <c r="H39" s="446"/>
      <c r="I39" s="445"/>
      <c r="J39" s="342"/>
      <c r="K39" s="350"/>
      <c r="M39" s="340">
        <v>27</v>
      </c>
      <c r="N39" s="446">
        <v>24.6</v>
      </c>
      <c r="O39" s="445">
        <v>28.5</v>
      </c>
      <c r="P39" s="342">
        <f t="shared" si="4"/>
        <v>27.899048306148803</v>
      </c>
      <c r="Q39" s="342">
        <f t="shared" si="5"/>
        <v>0.36114293834262301</v>
      </c>
      <c r="S39" s="445">
        <v>27</v>
      </c>
      <c r="T39" s="223">
        <v>23.1</v>
      </c>
      <c r="U39" s="218">
        <v>28.5</v>
      </c>
      <c r="V39" s="342">
        <f t="shared" si="6"/>
        <v>26.782750196948463</v>
      </c>
      <c r="W39" s="350">
        <f t="shared" si="7"/>
        <v>2.948946886080543</v>
      </c>
    </row>
    <row r="40" spans="1:23">
      <c r="G40" s="445"/>
      <c r="H40" s="446"/>
      <c r="I40" s="445"/>
      <c r="J40" s="342"/>
      <c r="K40" s="350"/>
      <c r="M40" s="340">
        <v>28</v>
      </c>
      <c r="N40" s="446">
        <v>24.4</v>
      </c>
      <c r="O40" s="445">
        <v>28</v>
      </c>
      <c r="P40" s="342">
        <f t="shared" si="4"/>
        <v>27.620153354683453</v>
      </c>
      <c r="Q40" s="342">
        <f t="shared" si="5"/>
        <v>0.14428347395823499</v>
      </c>
      <c r="T40" s="252"/>
      <c r="W40" s="342">
        <f>SUM(W12:W39)</f>
        <v>36.124423797697034</v>
      </c>
    </row>
    <row r="41" spans="1:23">
      <c r="G41" s="445"/>
      <c r="H41" s="446"/>
      <c r="I41" s="445"/>
      <c r="J41" s="342"/>
      <c r="K41" s="350"/>
      <c r="M41" s="340">
        <v>29</v>
      </c>
      <c r="N41" s="446">
        <v>24.3</v>
      </c>
      <c r="O41" s="445">
        <v>28</v>
      </c>
      <c r="P41" s="342">
        <f t="shared" si="4"/>
        <v>27.359420784303765</v>
      </c>
      <c r="Q41" s="342">
        <f t="shared" si="5"/>
        <v>0.41034173158200343</v>
      </c>
    </row>
    <row r="42" spans="1:23">
      <c r="G42" s="445"/>
      <c r="H42" s="446"/>
      <c r="I42" s="445"/>
      <c r="J42" s="342"/>
      <c r="K42" s="350"/>
      <c r="M42" s="340">
        <v>30</v>
      </c>
      <c r="N42" s="446">
        <v>24.1</v>
      </c>
      <c r="O42" s="445">
        <v>27.5</v>
      </c>
      <c r="P42" s="342">
        <f t="shared" si="4"/>
        <v>27.115667812442439</v>
      </c>
      <c r="Q42" s="342">
        <f t="shared" si="5"/>
        <v>0.14771123039278036</v>
      </c>
    </row>
    <row r="43" spans="1:23">
      <c r="G43" s="445"/>
      <c r="H43" s="446"/>
      <c r="I43" s="445"/>
      <c r="J43" s="342"/>
      <c r="K43" s="350"/>
      <c r="M43" s="340">
        <v>31</v>
      </c>
      <c r="N43" s="446">
        <v>24.1</v>
      </c>
      <c r="O43" s="445">
        <v>27.5</v>
      </c>
      <c r="P43" s="342">
        <f t="shared" si="4"/>
        <v>26.887788682479101</v>
      </c>
      <c r="Q43" s="342">
        <f t="shared" si="5"/>
        <v>0.37480269730067473</v>
      </c>
    </row>
    <row r="44" spans="1:23">
      <c r="G44" s="445"/>
      <c r="H44" s="446"/>
      <c r="I44" s="445"/>
      <c r="J44" s="342"/>
      <c r="K44" s="350"/>
      <c r="M44" s="340">
        <v>32</v>
      </c>
      <c r="N44" s="446">
        <v>24</v>
      </c>
      <c r="O44" s="445">
        <v>27.5</v>
      </c>
      <c r="P44" s="342">
        <f t="shared" si="4"/>
        <v>26.674749647605747</v>
      </c>
      <c r="Q44" s="342">
        <f t="shared" si="5"/>
        <v>0.68103814412683861</v>
      </c>
    </row>
    <row r="45" spans="1:23">
      <c r="G45" s="445"/>
      <c r="H45" s="446"/>
      <c r="I45" s="445"/>
      <c r="J45" s="342"/>
      <c r="K45" s="350"/>
      <c r="M45" s="340">
        <v>33</v>
      </c>
      <c r="N45" s="446">
        <v>24</v>
      </c>
      <c r="O45" s="445">
        <v>27</v>
      </c>
      <c r="P45" s="342">
        <f t="shared" si="4"/>
        <v>26.475584281356234</v>
      </c>
      <c r="Q45" s="342">
        <f t="shared" si="5"/>
        <v>0.2750118459606577</v>
      </c>
    </row>
    <row r="46" spans="1:23">
      <c r="G46" s="445"/>
      <c r="H46" s="446"/>
      <c r="I46" s="445"/>
      <c r="J46" s="342"/>
      <c r="K46" s="350"/>
      <c r="M46" s="340">
        <v>34</v>
      </c>
      <c r="N46" s="446">
        <v>24</v>
      </c>
      <c r="O46" s="445">
        <v>27</v>
      </c>
      <c r="P46" s="342">
        <f t="shared" si="4"/>
        <v>26.289389093526523</v>
      </c>
      <c r="Q46" s="342">
        <f t="shared" si="5"/>
        <v>0.50496786039905628</v>
      </c>
    </row>
    <row r="47" spans="1:23">
      <c r="G47" s="445"/>
      <c r="H47" s="446"/>
      <c r="I47" s="445"/>
      <c r="J47" s="342"/>
      <c r="K47" s="350"/>
      <c r="M47" s="340">
        <v>35</v>
      </c>
      <c r="N47" s="446">
        <v>23.9</v>
      </c>
      <c r="O47" s="445">
        <v>27</v>
      </c>
      <c r="P47" s="342">
        <f t="shared" si="4"/>
        <v>26.115319431597914</v>
      </c>
      <c r="Q47" s="342">
        <f t="shared" si="5"/>
        <v>0.78265970810823748</v>
      </c>
    </row>
    <row r="48" spans="1:23">
      <c r="G48" s="445"/>
      <c r="H48" s="446"/>
      <c r="I48" s="445"/>
      <c r="J48" s="342"/>
      <c r="K48" s="350"/>
      <c r="M48" s="340">
        <v>36</v>
      </c>
      <c r="N48" s="446">
        <v>23.9</v>
      </c>
      <c r="O48" s="445">
        <v>27</v>
      </c>
      <c r="P48" s="342">
        <f t="shared" si="4"/>
        <v>25.952585649070453</v>
      </c>
      <c r="Q48" s="342">
        <f t="shared" si="5"/>
        <v>1.0970768225331633</v>
      </c>
    </row>
    <row r="49" spans="7:17">
      <c r="G49" s="445"/>
      <c r="H49" s="446"/>
      <c r="I49" s="445"/>
      <c r="J49" s="342"/>
      <c r="K49" s="350"/>
      <c r="M49" s="340">
        <v>37</v>
      </c>
      <c r="N49" s="446">
        <v>23.9</v>
      </c>
      <c r="O49" s="445">
        <v>26.5</v>
      </c>
      <c r="P49" s="342">
        <f t="shared" si="4"/>
        <v>25.800449523324676</v>
      </c>
      <c r="Q49" s="342">
        <f t="shared" si="5"/>
        <v>0.4893708694166724</v>
      </c>
    </row>
    <row r="50" spans="7:17">
      <c r="G50" s="445"/>
      <c r="H50" s="446"/>
      <c r="I50" s="445"/>
      <c r="J50" s="342"/>
      <c r="K50" s="350"/>
      <c r="M50" s="340">
        <v>38</v>
      </c>
      <c r="N50" s="446">
        <v>23.9</v>
      </c>
      <c r="O50" s="445">
        <v>26.5</v>
      </c>
      <c r="P50" s="342">
        <f t="shared" si="4"/>
        <v>25.658220906761741</v>
      </c>
      <c r="Q50" s="342">
        <f t="shared" si="5"/>
        <v>0.70859204181302504</v>
      </c>
    </row>
    <row r="51" spans="7:17">
      <c r="G51" s="445"/>
      <c r="H51" s="446"/>
      <c r="I51" s="445"/>
      <c r="J51" s="342"/>
      <c r="K51" s="350"/>
      <c r="M51" s="340">
        <v>39</v>
      </c>
      <c r="N51" s="446">
        <v>23.8</v>
      </c>
      <c r="O51" s="445">
        <v>26.5</v>
      </c>
      <c r="P51" s="342">
        <f t="shared" si="4"/>
        <v>25.525254596030191</v>
      </c>
      <c r="Q51" s="342">
        <f t="shared" si="5"/>
        <v>0.95012860256026643</v>
      </c>
    </row>
    <row r="52" spans="7:17">
      <c r="G52" s="445"/>
      <c r="H52" s="446"/>
      <c r="I52" s="445"/>
      <c r="J52" s="342"/>
      <c r="K52" s="350"/>
      <c r="M52" s="340">
        <v>40</v>
      </c>
      <c r="N52" s="446">
        <v>23.8</v>
      </c>
      <c r="O52" s="445">
        <v>26</v>
      </c>
      <c r="P52" s="342">
        <f t="shared" si="4"/>
        <v>25.400947405137035</v>
      </c>
      <c r="Q52" s="342">
        <f t="shared" si="5"/>
        <v>0.35886401141205115</v>
      </c>
    </row>
    <row r="53" spans="7:17">
      <c r="G53" s="445"/>
      <c r="H53" s="446"/>
      <c r="I53" s="445"/>
      <c r="J53" s="342"/>
      <c r="K53" s="350"/>
      <c r="M53" s="340">
        <v>41</v>
      </c>
      <c r="N53" s="446">
        <v>23.8</v>
      </c>
      <c r="O53" s="445">
        <v>26</v>
      </c>
      <c r="P53" s="342">
        <f t="shared" si="4"/>
        <v>25.284735429165579</v>
      </c>
      <c r="Q53" s="342">
        <f t="shared" si="5"/>
        <v>0.51160340629094836</v>
      </c>
    </row>
    <row r="54" spans="7:17">
      <c r="G54" s="445"/>
      <c r="H54" s="446"/>
      <c r="I54" s="445"/>
      <c r="J54" s="342"/>
      <c r="K54" s="350"/>
      <c r="M54" s="340">
        <v>42</v>
      </c>
      <c r="N54" s="446">
        <v>23.8</v>
      </c>
      <c r="O54" s="445">
        <v>26</v>
      </c>
      <c r="P54" s="342">
        <f t="shared" si="4"/>
        <v>25.176091486187271</v>
      </c>
      <c r="Q54" s="342">
        <f t="shared" si="5"/>
        <v>0.67882523913309933</v>
      </c>
    </row>
    <row r="55" spans="7:17">
      <c r="G55" s="445"/>
      <c r="H55" s="446"/>
      <c r="I55" s="445"/>
      <c r="J55" s="342"/>
      <c r="K55" s="350"/>
      <c r="M55" s="340">
        <v>43</v>
      </c>
      <c r="N55" s="446">
        <v>23.7</v>
      </c>
      <c r="O55" s="445">
        <v>26</v>
      </c>
      <c r="P55" s="342">
        <f t="shared" si="4"/>
        <v>25.074522725763011</v>
      </c>
      <c r="Q55" s="342">
        <f t="shared" si="5"/>
        <v>0.85650818512912774</v>
      </c>
    </row>
    <row r="56" spans="7:17">
      <c r="G56" s="445"/>
      <c r="H56" s="446"/>
      <c r="I56" s="445"/>
      <c r="J56" s="342"/>
      <c r="K56" s="350"/>
      <c r="M56" s="340">
        <v>44</v>
      </c>
      <c r="N56" s="446">
        <v>23.7</v>
      </c>
      <c r="O56" s="445">
        <v>26</v>
      </c>
      <c r="P56" s="342">
        <f t="shared" si="4"/>
        <v>24.979568393185264</v>
      </c>
      <c r="Q56" s="342">
        <f t="shared" si="5"/>
        <v>1.0412806641865033</v>
      </c>
    </row>
    <row r="57" spans="7:17">
      <c r="G57" s="445"/>
      <c r="H57" s="446"/>
      <c r="I57" s="445"/>
      <c r="J57" s="342"/>
      <c r="K57" s="350"/>
      <c r="M57" s="340">
        <v>45</v>
      </c>
      <c r="N57" s="446">
        <v>23.7</v>
      </c>
      <c r="O57" s="445">
        <v>25.5</v>
      </c>
      <c r="P57" s="342">
        <f t="shared" si="4"/>
        <v>24.890797739318625</v>
      </c>
      <c r="Q57" s="342">
        <f t="shared" si="5"/>
        <v>0.37112739441929793</v>
      </c>
    </row>
    <row r="58" spans="7:17">
      <c r="G58" s="445"/>
      <c r="H58" s="446"/>
      <c r="I58" s="445"/>
      <c r="J58" s="342"/>
      <c r="K58" s="350"/>
      <c r="M58" s="340">
        <v>46</v>
      </c>
      <c r="N58" s="446">
        <v>23.7</v>
      </c>
      <c r="O58" s="445">
        <v>25.5</v>
      </c>
      <c r="P58" s="342">
        <f t="shared" si="4"/>
        <v>24.807808066557154</v>
      </c>
      <c r="Q58" s="342">
        <f t="shared" si="5"/>
        <v>0.47912967272334522</v>
      </c>
    </row>
    <row r="59" spans="7:17">
      <c r="G59" s="445"/>
      <c r="H59" s="446"/>
      <c r="I59" s="445"/>
      <c r="J59" s="342"/>
      <c r="K59" s="350"/>
      <c r="M59" s="340">
        <v>47</v>
      </c>
      <c r="N59" s="446">
        <v>23.7</v>
      </c>
      <c r="O59" s="445">
        <v>25.5</v>
      </c>
      <c r="P59" s="342">
        <f t="shared" si="4"/>
        <v>24.730222902034178</v>
      </c>
      <c r="Q59" s="342">
        <f t="shared" si="5"/>
        <v>0.59255678055268213</v>
      </c>
    </row>
    <row r="60" spans="7:17">
      <c r="G60" s="445"/>
      <c r="H60" s="446"/>
      <c r="I60" s="445"/>
      <c r="J60" s="342"/>
      <c r="K60" s="350"/>
      <c r="M60" s="340">
        <v>48</v>
      </c>
      <c r="N60" s="446">
        <v>23.7</v>
      </c>
      <c r="O60" s="445">
        <v>25.5</v>
      </c>
      <c r="P60" s="342">
        <f t="shared" si="4"/>
        <v>24.65769028979749</v>
      </c>
      <c r="Q60" s="342">
        <f t="shared" si="5"/>
        <v>0.70948564790143698</v>
      </c>
    </row>
    <row r="61" spans="7:17">
      <c r="G61" s="445"/>
      <c r="H61" s="446"/>
      <c r="I61" s="445"/>
      <c r="J61" s="342"/>
      <c r="K61" s="350"/>
      <c r="M61" s="340">
        <v>49</v>
      </c>
      <c r="N61" s="446">
        <v>23.7</v>
      </c>
      <c r="O61" s="445">
        <v>25.5</v>
      </c>
      <c r="P61" s="342">
        <f t="shared" si="4"/>
        <v>24.589881194202672</v>
      </c>
      <c r="Q61" s="342">
        <f t="shared" si="5"/>
        <v>0.82831624066595477</v>
      </c>
    </row>
    <row r="62" spans="7:17">
      <c r="G62" s="445"/>
      <c r="H62" s="446"/>
      <c r="I62" s="445"/>
      <c r="J62" s="342"/>
      <c r="K62" s="350"/>
      <c r="M62" s="340">
        <v>50</v>
      </c>
      <c r="N62" s="446">
        <v>23.8</v>
      </c>
      <c r="O62" s="445">
        <v>25.5</v>
      </c>
      <c r="P62" s="342">
        <f t="shared" si="4"/>
        <v>24.526488007281699</v>
      </c>
      <c r="Q62" s="342">
        <f t="shared" si="5"/>
        <v>0.94772559996635675</v>
      </c>
    </row>
    <row r="63" spans="7:17">
      <c r="G63" s="445"/>
      <c r="H63" s="446"/>
      <c r="I63" s="445"/>
      <c r="J63" s="342"/>
      <c r="K63" s="342"/>
      <c r="M63" s="340">
        <v>51</v>
      </c>
      <c r="N63" s="446">
        <v>23.8</v>
      </c>
      <c r="O63" s="445">
        <v>25</v>
      </c>
      <c r="P63" s="342">
        <f t="shared" si="4"/>
        <v>24.46722315331564</v>
      </c>
      <c r="Q63" s="342">
        <f t="shared" si="5"/>
        <v>0.28385116836293012</v>
      </c>
    </row>
    <row r="64" spans="7:17">
      <c r="G64" s="445"/>
      <c r="H64" s="446"/>
      <c r="I64" s="445"/>
      <c r="J64" s="342"/>
      <c r="K64" s="342"/>
      <c r="M64" s="340">
        <v>52</v>
      </c>
      <c r="N64" s="446">
        <v>23.8</v>
      </c>
      <c r="O64" s="445">
        <v>25</v>
      </c>
      <c r="P64" s="342">
        <f t="shared" si="4"/>
        <v>24.411817784281315</v>
      </c>
      <c r="Q64" s="342">
        <f t="shared" si="5"/>
        <v>0.34595831888774209</v>
      </c>
    </row>
    <row r="65" spans="7:17">
      <c r="G65" s="445"/>
      <c r="H65" s="446"/>
      <c r="I65" s="445"/>
      <c r="J65" s="342"/>
      <c r="K65" s="342"/>
      <c r="M65" s="340">
        <v>53</v>
      </c>
      <c r="N65" s="446">
        <v>23.8</v>
      </c>
      <c r="O65" s="445">
        <v>25</v>
      </c>
      <c r="P65" s="342">
        <f t="shared" si="4"/>
        <v>24.36002056025394</v>
      </c>
      <c r="Q65" s="342">
        <f t="shared" si="5"/>
        <v>0.40957368329768123</v>
      </c>
    </row>
    <row r="66" spans="7:17">
      <c r="G66" s="445"/>
      <c r="H66" s="446"/>
      <c r="I66" s="445"/>
      <c r="J66" s="342"/>
      <c r="K66" s="342"/>
      <c r="M66" s="340">
        <v>54</v>
      </c>
      <c r="N66" s="446">
        <v>23.8</v>
      </c>
      <c r="O66" s="445">
        <v>25</v>
      </c>
      <c r="P66" s="342">
        <f t="shared" si="4"/>
        <v>24.31159650923318</v>
      </c>
      <c r="Q66" s="342">
        <f t="shared" si="5"/>
        <v>0.47389936609994349</v>
      </c>
    </row>
    <row r="67" spans="7:17">
      <c r="G67" s="445"/>
      <c r="H67" s="446"/>
      <c r="I67" s="445"/>
      <c r="J67" s="342"/>
      <c r="K67" s="342"/>
      <c r="M67" s="340">
        <v>55</v>
      </c>
      <c r="N67" s="446">
        <v>23.8</v>
      </c>
      <c r="O67" s="445">
        <v>25</v>
      </c>
      <c r="P67" s="342">
        <f t="shared" si="4"/>
        <v>24.266325961220382</v>
      </c>
      <c r="Q67" s="342">
        <f t="shared" si="5"/>
        <v>0.53827759517919693</v>
      </c>
    </row>
    <row r="68" spans="7:17">
      <c r="G68" s="445"/>
      <c r="H68" s="446"/>
      <c r="I68" s="445"/>
      <c r="J68" s="342"/>
      <c r="K68" s="342"/>
      <c r="M68" s="340">
        <v>56</v>
      </c>
      <c r="N68" s="446">
        <v>23.8</v>
      </c>
      <c r="O68" s="445">
        <v>25</v>
      </c>
      <c r="P68" s="342">
        <f t="shared" si="4"/>
        <v>24.224003551711508</v>
      </c>
      <c r="Q68" s="342">
        <f t="shared" si="5"/>
        <v>0.60217048775635396</v>
      </c>
    </row>
    <row r="69" spans="7:17">
      <c r="G69" s="445"/>
      <c r="H69" s="446"/>
      <c r="I69" s="445"/>
      <c r="J69" s="342"/>
      <c r="K69" s="342"/>
      <c r="M69" s="340">
        <v>57</v>
      </c>
      <c r="N69" s="446">
        <v>23.7</v>
      </c>
      <c r="O69" s="445">
        <v>25</v>
      </c>
      <c r="P69" s="342">
        <f t="shared" si="4"/>
        <v>24.184437290085285</v>
      </c>
      <c r="Q69" s="342">
        <f t="shared" si="5"/>
        <v>0.66514253380343413</v>
      </c>
    </row>
    <row r="70" spans="7:17">
      <c r="G70" s="445"/>
      <c r="H70" s="446"/>
      <c r="I70" s="445"/>
      <c r="J70" s="342"/>
      <c r="K70" s="342"/>
      <c r="M70" s="340">
        <v>58</v>
      </c>
      <c r="N70" s="446">
        <v>23.7</v>
      </c>
      <c r="O70" s="445">
        <v>25</v>
      </c>
      <c r="P70" s="342">
        <f t="shared" si="4"/>
        <v>24.147447688660382</v>
      </c>
      <c r="Q70" s="342">
        <f t="shared" si="5"/>
        <v>0.72684544357052538</v>
      </c>
    </row>
    <row r="71" spans="7:17">
      <c r="G71" s="445"/>
      <c r="H71" s="446"/>
      <c r="I71" s="445"/>
      <c r="J71" s="342"/>
      <c r="K71" s="342"/>
      <c r="M71" s="340">
        <v>59</v>
      </c>
      <c r="N71" s="446">
        <v>23.7</v>
      </c>
      <c r="O71" s="445">
        <v>25</v>
      </c>
      <c r="P71" s="342">
        <f t="shared" si="4"/>
        <v>24.11286694847071</v>
      </c>
      <c r="Q71" s="342">
        <f t="shared" si="5"/>
        <v>0.78700505111566932</v>
      </c>
    </row>
    <row r="72" spans="7:17">
      <c r="G72" s="445"/>
      <c r="H72" s="446"/>
      <c r="I72" s="445"/>
      <c r="J72" s="342"/>
      <c r="K72" s="342"/>
      <c r="M72" s="340">
        <v>60</v>
      </c>
      <c r="N72" s="446">
        <v>23.7</v>
      </c>
      <c r="O72" s="445">
        <v>25</v>
      </c>
      <c r="P72" s="342">
        <f t="shared" si="4"/>
        <v>24.080538198065181</v>
      </c>
      <c r="Q72" s="342">
        <f t="shared" si="5"/>
        <v>0.84541000521722443</v>
      </c>
    </row>
    <row r="73" spans="7:17">
      <c r="G73" s="445"/>
      <c r="H73" s="446"/>
      <c r="I73" s="445"/>
      <c r="J73" s="342"/>
      <c r="K73" s="342"/>
      <c r="M73" s="340">
        <v>61</v>
      </c>
      <c r="N73" s="446">
        <v>23.7</v>
      </c>
      <c r="O73" s="445">
        <v>24.5</v>
      </c>
      <c r="P73" s="342">
        <f t="shared" si="4"/>
        <v>24.050314781878875</v>
      </c>
      <c r="Q73" s="342">
        <f t="shared" si="5"/>
        <v>0.20221679539664403</v>
      </c>
    </row>
    <row r="74" spans="7:17">
      <c r="G74" s="445"/>
      <c r="H74" s="446"/>
      <c r="I74" s="445"/>
      <c r="J74" s="342"/>
      <c r="K74" s="342"/>
      <c r="M74" s="340">
        <v>62</v>
      </c>
      <c r="N74" s="446">
        <v>23.6</v>
      </c>
      <c r="O74" s="445">
        <v>24.5</v>
      </c>
      <c r="P74" s="342">
        <f t="shared" si="4"/>
        <v>24.022059594947351</v>
      </c>
      <c r="Q74" s="342">
        <f t="shared" si="5"/>
        <v>0.22842703078189064</v>
      </c>
    </row>
    <row r="75" spans="7:17">
      <c r="G75" s="445"/>
      <c r="H75" s="446"/>
      <c r="I75" s="445"/>
      <c r="J75" s="342"/>
      <c r="K75" s="342"/>
      <c r="M75" s="340">
        <v>63</v>
      </c>
      <c r="N75" s="446">
        <v>23.6</v>
      </c>
      <c r="O75" s="445">
        <v>24.5</v>
      </c>
      <c r="P75" s="342">
        <f t="shared" si="4"/>
        <v>23.995644460946156</v>
      </c>
      <c r="Q75" s="342">
        <f t="shared" si="5"/>
        <v>0.25437450977429321</v>
      </c>
    </row>
    <row r="76" spans="7:17">
      <c r="G76" s="445"/>
      <c r="H76" s="446"/>
      <c r="I76" s="445"/>
      <c r="J76" s="342"/>
      <c r="K76" s="342"/>
      <c r="M76" s="340">
        <v>64</v>
      </c>
      <c r="N76" s="446">
        <v>23.6</v>
      </c>
      <c r="O76" s="445">
        <v>24.5</v>
      </c>
      <c r="P76" s="342">
        <f t="shared" si="4"/>
        <v>23.970949550734019</v>
      </c>
      <c r="Q76" s="342">
        <f t="shared" si="5"/>
        <v>0.27989437786853599</v>
      </c>
    </row>
    <row r="77" spans="7:17">
      <c r="G77" s="445"/>
      <c r="H77" s="446"/>
      <c r="I77" s="445"/>
      <c r="J77" s="342"/>
      <c r="K77" s="342"/>
      <c r="M77" s="340">
        <v>65</v>
      </c>
      <c r="N77" s="446">
        <v>23.6</v>
      </c>
      <c r="O77" s="445">
        <v>24.5</v>
      </c>
      <c r="P77" s="342">
        <f t="shared" ref="P77:P84" si="8">($O$12-$N$9)*EXP(-$N$8/$N$3/$N$4*M77*3600)+$N$9</f>
        <v>23.947862838762084</v>
      </c>
      <c r="Q77" s="342">
        <f t="shared" ref="Q77:Q84" si="9">(P77-O77)^2</f>
        <v>0.30485544481986399</v>
      </c>
    </row>
    <row r="78" spans="7:17">
      <c r="G78" s="445"/>
      <c r="H78" s="446"/>
      <c r="I78" s="445"/>
      <c r="J78" s="342"/>
      <c r="K78" s="342"/>
      <c r="M78" s="340">
        <v>66</v>
      </c>
      <c r="N78" s="446">
        <v>23.5</v>
      </c>
      <c r="O78" s="445">
        <v>24.5</v>
      </c>
      <c r="P78" s="342">
        <f t="shared" si="8"/>
        <v>23.926279594883233</v>
      </c>
      <c r="Q78" s="342">
        <f t="shared" si="9"/>
        <v>0.32915510324734676</v>
      </c>
    </row>
    <row r="79" spans="7:17">
      <c r="G79" s="445"/>
      <c r="H79" s="446"/>
      <c r="I79" s="445"/>
      <c r="J79" s="342"/>
      <c r="K79" s="342"/>
      <c r="M79" s="340">
        <v>67</v>
      </c>
      <c r="N79" s="446">
        <v>23.4</v>
      </c>
      <c r="O79" s="445">
        <v>24.5</v>
      </c>
      <c r="P79" s="342">
        <f t="shared" si="8"/>
        <v>23.90610190925609</v>
      </c>
      <c r="Q79" s="342">
        <f t="shared" si="9"/>
        <v>0.35271494218926103</v>
      </c>
    </row>
    <row r="80" spans="7:17">
      <c r="G80" s="445"/>
      <c r="H80" s="446"/>
      <c r="I80" s="445"/>
      <c r="J80" s="342"/>
      <c r="K80" s="342"/>
      <c r="M80" s="340">
        <v>68</v>
      </c>
      <c r="N80" s="446">
        <v>23.4</v>
      </c>
      <c r="O80" s="445">
        <v>24.5</v>
      </c>
      <c r="P80" s="342">
        <f t="shared" si="8"/>
        <v>23.887238248188595</v>
      </c>
      <c r="Q80" s="342">
        <f t="shared" si="9"/>
        <v>0.3754769644829819</v>
      </c>
    </row>
    <row r="81" spans="7:17">
      <c r="G81" s="445"/>
      <c r="H81" s="446"/>
      <c r="I81" s="445"/>
      <c r="J81" s="342"/>
      <c r="K81" s="342"/>
      <c r="M81" s="340">
        <v>69</v>
      </c>
      <c r="N81" s="446">
        <v>23.4</v>
      </c>
      <c r="O81" s="445">
        <v>24.5</v>
      </c>
      <c r="P81" s="342">
        <f t="shared" si="8"/>
        <v>23.869603038906185</v>
      </c>
      <c r="Q81" s="342">
        <f t="shared" si="9"/>
        <v>0.39740032855631741</v>
      </c>
    </row>
    <row r="82" spans="7:17">
      <c r="G82" s="445"/>
      <c r="H82" s="446"/>
      <c r="I82" s="445"/>
      <c r="J82" s="342"/>
      <c r="K82" s="342"/>
      <c r="M82" s="340">
        <v>70</v>
      </c>
      <c r="N82" s="446">
        <v>23.4</v>
      </c>
      <c r="O82" s="445">
        <v>24.5</v>
      </c>
      <c r="P82" s="342">
        <f t="shared" si="8"/>
        <v>23.853116281360993</v>
      </c>
      <c r="Q82" s="342">
        <f t="shared" si="9"/>
        <v>0.41845854544022976</v>
      </c>
    </row>
    <row r="83" spans="7:17">
      <c r="G83" s="445"/>
      <c r="H83" s="446"/>
      <c r="I83" s="445"/>
      <c r="J83" s="342"/>
      <c r="K83" s="342"/>
      <c r="M83" s="340">
        <v>71</v>
      </c>
      <c r="N83" s="446">
        <v>23.4</v>
      </c>
      <c r="O83" s="445">
        <v>24.5</v>
      </c>
      <c r="P83" s="342">
        <f t="shared" si="8"/>
        <v>23.837703185321072</v>
      </c>
      <c r="Q83" s="342">
        <f t="shared" si="9"/>
        <v>0.43863707073385472</v>
      </c>
    </row>
    <row r="84" spans="7:17">
      <c r="G84" s="445"/>
      <c r="H84" s="446"/>
      <c r="I84" s="445"/>
      <c r="J84" s="342"/>
      <c r="K84" s="342"/>
      <c r="M84" s="340">
        <v>72</v>
      </c>
      <c r="N84" s="446">
        <v>23.4</v>
      </c>
      <c r="O84" s="445">
        <v>24.5</v>
      </c>
      <c r="P84" s="342">
        <f t="shared" si="8"/>
        <v>23.823293831093316</v>
      </c>
      <c r="Q84" s="342">
        <f t="shared" si="9"/>
        <v>0.45793123903636096</v>
      </c>
    </row>
    <row r="85" spans="7:17">
      <c r="Q85" s="342">
        <f>SUM(Q12:Q84)</f>
        <v>36.348316938149146</v>
      </c>
    </row>
  </sheetData>
  <mergeCells count="29">
    <mergeCell ref="J7:J9"/>
    <mergeCell ref="Q7:Q9"/>
    <mergeCell ref="O10:O11"/>
    <mergeCell ref="P10:P11"/>
    <mergeCell ref="Q10:Q11"/>
    <mergeCell ref="K10:K11"/>
    <mergeCell ref="K8:K9"/>
    <mergeCell ref="M10:M11"/>
    <mergeCell ref="N10:N11"/>
    <mergeCell ref="D36:D37"/>
    <mergeCell ref="G10:G11"/>
    <mergeCell ref="H10:H11"/>
    <mergeCell ref="I10:I11"/>
    <mergeCell ref="J10:J11"/>
    <mergeCell ref="D10:D11"/>
    <mergeCell ref="E10:E11"/>
    <mergeCell ref="A10:A11"/>
    <mergeCell ref="B10:B11"/>
    <mergeCell ref="C10:C11"/>
    <mergeCell ref="E7:E9"/>
    <mergeCell ref="F7:F9"/>
    <mergeCell ref="R7:R9"/>
    <mergeCell ref="V7:V9"/>
    <mergeCell ref="W8:W9"/>
    <mergeCell ref="S10:S11"/>
    <mergeCell ref="T10:T11"/>
    <mergeCell ref="U10:U11"/>
    <mergeCell ref="V10:V11"/>
    <mergeCell ref="W10:W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1498-2220-4788-AA31-78F3B6FEEEFC}">
  <dimension ref="A1:AG152"/>
  <sheetViews>
    <sheetView zoomScale="80" zoomScaleNormal="80" workbookViewId="0">
      <selection activeCell="H127" sqref="H127"/>
    </sheetView>
  </sheetViews>
  <sheetFormatPr defaultRowHeight="12"/>
  <cols>
    <col min="1" max="1" width="9.28515625" style="340" customWidth="1"/>
    <col min="2" max="2" width="9" style="340" customWidth="1"/>
    <col min="3" max="3" width="9.7109375" style="340" customWidth="1"/>
    <col min="4" max="4" width="10.5703125" style="340" customWidth="1"/>
    <col min="5" max="5" width="7" style="340" customWidth="1"/>
    <col min="6" max="6" width="7.28515625" style="340" customWidth="1"/>
    <col min="7" max="7" width="7.85546875" style="340" customWidth="1"/>
    <col min="8" max="8" width="6.28515625" style="340" customWidth="1"/>
    <col min="9" max="15" width="9.140625" style="340"/>
    <col min="16" max="16" width="2.85546875" style="340" customWidth="1"/>
    <col min="17" max="19" width="9.140625" style="340"/>
    <col min="20" max="20" width="11" style="340" customWidth="1"/>
    <col min="21" max="21" width="11.5703125" style="340" customWidth="1"/>
    <col min="22" max="22" width="11.140625" style="340" customWidth="1"/>
    <col min="23" max="23" width="8.85546875" style="340" customWidth="1"/>
    <col min="24" max="24" width="4.42578125" style="340" customWidth="1"/>
    <col min="25" max="16384" width="9.140625" style="340"/>
  </cols>
  <sheetData>
    <row r="1" spans="1:33" ht="15">
      <c r="A1" s="345" t="s">
        <v>386</v>
      </c>
    </row>
    <row r="2" spans="1:33" ht="15">
      <c r="A2" s="345"/>
    </row>
    <row r="3" spans="1:33" ht="15">
      <c r="A3" s="345"/>
    </row>
    <row r="4" spans="1:33">
      <c r="A4" s="340" t="s">
        <v>1</v>
      </c>
      <c r="B4" s="340">
        <v>3</v>
      </c>
      <c r="C4" s="340" t="s">
        <v>355</v>
      </c>
      <c r="I4" s="340" t="s">
        <v>1</v>
      </c>
      <c r="J4" s="340">
        <v>3</v>
      </c>
      <c r="K4" s="340" t="s">
        <v>355</v>
      </c>
      <c r="O4" s="349"/>
      <c r="Q4" s="340" t="s">
        <v>1</v>
      </c>
      <c r="R4" s="340">
        <v>2</v>
      </c>
      <c r="S4" s="340" t="s">
        <v>355</v>
      </c>
      <c r="Y4" s="340" t="s">
        <v>1</v>
      </c>
      <c r="Z4" s="340">
        <v>2</v>
      </c>
      <c r="AA4" s="340" t="s">
        <v>355</v>
      </c>
    </row>
    <row r="5" spans="1:33" ht="13.5">
      <c r="B5" s="340">
        <v>4184</v>
      </c>
      <c r="C5" s="340" t="s">
        <v>548</v>
      </c>
      <c r="J5" s="340">
        <v>4184</v>
      </c>
      <c r="K5" s="340" t="s">
        <v>548</v>
      </c>
      <c r="O5" s="349"/>
      <c r="R5" s="340">
        <v>4184</v>
      </c>
      <c r="S5" s="340" t="s">
        <v>548</v>
      </c>
      <c r="Z5" s="340">
        <v>4184</v>
      </c>
      <c r="AA5" s="340" t="s">
        <v>548</v>
      </c>
    </row>
    <row r="6" spans="1:33" ht="14.25">
      <c r="A6" s="340" t="s">
        <v>362</v>
      </c>
      <c r="B6" s="344">
        <f>'9'!P8</f>
        <v>0.25329422168665117</v>
      </c>
      <c r="C6" s="347" t="s">
        <v>549</v>
      </c>
      <c r="I6" s="340" t="s">
        <v>362</v>
      </c>
      <c r="J6" s="344">
        <f>'9'!P8</f>
        <v>0.25329422168665117</v>
      </c>
      <c r="K6" s="347" t="s">
        <v>549</v>
      </c>
      <c r="O6" s="349"/>
      <c r="Q6" s="340" t="s">
        <v>362</v>
      </c>
      <c r="R6" s="344">
        <f>'9'!D8</f>
        <v>0.21177414140414075</v>
      </c>
      <c r="S6" s="347" t="s">
        <v>549</v>
      </c>
      <c r="Y6" s="340" t="s">
        <v>362</v>
      </c>
      <c r="Z6" s="343">
        <f>'9'!D8</f>
        <v>0.21177414140414075</v>
      </c>
      <c r="AA6" s="347" t="s">
        <v>549</v>
      </c>
    </row>
    <row r="7" spans="1:33">
      <c r="A7" s="340" t="s">
        <v>369</v>
      </c>
      <c r="B7" s="343">
        <v>0.15</v>
      </c>
      <c r="C7" s="340" t="s">
        <v>375</v>
      </c>
      <c r="I7" s="340" t="s">
        <v>369</v>
      </c>
      <c r="J7" s="343">
        <v>0.18091137674366264</v>
      </c>
      <c r="K7" s="340" t="s">
        <v>375</v>
      </c>
      <c r="O7" s="349"/>
      <c r="Q7" s="340" t="s">
        <v>369</v>
      </c>
      <c r="R7" s="343">
        <v>8.6761555380842473E-2</v>
      </c>
      <c r="S7" s="340" t="s">
        <v>375</v>
      </c>
      <c r="Y7" s="340" t="s">
        <v>369</v>
      </c>
      <c r="Z7" s="343">
        <v>8.8830981618627736E-2</v>
      </c>
      <c r="AA7" s="340" t="s">
        <v>375</v>
      </c>
      <c r="AF7" s="346"/>
      <c r="AG7" s="346"/>
    </row>
    <row r="8" spans="1:33">
      <c r="A8" s="339" t="s">
        <v>364</v>
      </c>
      <c r="B8" s="342">
        <f>AVERAGE(B12:B59)</f>
        <v>23.177499999999995</v>
      </c>
      <c r="C8" s="340" t="s">
        <v>19</v>
      </c>
      <c r="I8" s="339" t="s">
        <v>364</v>
      </c>
      <c r="J8" s="342">
        <f>AVERAGE(J12:J59)</f>
        <v>23.993548387096777</v>
      </c>
      <c r="K8" s="340" t="s">
        <v>19</v>
      </c>
      <c r="O8" s="349"/>
      <c r="Q8" s="339" t="s">
        <v>364</v>
      </c>
      <c r="R8" s="342">
        <f>AVERAGE(R12:R59)</f>
        <v>24.791666666666668</v>
      </c>
      <c r="S8" s="340" t="s">
        <v>19</v>
      </c>
      <c r="Y8" s="339" t="s">
        <v>364</v>
      </c>
      <c r="Z8" s="364">
        <f>AVERAGE(Z12:Z59)</f>
        <v>26.000000000000004</v>
      </c>
      <c r="AA8" s="340" t="s">
        <v>19</v>
      </c>
    </row>
    <row r="9" spans="1:33">
      <c r="A9" s="340" t="s">
        <v>15</v>
      </c>
      <c r="B9" s="340">
        <f>-B4*B5/B6</f>
        <v>-49555.019125260609</v>
      </c>
      <c r="I9" s="340" t="s">
        <v>15</v>
      </c>
      <c r="J9" s="340">
        <f>-J4*J5/J6</f>
        <v>-49555.019125260609</v>
      </c>
      <c r="O9" s="349"/>
      <c r="Q9" s="340" t="s">
        <v>15</v>
      </c>
      <c r="R9" s="340">
        <f>-R4*R5/R6</f>
        <v>-39513.794953987635</v>
      </c>
      <c r="Y9" s="340" t="s">
        <v>15</v>
      </c>
      <c r="Z9" s="340">
        <f>-Z4*Z5/Z6</f>
        <v>-39513.794953987635</v>
      </c>
      <c r="AE9" s="342">
        <f>AE60</f>
        <v>5.6502060017530225</v>
      </c>
    </row>
    <row r="10" spans="1:33">
      <c r="A10" s="341" t="s">
        <v>370</v>
      </c>
      <c r="B10" s="342">
        <f>D12</f>
        <v>26.230303308732552</v>
      </c>
      <c r="C10" s="340" t="s">
        <v>19</v>
      </c>
      <c r="G10" s="342">
        <f>G52</f>
        <v>1.4549035851666081</v>
      </c>
      <c r="I10" s="341" t="s">
        <v>370</v>
      </c>
      <c r="J10" s="342">
        <f>$L$12</f>
        <v>19.792217488101645</v>
      </c>
      <c r="K10" s="340" t="s">
        <v>19</v>
      </c>
      <c r="O10" s="350">
        <f>AVERAGE(O12:O42)</f>
        <v>1.5701654199130406E-2</v>
      </c>
      <c r="Q10" s="341" t="s">
        <v>370</v>
      </c>
      <c r="R10" s="342">
        <f>T12</f>
        <v>24.798644242844848</v>
      </c>
      <c r="S10" s="340" t="s">
        <v>19</v>
      </c>
      <c r="Y10" s="341" t="s">
        <v>370</v>
      </c>
      <c r="Z10" s="342">
        <f>AB12</f>
        <v>18.080539054345131</v>
      </c>
      <c r="AA10" s="340" t="s">
        <v>19</v>
      </c>
    </row>
    <row r="11" spans="1:33" ht="15">
      <c r="A11" s="340" t="s">
        <v>366</v>
      </c>
      <c r="B11" s="340" t="s">
        <v>371</v>
      </c>
      <c r="C11" s="346" t="s">
        <v>381</v>
      </c>
      <c r="D11" s="341" t="s">
        <v>372</v>
      </c>
      <c r="E11" s="341" t="s">
        <v>373</v>
      </c>
      <c r="F11" s="340" t="s">
        <v>374</v>
      </c>
      <c r="G11" s="340" t="s">
        <v>360</v>
      </c>
      <c r="I11" s="346" t="s">
        <v>366</v>
      </c>
      <c r="J11" s="346" t="s">
        <v>371</v>
      </c>
      <c r="K11" s="346" t="s">
        <v>381</v>
      </c>
      <c r="L11" s="341" t="s">
        <v>372</v>
      </c>
      <c r="M11" s="341" t="s">
        <v>373</v>
      </c>
      <c r="N11" s="340" t="s">
        <v>374</v>
      </c>
      <c r="O11" s="349" t="s">
        <v>360</v>
      </c>
      <c r="Q11" t="s">
        <v>366</v>
      </c>
      <c r="R11" t="s">
        <v>382</v>
      </c>
      <c r="S11" t="s">
        <v>381</v>
      </c>
      <c r="T11" t="s">
        <v>383</v>
      </c>
      <c r="U11" t="s">
        <v>384</v>
      </c>
      <c r="V11" t="s">
        <v>385</v>
      </c>
      <c r="W11" s="340" t="s">
        <v>360</v>
      </c>
      <c r="Y11" t="s">
        <v>366</v>
      </c>
      <c r="Z11" t="s">
        <v>382</v>
      </c>
      <c r="AA11" t="s">
        <v>381</v>
      </c>
      <c r="AB11" t="s">
        <v>383</v>
      </c>
      <c r="AC11" t="s">
        <v>384</v>
      </c>
      <c r="AD11" t="s">
        <v>385</v>
      </c>
      <c r="AE11" s="340" t="s">
        <v>360</v>
      </c>
    </row>
    <row r="12" spans="1:33" ht="15">
      <c r="A12" s="346">
        <v>0</v>
      </c>
      <c r="B12" s="346">
        <v>25.2</v>
      </c>
      <c r="C12" s="346">
        <v>50</v>
      </c>
      <c r="D12" s="342">
        <f>C12-$B$8-$B$7/$B$6</f>
        <v>26.230303308732552</v>
      </c>
      <c r="E12" s="342">
        <f>$B$10*EXP(A12*3600/$B$9)</f>
        <v>26.230303308732552</v>
      </c>
      <c r="F12" s="342">
        <f>E12+$B$8+$B$7/$B$6</f>
        <v>50</v>
      </c>
      <c r="G12" s="342">
        <f>(F12-C12)^2</f>
        <v>0</v>
      </c>
      <c r="I12" s="346">
        <v>0</v>
      </c>
      <c r="J12" s="346">
        <v>26.4</v>
      </c>
      <c r="K12" s="346">
        <v>44.5</v>
      </c>
      <c r="L12" s="342">
        <f>K12-$J$8-$J$7/$J$6</f>
        <v>19.792217488101645</v>
      </c>
      <c r="M12" s="342">
        <f>$J$10*EXP(I12*3600/$J$9)</f>
        <v>19.792217488101645</v>
      </c>
      <c r="N12" s="342">
        <f>M12+$J$8+$J$7/$J$6</f>
        <v>44.5</v>
      </c>
      <c r="O12" s="350">
        <f>(N12-K12)^2</f>
        <v>0</v>
      </c>
      <c r="Q12" s="338">
        <v>0</v>
      </c>
      <c r="R12" s="338">
        <v>28.5</v>
      </c>
      <c r="S12" s="338">
        <v>50</v>
      </c>
      <c r="T12" s="338">
        <f>S12-$R$8-$R$7/$R$6</f>
        <v>24.798644242844848</v>
      </c>
      <c r="U12" s="338">
        <f>$R$10*EXP(Q12*3600/$R$9)</f>
        <v>24.798644242844848</v>
      </c>
      <c r="V12" s="342">
        <f>U12+$R$8+$R$7/$R$6</f>
        <v>50</v>
      </c>
      <c r="W12" s="338">
        <f>(V12-S12)^2</f>
        <v>0</v>
      </c>
      <c r="Y12" s="338">
        <v>0</v>
      </c>
      <c r="Z12" s="338">
        <v>29.4</v>
      </c>
      <c r="AA12" s="338">
        <v>44.5</v>
      </c>
      <c r="AB12" s="338">
        <f>AA12-$Z$8-$Z$7/$Z$6</f>
        <v>18.080539054345131</v>
      </c>
      <c r="AC12" s="338">
        <f>$Z$10*EXP(Y12*3600/$Z$9)</f>
        <v>18.080539054345131</v>
      </c>
      <c r="AD12" s="342">
        <f>AC12+$Z$8+$Z$7/$Z$6</f>
        <v>44.5</v>
      </c>
      <c r="AE12" s="338">
        <f>(AD12-AA12)^2</f>
        <v>0</v>
      </c>
    </row>
    <row r="13" spans="1:33" ht="15">
      <c r="A13" s="346">
        <v>1</v>
      </c>
      <c r="B13" s="346">
        <v>24.6</v>
      </c>
      <c r="C13" s="346">
        <v>48</v>
      </c>
      <c r="D13" s="342">
        <f t="shared" ref="D13:D51" si="0">C13-$B$8-$B$7/$B$6</f>
        <v>24.230303308732552</v>
      </c>
      <c r="E13" s="342">
        <f t="shared" ref="E13:E51" si="1">$B$10*EXP(A13*3600/$B$9)</f>
        <v>24.392332251993448</v>
      </c>
      <c r="F13" s="342">
        <f t="shared" ref="F13:F51" si="2">E13+$B$8+$B$7/$B$6</f>
        <v>48.1620289432609</v>
      </c>
      <c r="G13" s="342">
        <f t="shared" ref="G13:G51" si="3">(F13-C13)^2</f>
        <v>2.6253378454243918E-2</v>
      </c>
      <c r="I13" s="346">
        <v>1</v>
      </c>
      <c r="J13" s="346">
        <v>24.8</v>
      </c>
      <c r="K13" s="346">
        <v>43</v>
      </c>
      <c r="L13" s="342">
        <f t="shared" ref="L13:L42" si="4">K13-$J$8-$J$7/$J$6</f>
        <v>18.292217488101645</v>
      </c>
      <c r="M13" s="342">
        <f t="shared" ref="M13:M42" si="5">$J$10*EXP(I13*3600/$J$9)</f>
        <v>18.405366468361223</v>
      </c>
      <c r="N13" s="342">
        <f t="shared" ref="N13:N42" si="6">M13+$J$8+$J$7/$J$6</f>
        <v>43.113148980259581</v>
      </c>
      <c r="O13" s="350">
        <f t="shared" ref="O13:O42" si="7">(N13-K13)^2</f>
        <v>1.280269173378302E-2</v>
      </c>
      <c r="Q13" s="338">
        <v>0.5</v>
      </c>
      <c r="R13" s="338">
        <v>28</v>
      </c>
      <c r="S13" s="338">
        <v>49</v>
      </c>
      <c r="T13" s="338">
        <f t="shared" ref="T13:T59" si="8">S13-$R$8-$R$7/$R$6</f>
        <v>23.798644242844848</v>
      </c>
      <c r="U13" s="338">
        <f t="shared" ref="U13:U59" si="9">$R$10*EXP(Q13*3600/$R$9)</f>
        <v>23.694318009063327</v>
      </c>
      <c r="V13" s="342">
        <f t="shared" ref="V13:V59" si="10">U13+$R$8+$R$7/$R$6</f>
        <v>48.895673766218479</v>
      </c>
      <c r="W13" s="338">
        <f t="shared" ref="W13:W59" si="11">(V13-S13)^2</f>
        <v>1.0883963055036517E-2</v>
      </c>
      <c r="Y13" s="338">
        <v>0.5</v>
      </c>
      <c r="Z13" s="338">
        <v>28.5</v>
      </c>
      <c r="AA13" s="338">
        <v>44.5</v>
      </c>
      <c r="AB13" s="338">
        <f t="shared" ref="AB13:AB59" si="12">AA13-$Z$8-$Z$7/$Z$6</f>
        <v>18.080539054345131</v>
      </c>
      <c r="AC13" s="338">
        <f t="shared" ref="AC13:AC59" si="13">$Z$10*EXP(Y13*3600/$Z$9)</f>
        <v>17.275381586739389</v>
      </c>
      <c r="AD13" s="342">
        <f t="shared" ref="AD13:AD59" si="14">AC13+$Z$8+$Z$7/$Z$6</f>
        <v>43.694842532394254</v>
      </c>
      <c r="AE13" s="338">
        <f t="shared" ref="AE13:AE59" si="15">(AD13-AA13)^2</f>
        <v>0.64827854764129722</v>
      </c>
    </row>
    <row r="14" spans="1:33" ht="15">
      <c r="A14" s="346">
        <v>2</v>
      </c>
      <c r="B14" s="346">
        <v>24.2</v>
      </c>
      <c r="C14" s="346">
        <v>46.5</v>
      </c>
      <c r="D14" s="342">
        <f t="shared" si="0"/>
        <v>22.730303308732552</v>
      </c>
      <c r="E14" s="342">
        <f t="shared" si="1"/>
        <v>22.683148787439219</v>
      </c>
      <c r="F14" s="342">
        <f t="shared" si="2"/>
        <v>46.452845478706671</v>
      </c>
      <c r="G14" s="342">
        <f t="shared" si="3"/>
        <v>2.2235488784030475E-3</v>
      </c>
      <c r="I14" s="346">
        <v>2</v>
      </c>
      <c r="J14" s="346">
        <v>24.5</v>
      </c>
      <c r="K14" s="346">
        <v>42</v>
      </c>
      <c r="L14" s="342">
        <f t="shared" si="4"/>
        <v>17.292217488101645</v>
      </c>
      <c r="M14" s="342">
        <f t="shared" si="5"/>
        <v>17.115692824127674</v>
      </c>
      <c r="N14" s="342">
        <f t="shared" si="6"/>
        <v>41.823475336026029</v>
      </c>
      <c r="O14" s="350">
        <f t="shared" si="7"/>
        <v>3.1160956991123548E-2</v>
      </c>
      <c r="Q14" s="338">
        <v>1</v>
      </c>
      <c r="R14" s="338">
        <v>28</v>
      </c>
      <c r="S14" s="338">
        <v>47.5</v>
      </c>
      <c r="T14" s="338">
        <f t="shared" si="8"/>
        <v>22.298644242844848</v>
      </c>
      <c r="U14" s="338">
        <f t="shared" si="9"/>
        <v>22.639169319774787</v>
      </c>
      <c r="V14" s="342">
        <f t="shared" si="10"/>
        <v>47.840525076929936</v>
      </c>
      <c r="W14" s="338">
        <f t="shared" si="11"/>
        <v>0.11595732801813864</v>
      </c>
      <c r="Y14" s="338">
        <v>1</v>
      </c>
      <c r="Z14" s="338">
        <v>27.4</v>
      </c>
      <c r="AA14" s="338">
        <v>43.5</v>
      </c>
      <c r="AB14" s="338">
        <f t="shared" si="12"/>
        <v>17.080539054345131</v>
      </c>
      <c r="AC14" s="338">
        <f t="shared" si="13"/>
        <v>16.506079164477857</v>
      </c>
      <c r="AD14" s="342">
        <f t="shared" si="14"/>
        <v>42.925540110132722</v>
      </c>
      <c r="AE14" s="338">
        <f t="shared" si="15"/>
        <v>0.33000416506632479</v>
      </c>
    </row>
    <row r="15" spans="1:33" ht="15">
      <c r="A15" s="346">
        <v>3</v>
      </c>
      <c r="B15" s="346">
        <v>24</v>
      </c>
      <c r="C15" s="346">
        <v>45</v>
      </c>
      <c r="D15" s="342">
        <f t="shared" si="0"/>
        <v>21.230303308732552</v>
      </c>
      <c r="E15" s="342">
        <f t="shared" si="1"/>
        <v>21.093728701201012</v>
      </c>
      <c r="F15" s="342">
        <f t="shared" si="2"/>
        <v>44.863425392468464</v>
      </c>
      <c r="G15" s="342">
        <f t="shared" si="3"/>
        <v>1.8652623422393013E-2</v>
      </c>
      <c r="I15" s="346">
        <v>3</v>
      </c>
      <c r="J15" s="346">
        <v>25</v>
      </c>
      <c r="K15" s="346">
        <v>40.5</v>
      </c>
      <c r="L15" s="342">
        <f t="shared" si="4"/>
        <v>15.792217488101643</v>
      </c>
      <c r="M15" s="342">
        <f t="shared" si="5"/>
        <v>15.916387285929385</v>
      </c>
      <c r="N15" s="342">
        <f t="shared" si="6"/>
        <v>40.62416979782774</v>
      </c>
      <c r="O15" s="350">
        <f t="shared" si="7"/>
        <v>1.5418138692581842E-2</v>
      </c>
      <c r="Q15" s="338">
        <v>1.5</v>
      </c>
      <c r="R15" s="338">
        <v>27.5</v>
      </c>
      <c r="S15" s="338">
        <v>46.5</v>
      </c>
      <c r="T15" s="338">
        <f t="shared" si="8"/>
        <v>21.298644242844848</v>
      </c>
      <c r="U15" s="338">
        <f t="shared" si="9"/>
        <v>21.631008214432804</v>
      </c>
      <c r="V15" s="342">
        <f t="shared" si="10"/>
        <v>46.832363971587952</v>
      </c>
      <c r="W15" s="338">
        <f t="shared" si="11"/>
        <v>0.11046580960971715</v>
      </c>
      <c r="Y15" s="338">
        <v>1.5</v>
      </c>
      <c r="Z15" s="338">
        <v>26.8</v>
      </c>
      <c r="AA15" s="338">
        <v>43</v>
      </c>
      <c r="AB15" s="338">
        <f t="shared" si="12"/>
        <v>16.580539054345131</v>
      </c>
      <c r="AC15" s="338">
        <f t="shared" si="13"/>
        <v>15.771035100790108</v>
      </c>
      <c r="AD15" s="342">
        <f t="shared" si="14"/>
        <v>42.190496046444977</v>
      </c>
      <c r="AE15" s="338">
        <f t="shared" si="15"/>
        <v>0.65529665082121247</v>
      </c>
    </row>
    <row r="16" spans="1:33" ht="15">
      <c r="A16" s="346">
        <v>4</v>
      </c>
      <c r="B16" s="346">
        <v>23.6</v>
      </c>
      <c r="C16" s="346">
        <v>43.5</v>
      </c>
      <c r="D16" s="342">
        <f t="shared" si="0"/>
        <v>19.730303308732552</v>
      </c>
      <c r="E16" s="342">
        <f t="shared" si="1"/>
        <v>19.615680110790422</v>
      </c>
      <c r="F16" s="342">
        <f t="shared" si="2"/>
        <v>43.38537680205787</v>
      </c>
      <c r="G16" s="342">
        <f t="shared" si="3"/>
        <v>1.3138477506480752E-2</v>
      </c>
      <c r="I16" s="346">
        <v>4</v>
      </c>
      <c r="J16" s="346">
        <v>24.6</v>
      </c>
      <c r="K16" s="346">
        <v>39.5</v>
      </c>
      <c r="L16" s="342">
        <f t="shared" si="4"/>
        <v>14.792217488101643</v>
      </c>
      <c r="M16" s="342">
        <f t="shared" si="5"/>
        <v>14.80111771336408</v>
      </c>
      <c r="N16" s="342">
        <f t="shared" si="6"/>
        <v>39.508900225262437</v>
      </c>
      <c r="O16" s="350">
        <f t="shared" si="7"/>
        <v>7.9214009722118812E-5</v>
      </c>
      <c r="Q16" s="338">
        <v>2</v>
      </c>
      <c r="R16" s="338">
        <v>27.5</v>
      </c>
      <c r="S16" s="338">
        <v>45.5</v>
      </c>
      <c r="T16" s="338">
        <f t="shared" si="8"/>
        <v>20.298644242844848</v>
      </c>
      <c r="U16" s="338">
        <f t="shared" si="9"/>
        <v>20.667742255196586</v>
      </c>
      <c r="V16" s="342">
        <f t="shared" si="10"/>
        <v>45.869098012351742</v>
      </c>
      <c r="W16" s="338">
        <f t="shared" si="11"/>
        <v>0.13623334272200668</v>
      </c>
      <c r="Y16" s="338">
        <v>2</v>
      </c>
      <c r="Z16" s="338">
        <v>26.4</v>
      </c>
      <c r="AA16" s="338">
        <v>42</v>
      </c>
      <c r="AB16" s="338">
        <f t="shared" si="12"/>
        <v>15.580539054345133</v>
      </c>
      <c r="AC16" s="338">
        <f t="shared" si="13"/>
        <v>15.068723812110816</v>
      </c>
      <c r="AD16" s="342">
        <f t="shared" si="14"/>
        <v>41.48818475776568</v>
      </c>
      <c r="AE16" s="338">
        <f t="shared" si="15"/>
        <v>0.26195484218337572</v>
      </c>
    </row>
    <row r="17" spans="1:31" ht="15">
      <c r="A17" s="346">
        <v>5</v>
      </c>
      <c r="B17" s="346">
        <v>24</v>
      </c>
      <c r="C17" s="346">
        <v>42</v>
      </c>
      <c r="D17" s="342">
        <f t="shared" si="0"/>
        <v>18.230303308732552</v>
      </c>
      <c r="E17" s="342">
        <f t="shared" si="1"/>
        <v>18.2411991573093</v>
      </c>
      <c r="F17" s="342">
        <f t="shared" si="2"/>
        <v>42.010895848576745</v>
      </c>
      <c r="G17" s="342">
        <f t="shared" si="3"/>
        <v>1.1871951620734573E-4</v>
      </c>
      <c r="I17" s="346">
        <v>5</v>
      </c>
      <c r="J17" s="346">
        <v>24.8</v>
      </c>
      <c r="K17" s="346">
        <v>38.5</v>
      </c>
      <c r="L17" s="342">
        <f t="shared" si="4"/>
        <v>13.792217488101643</v>
      </c>
      <c r="M17" s="342">
        <f t="shared" si="5"/>
        <v>13.763995662415667</v>
      </c>
      <c r="N17" s="342">
        <f t="shared" si="6"/>
        <v>38.471778174314025</v>
      </c>
      <c r="O17" s="350">
        <f t="shared" si="7"/>
        <v>7.9647144504955698E-4</v>
      </c>
      <c r="Q17" s="338">
        <v>2.5</v>
      </c>
      <c r="R17" s="338">
        <v>27</v>
      </c>
      <c r="S17" s="338">
        <v>44.5</v>
      </c>
      <c r="T17" s="338">
        <f t="shared" si="8"/>
        <v>19.298644242844848</v>
      </c>
      <c r="U17" s="338">
        <f t="shared" si="9"/>
        <v>19.747372184077321</v>
      </c>
      <c r="V17" s="342">
        <f t="shared" si="10"/>
        <v>44.948727941232477</v>
      </c>
      <c r="W17" s="338">
        <f t="shared" si="11"/>
        <v>0.20135676524273707</v>
      </c>
      <c r="Y17" s="338">
        <v>2.5</v>
      </c>
      <c r="Z17" s="338">
        <v>26.4</v>
      </c>
      <c r="AA17" s="338">
        <v>41.5</v>
      </c>
      <c r="AB17" s="338">
        <f t="shared" si="12"/>
        <v>15.080539054345133</v>
      </c>
      <c r="AC17" s="338">
        <f t="shared" si="13"/>
        <v>14.397687651731863</v>
      </c>
      <c r="AD17" s="342">
        <f t="shared" si="14"/>
        <v>40.817148597386726</v>
      </c>
      <c r="AE17" s="338">
        <f t="shared" si="15"/>
        <v>0.46628603805091523</v>
      </c>
    </row>
    <row r="18" spans="1:31" ht="15">
      <c r="A18" s="346">
        <v>6</v>
      </c>
      <c r="B18" s="346">
        <v>24.4</v>
      </c>
      <c r="C18" s="346">
        <v>41</v>
      </c>
      <c r="D18" s="342">
        <f t="shared" si="0"/>
        <v>17.230303308732552</v>
      </c>
      <c r="E18" s="342">
        <f t="shared" si="1"/>
        <v>16.963028802329589</v>
      </c>
      <c r="F18" s="342">
        <f t="shared" si="2"/>
        <v>40.732725493597037</v>
      </c>
      <c r="G18" s="342">
        <f t="shared" si="3"/>
        <v>7.1435661772947343E-2</v>
      </c>
      <c r="I18" s="346">
        <v>6</v>
      </c>
      <c r="J18" s="346">
        <v>23.8</v>
      </c>
      <c r="K18" s="346">
        <v>37.5</v>
      </c>
      <c r="L18" s="342">
        <f t="shared" si="4"/>
        <v>12.792217488101643</v>
      </c>
      <c r="M18" s="342">
        <f t="shared" si="5"/>
        <v>12.799545295416651</v>
      </c>
      <c r="N18" s="342">
        <f t="shared" si="6"/>
        <v>37.507327807315008</v>
      </c>
      <c r="O18" s="350">
        <f t="shared" si="7"/>
        <v>5.3696760045882075E-5</v>
      </c>
      <c r="Q18" s="338">
        <v>3</v>
      </c>
      <c r="R18" s="338">
        <v>27</v>
      </c>
      <c r="S18" s="338">
        <v>43.5</v>
      </c>
      <c r="T18" s="338">
        <f t="shared" si="8"/>
        <v>18.298644242844848</v>
      </c>
      <c r="U18" s="338">
        <f t="shared" si="9"/>
        <v>18.8679877734793</v>
      </c>
      <c r="V18" s="342">
        <f t="shared" si="10"/>
        <v>44.069343530634455</v>
      </c>
      <c r="W18" s="338">
        <f t="shared" si="11"/>
        <v>0.3241520558753071</v>
      </c>
      <c r="Y18" s="338">
        <v>3</v>
      </c>
      <c r="Z18" s="338">
        <v>25.8</v>
      </c>
      <c r="AA18" s="338">
        <v>40.5</v>
      </c>
      <c r="AB18" s="338">
        <f t="shared" si="12"/>
        <v>14.080539054345133</v>
      </c>
      <c r="AC18" s="338">
        <f t="shared" si="13"/>
        <v>13.756533884457374</v>
      </c>
      <c r="AD18" s="342">
        <f t="shared" si="14"/>
        <v>40.175994830112238</v>
      </c>
      <c r="AE18" s="338">
        <f t="shared" si="15"/>
        <v>0.10497935011399763</v>
      </c>
    </row>
    <row r="19" spans="1:31" ht="15">
      <c r="A19" s="346">
        <v>7</v>
      </c>
      <c r="B19" s="346">
        <v>24.6</v>
      </c>
      <c r="C19" s="346">
        <v>39.5</v>
      </c>
      <c r="D19" s="342">
        <f t="shared" si="0"/>
        <v>15.73030330873255</v>
      </c>
      <c r="E19" s="342">
        <f t="shared" si="1"/>
        <v>15.774420511897276</v>
      </c>
      <c r="F19" s="342">
        <f t="shared" si="2"/>
        <v>39.544117203164724</v>
      </c>
      <c r="G19" s="342">
        <f t="shared" si="3"/>
        <v>1.9463276150775437E-3</v>
      </c>
      <c r="I19" s="346">
        <v>7</v>
      </c>
      <c r="J19" s="346">
        <v>23.6</v>
      </c>
      <c r="K19" s="346">
        <v>36.5</v>
      </c>
      <c r="L19" s="342">
        <f t="shared" si="4"/>
        <v>11.792217488101643</v>
      </c>
      <c r="M19" s="342">
        <f t="shared" si="5"/>
        <v>11.902674469505728</v>
      </c>
      <c r="N19" s="342">
        <f t="shared" si="6"/>
        <v>36.610456981404084</v>
      </c>
      <c r="O19" s="350">
        <f t="shared" si="7"/>
        <v>1.2200744740902231E-2</v>
      </c>
      <c r="Q19" s="338">
        <v>3.5</v>
      </c>
      <c r="R19" s="338">
        <v>26.5</v>
      </c>
      <c r="S19" s="338">
        <v>42.5</v>
      </c>
      <c r="T19" s="338">
        <f t="shared" si="8"/>
        <v>17.298644242844848</v>
      </c>
      <c r="U19" s="338">
        <f t="shared" si="9"/>
        <v>18.027763861523546</v>
      </c>
      <c r="V19" s="342">
        <f t="shared" si="10"/>
        <v>43.229119618678695</v>
      </c>
      <c r="W19" s="338">
        <f t="shared" si="11"/>
        <v>0.5316154183421653</v>
      </c>
      <c r="Y19" s="338">
        <v>3.5</v>
      </c>
      <c r="Z19" s="338">
        <v>26</v>
      </c>
      <c r="AA19" s="338">
        <v>40</v>
      </c>
      <c r="AB19" s="338">
        <f t="shared" si="12"/>
        <v>13.580539054345133</v>
      </c>
      <c r="AC19" s="338">
        <f t="shared" si="13"/>
        <v>13.14393179598256</v>
      </c>
      <c r="AD19" s="342">
        <f t="shared" si="14"/>
        <v>39.563392741637429</v>
      </c>
      <c r="AE19" s="338">
        <f t="shared" si="15"/>
        <v>0.1906258980548807</v>
      </c>
    </row>
    <row r="20" spans="1:31" ht="15">
      <c r="A20" s="346">
        <v>8</v>
      </c>
      <c r="B20" s="346">
        <v>25</v>
      </c>
      <c r="C20" s="346">
        <v>38.5</v>
      </c>
      <c r="D20" s="342">
        <f t="shared" si="0"/>
        <v>14.73030330873255</v>
      </c>
      <c r="E20" s="342">
        <f t="shared" si="1"/>
        <v>14.669098625358259</v>
      </c>
      <c r="F20" s="342">
        <f t="shared" si="2"/>
        <v>38.438795316625708</v>
      </c>
      <c r="G20" s="342">
        <f t="shared" si="3"/>
        <v>3.7460132669473725E-3</v>
      </c>
      <c r="I20" s="346">
        <v>8</v>
      </c>
      <c r="J20" s="346">
        <v>23.5</v>
      </c>
      <c r="K20" s="346">
        <v>36</v>
      </c>
      <c r="L20" s="342">
        <f t="shared" si="4"/>
        <v>11.292217488101643</v>
      </c>
      <c r="M20" s="342">
        <f t="shared" si="5"/>
        <v>11.068647850932246</v>
      </c>
      <c r="N20" s="342">
        <f t="shared" si="6"/>
        <v>35.776430362830602</v>
      </c>
      <c r="O20" s="350">
        <f t="shared" si="7"/>
        <v>4.9983382664056088E-2</v>
      </c>
      <c r="Q20" s="338">
        <v>4</v>
      </c>
      <c r="R20" s="338">
        <v>26.5</v>
      </c>
      <c r="S20" s="338">
        <v>42</v>
      </c>
      <c r="T20" s="338">
        <f t="shared" si="8"/>
        <v>16.798644242844848</v>
      </c>
      <c r="U20" s="338">
        <f t="shared" si="9"/>
        <v>17.224956563925286</v>
      </c>
      <c r="V20" s="342">
        <f t="shared" si="10"/>
        <v>42.426312321080438</v>
      </c>
      <c r="W20" s="338">
        <f t="shared" si="11"/>
        <v>0.18174219510499048</v>
      </c>
      <c r="Y20" s="338">
        <v>4</v>
      </c>
      <c r="Z20" s="338">
        <v>25.5</v>
      </c>
      <c r="AA20" s="338">
        <v>39.5</v>
      </c>
      <c r="AB20" s="338">
        <f t="shared" si="12"/>
        <v>13.080539054345133</v>
      </c>
      <c r="AC20" s="338">
        <f t="shared" si="13"/>
        <v>12.55860993099687</v>
      </c>
      <c r="AD20" s="342">
        <f t="shared" si="14"/>
        <v>38.978070876651735</v>
      </c>
      <c r="AE20" s="338">
        <f t="shared" si="15"/>
        <v>0.27241000979908847</v>
      </c>
    </row>
    <row r="21" spans="1:31" ht="15">
      <c r="A21" s="346">
        <v>9</v>
      </c>
      <c r="B21" s="346">
        <v>25.4</v>
      </c>
      <c r="C21" s="346">
        <v>37.5</v>
      </c>
      <c r="D21" s="342">
        <f t="shared" si="0"/>
        <v>13.73030330873255</v>
      </c>
      <c r="E21" s="342">
        <f t="shared" si="1"/>
        <v>13.641227220879154</v>
      </c>
      <c r="F21" s="342">
        <f t="shared" si="2"/>
        <v>37.4109239121466</v>
      </c>
      <c r="G21" s="342">
        <f t="shared" si="3"/>
        <v>7.9345494272665632E-3</v>
      </c>
      <c r="I21" s="346">
        <v>9</v>
      </c>
      <c r="J21" s="346">
        <v>23</v>
      </c>
      <c r="K21" s="346">
        <v>35</v>
      </c>
      <c r="L21" s="342">
        <f t="shared" si="4"/>
        <v>10.292217488101643</v>
      </c>
      <c r="M21" s="342">
        <f t="shared" si="5"/>
        <v>10.293061913255418</v>
      </c>
      <c r="N21" s="342">
        <f t="shared" si="6"/>
        <v>35.000844425153772</v>
      </c>
      <c r="O21" s="350">
        <f t="shared" si="7"/>
        <v>7.1305384032367093E-7</v>
      </c>
      <c r="Q21" s="338">
        <v>4.5</v>
      </c>
      <c r="R21" s="338">
        <v>26</v>
      </c>
      <c r="S21" s="338">
        <v>41</v>
      </c>
      <c r="T21" s="338">
        <f t="shared" si="8"/>
        <v>15.798644242844846</v>
      </c>
      <c r="U21" s="338">
        <f t="shared" si="9"/>
        <v>16.457899654563061</v>
      </c>
      <c r="V21" s="342">
        <f t="shared" si="10"/>
        <v>41.659255411718213</v>
      </c>
      <c r="W21" s="338">
        <f t="shared" si="11"/>
        <v>0.43461769787975085</v>
      </c>
      <c r="Y21" s="338">
        <v>4.5</v>
      </c>
      <c r="Z21" s="338">
        <v>25.8</v>
      </c>
      <c r="AA21" s="338">
        <v>39</v>
      </c>
      <c r="AB21" s="338">
        <f t="shared" si="12"/>
        <v>12.580539054345133</v>
      </c>
      <c r="AC21" s="338">
        <f t="shared" si="13"/>
        <v>11.999353454279174</v>
      </c>
      <c r="AD21" s="342">
        <f t="shared" si="14"/>
        <v>38.418814399934035</v>
      </c>
      <c r="AE21" s="338">
        <f t="shared" si="15"/>
        <v>0.33777670172403529</v>
      </c>
    </row>
    <row r="22" spans="1:31" ht="15">
      <c r="A22" s="346">
        <v>10</v>
      </c>
      <c r="B22" s="346">
        <v>25</v>
      </c>
      <c r="C22" s="346">
        <v>36.5</v>
      </c>
      <c r="D22" s="342">
        <f t="shared" si="0"/>
        <v>12.73030330873255</v>
      </c>
      <c r="E22" s="342">
        <f t="shared" si="1"/>
        <v>12.685379302718388</v>
      </c>
      <c r="F22" s="342">
        <f t="shared" si="2"/>
        <v>36.455075993985837</v>
      </c>
      <c r="G22" s="342">
        <f t="shared" si="3"/>
        <v>2.0181663163605854E-3</v>
      </c>
      <c r="I22" s="346">
        <v>10</v>
      </c>
      <c r="J22" s="346">
        <v>23.6</v>
      </c>
      <c r="K22" s="346">
        <v>34.5</v>
      </c>
      <c r="L22" s="342">
        <f t="shared" si="4"/>
        <v>9.7922174881016435</v>
      </c>
      <c r="M22" s="342">
        <f t="shared" si="5"/>
        <v>9.5718216874327595</v>
      </c>
      <c r="N22" s="342">
        <f t="shared" si="6"/>
        <v>34.279604199331118</v>
      </c>
      <c r="O22" s="350">
        <f t="shared" si="7"/>
        <v>4.8574308952477656E-2</v>
      </c>
      <c r="Q22" s="338">
        <v>5</v>
      </c>
      <c r="R22" s="338">
        <v>25.5</v>
      </c>
      <c r="S22" s="338">
        <v>40.5</v>
      </c>
      <c r="T22" s="338">
        <f t="shared" si="8"/>
        <v>15.298644242844846</v>
      </c>
      <c r="U22" s="338">
        <f t="shared" si="9"/>
        <v>15.72500110722728</v>
      </c>
      <c r="V22" s="342">
        <f t="shared" si="10"/>
        <v>40.926356864382434</v>
      </c>
      <c r="W22" s="338">
        <f t="shared" si="11"/>
        <v>0.18178017580602143</v>
      </c>
      <c r="Y22" s="338">
        <v>5</v>
      </c>
      <c r="Z22" s="338">
        <v>26.6</v>
      </c>
      <c r="AA22" s="338">
        <v>38</v>
      </c>
      <c r="AB22" s="338">
        <f t="shared" si="12"/>
        <v>11.580539054345133</v>
      </c>
      <c r="AC22" s="338">
        <f t="shared" si="13"/>
        <v>11.465001629307904</v>
      </c>
      <c r="AD22" s="342">
        <f t="shared" si="14"/>
        <v>37.884462574962768</v>
      </c>
      <c r="AE22" s="338">
        <f t="shared" si="15"/>
        <v>1.3348896584233971E-2</v>
      </c>
    </row>
    <row r="23" spans="1:31" ht="15">
      <c r="A23" s="346">
        <v>11</v>
      </c>
      <c r="B23" s="346">
        <v>24.5</v>
      </c>
      <c r="C23" s="346">
        <v>36</v>
      </c>
      <c r="D23" s="342">
        <f t="shared" si="0"/>
        <v>12.23030330873255</v>
      </c>
      <c r="E23" s="342">
        <f t="shared" si="1"/>
        <v>11.796508147561307</v>
      </c>
      <c r="F23" s="342">
        <f t="shared" si="2"/>
        <v>35.566204838828753</v>
      </c>
      <c r="G23" s="342">
        <f t="shared" si="3"/>
        <v>0.18817824185558812</v>
      </c>
      <c r="I23" s="346">
        <v>11</v>
      </c>
      <c r="J23" s="346">
        <v>23.2</v>
      </c>
      <c r="K23" s="346">
        <v>33.5</v>
      </c>
      <c r="L23" s="342">
        <f t="shared" si="4"/>
        <v>8.7922174881016435</v>
      </c>
      <c r="M23" s="342">
        <f t="shared" si="5"/>
        <v>8.9011191410419936</v>
      </c>
      <c r="N23" s="342">
        <f t="shared" si="6"/>
        <v>33.608901652940347</v>
      </c>
      <c r="O23" s="350">
        <f t="shared" si="7"/>
        <v>1.1859570013139699E-2</v>
      </c>
      <c r="Q23" s="338">
        <v>5.5</v>
      </c>
      <c r="R23" s="338">
        <v>25</v>
      </c>
      <c r="S23" s="338">
        <v>39.5</v>
      </c>
      <c r="T23" s="338">
        <f t="shared" si="8"/>
        <v>14.298644242844846</v>
      </c>
      <c r="U23" s="338">
        <f t="shared" si="9"/>
        <v>15.024739791370667</v>
      </c>
      <c r="V23" s="342">
        <f t="shared" si="10"/>
        <v>40.226095548525819</v>
      </c>
      <c r="W23" s="338">
        <f t="shared" si="11"/>
        <v>0.52721474558901049</v>
      </c>
      <c r="Y23" s="338">
        <v>5.5</v>
      </c>
      <c r="Z23" s="338">
        <v>25.8</v>
      </c>
      <c r="AA23" s="338">
        <v>37.5</v>
      </c>
      <c r="AB23" s="338">
        <f t="shared" si="12"/>
        <v>11.080539054345133</v>
      </c>
      <c r="AC23" s="338">
        <f t="shared" si="13"/>
        <v>10.954445409153017</v>
      </c>
      <c r="AD23" s="342">
        <f t="shared" si="14"/>
        <v>37.373906354807886</v>
      </c>
      <c r="AE23" s="338">
        <f t="shared" si="15"/>
        <v>1.5899607357834727E-2</v>
      </c>
    </row>
    <row r="24" spans="1:31" ht="15">
      <c r="A24" s="346">
        <v>12</v>
      </c>
      <c r="B24" s="346">
        <v>24</v>
      </c>
      <c r="C24" s="346">
        <v>35</v>
      </c>
      <c r="D24" s="342">
        <f t="shared" si="0"/>
        <v>11.23030330873255</v>
      </c>
      <c r="E24" s="342">
        <f t="shared" si="1"/>
        <v>10.969920658632557</v>
      </c>
      <c r="F24" s="342">
        <f t="shared" si="2"/>
        <v>34.739617349900008</v>
      </c>
      <c r="G24" s="342">
        <f t="shared" si="3"/>
        <v>6.7799124473094607E-2</v>
      </c>
      <c r="I24" s="346">
        <v>12</v>
      </c>
      <c r="J24" s="346">
        <v>23.6</v>
      </c>
      <c r="K24" s="346">
        <v>33</v>
      </c>
      <c r="L24" s="342">
        <f t="shared" si="4"/>
        <v>8.2922174881016435</v>
      </c>
      <c r="M24" s="342">
        <f t="shared" si="5"/>
        <v>8.2774130724821582</v>
      </c>
      <c r="N24" s="342">
        <f t="shared" si="6"/>
        <v>32.985195584380513</v>
      </c>
      <c r="O24" s="350">
        <f t="shared" si="7"/>
        <v>2.1917072183451325E-4</v>
      </c>
      <c r="Q24" s="338">
        <v>6</v>
      </c>
      <c r="R24" s="338">
        <v>25</v>
      </c>
      <c r="S24" s="338">
        <v>39</v>
      </c>
      <c r="T24" s="338">
        <f t="shared" si="8"/>
        <v>13.798644242844846</v>
      </c>
      <c r="U24" s="338">
        <f t="shared" si="9"/>
        <v>14.355662315002617</v>
      </c>
      <c r="V24" s="342">
        <f t="shared" si="10"/>
        <v>39.557018072157767</v>
      </c>
      <c r="W24" s="338">
        <f t="shared" si="11"/>
        <v>0.31026913271035544</v>
      </c>
      <c r="Y24" s="338">
        <v>6</v>
      </c>
      <c r="Z24" s="338">
        <v>25.4</v>
      </c>
      <c r="AA24" s="338">
        <v>37</v>
      </c>
      <c r="AB24" s="338">
        <f t="shared" si="12"/>
        <v>10.580539054345133</v>
      </c>
      <c r="AC24" s="338">
        <f t="shared" si="13"/>
        <v>10.466625134649679</v>
      </c>
      <c r="AD24" s="342">
        <f t="shared" si="14"/>
        <v>36.886086080304544</v>
      </c>
      <c r="AE24" s="338">
        <f t="shared" si="15"/>
        <v>1.2976381100382786E-2</v>
      </c>
    </row>
    <row r="25" spans="1:31" ht="15">
      <c r="A25" s="346">
        <v>13</v>
      </c>
      <c r="B25" s="346">
        <v>24</v>
      </c>
      <c r="C25" s="346">
        <v>34</v>
      </c>
      <c r="D25" s="342">
        <f t="shared" si="0"/>
        <v>10.23030330873255</v>
      </c>
      <c r="E25" s="342">
        <f t="shared" si="1"/>
        <v>10.201252586899717</v>
      </c>
      <c r="F25" s="342">
        <f t="shared" si="2"/>
        <v>33.970949278167161</v>
      </c>
      <c r="G25" s="342">
        <f t="shared" si="3"/>
        <v>8.4394443900896721E-4</v>
      </c>
      <c r="I25" s="346">
        <v>13</v>
      </c>
      <c r="J25" s="346">
        <v>23.8</v>
      </c>
      <c r="K25" s="346">
        <v>32.5</v>
      </c>
      <c r="L25" s="342">
        <f t="shared" si="4"/>
        <v>7.7922174881016435</v>
      </c>
      <c r="M25" s="342">
        <f t="shared" si="5"/>
        <v>7.6974104139985551</v>
      </c>
      <c r="N25" s="342">
        <f t="shared" si="6"/>
        <v>32.405192925896912</v>
      </c>
      <c r="O25" s="350">
        <f t="shared" si="7"/>
        <v>8.9883812999883295E-3</v>
      </c>
      <c r="Q25" s="338">
        <v>6.5</v>
      </c>
      <c r="R25" s="338">
        <v>24.5</v>
      </c>
      <c r="S25" s="338">
        <v>38.5</v>
      </c>
      <c r="T25" s="338">
        <f t="shared" si="8"/>
        <v>13.298644242844846</v>
      </c>
      <c r="U25" s="338">
        <f t="shared" si="9"/>
        <v>13.716380008174882</v>
      </c>
      <c r="V25" s="342">
        <f t="shared" si="10"/>
        <v>38.917735765330036</v>
      </c>
      <c r="W25" s="338">
        <f t="shared" si="11"/>
        <v>0.17450316963587106</v>
      </c>
      <c r="Y25" s="338">
        <v>6.5</v>
      </c>
      <c r="Z25" s="338">
        <v>25.6</v>
      </c>
      <c r="AA25" s="338">
        <v>36.5</v>
      </c>
      <c r="AB25" s="338">
        <f t="shared" si="12"/>
        <v>10.080539054345133</v>
      </c>
      <c r="AC25" s="338">
        <f t="shared" si="13"/>
        <v>10.000528335076224</v>
      </c>
      <c r="AD25" s="342">
        <f t="shared" si="14"/>
        <v>36.419989280731087</v>
      </c>
      <c r="AE25" s="338">
        <f t="shared" si="15"/>
        <v>6.4017151979287364E-3</v>
      </c>
    </row>
    <row r="26" spans="1:31" ht="15">
      <c r="A26" s="346">
        <v>14</v>
      </c>
      <c r="B26" s="346">
        <v>24.4</v>
      </c>
      <c r="C26" s="346">
        <v>33.5</v>
      </c>
      <c r="D26" s="342">
        <f t="shared" si="0"/>
        <v>9.7303033087325499</v>
      </c>
      <c r="E26" s="342">
        <f t="shared" si="1"/>
        <v>9.486445488540145</v>
      </c>
      <c r="F26" s="342">
        <f t="shared" si="2"/>
        <v>33.25614217980759</v>
      </c>
      <c r="G26" s="342">
        <f t="shared" si="3"/>
        <v>5.9466636468993868E-2</v>
      </c>
      <c r="I26" s="346">
        <v>14</v>
      </c>
      <c r="J26" s="346">
        <v>24.4</v>
      </c>
      <c r="K26" s="346">
        <v>32</v>
      </c>
      <c r="L26" s="342">
        <f t="shared" si="4"/>
        <v>7.2922174881016435</v>
      </c>
      <c r="M26" s="342">
        <f t="shared" si="5"/>
        <v>7.1580488448145072</v>
      </c>
      <c r="N26" s="342">
        <f t="shared" si="6"/>
        <v>31.86583135671286</v>
      </c>
      <c r="O26" s="350">
        <f t="shared" si="7"/>
        <v>1.8001224841511777E-2</v>
      </c>
      <c r="Q26" s="338">
        <v>7</v>
      </c>
      <c r="R26" s="338">
        <v>24.5</v>
      </c>
      <c r="S26" s="338">
        <v>38</v>
      </c>
      <c r="T26" s="338">
        <f t="shared" si="8"/>
        <v>12.798644242844846</v>
      </c>
      <c r="U26" s="338">
        <f t="shared" si="9"/>
        <v>13.105566040797841</v>
      </c>
      <c r="V26" s="342">
        <f t="shared" si="10"/>
        <v>38.306921797952995</v>
      </c>
      <c r="W26" s="338">
        <f t="shared" si="11"/>
        <v>9.4200990058699224E-2</v>
      </c>
      <c r="Y26" s="338">
        <v>7</v>
      </c>
      <c r="Z26" s="338">
        <v>25.6</v>
      </c>
      <c r="AA26" s="338">
        <v>36</v>
      </c>
      <c r="AB26" s="338">
        <f t="shared" si="12"/>
        <v>9.5805390543451328</v>
      </c>
      <c r="AC26" s="338">
        <f t="shared" si="13"/>
        <v>9.555187626771712</v>
      </c>
      <c r="AD26" s="342">
        <f t="shared" si="14"/>
        <v>35.974648572426574</v>
      </c>
      <c r="AE26" s="338">
        <f t="shared" si="15"/>
        <v>6.4269488001067031E-4</v>
      </c>
    </row>
    <row r="27" spans="1:31" ht="15">
      <c r="A27" s="346">
        <v>15</v>
      </c>
      <c r="B27" s="346">
        <v>24.4</v>
      </c>
      <c r="C27" s="346">
        <v>33</v>
      </c>
      <c r="D27" s="342">
        <f t="shared" si="0"/>
        <v>9.2303033087325499</v>
      </c>
      <c r="E27" s="342">
        <f t="shared" si="1"/>
        <v>8.8217252970101701</v>
      </c>
      <c r="F27" s="342">
        <f t="shared" si="2"/>
        <v>32.591421988277617</v>
      </c>
      <c r="G27" s="342">
        <f t="shared" si="3"/>
        <v>0.16693599166301606</v>
      </c>
      <c r="I27" s="346">
        <v>15</v>
      </c>
      <c r="J27" s="346">
        <v>24.4</v>
      </c>
      <c r="K27" s="346">
        <v>31.5</v>
      </c>
      <c r="L27" s="342">
        <f t="shared" si="4"/>
        <v>6.7922174881016435</v>
      </c>
      <c r="M27" s="342">
        <f t="shared" si="5"/>
        <v>6.6564806225700526</v>
      </c>
      <c r="N27" s="342">
        <f t="shared" si="6"/>
        <v>31.364263134468409</v>
      </c>
      <c r="O27" s="350">
        <f t="shared" si="7"/>
        <v>1.8424496664341195E-2</v>
      </c>
      <c r="Q27" s="338">
        <v>7.5</v>
      </c>
      <c r="R27" s="338">
        <v>25</v>
      </c>
      <c r="S27" s="338">
        <v>37.5</v>
      </c>
      <c r="T27" s="338">
        <f t="shared" si="8"/>
        <v>12.298644242844846</v>
      </c>
      <c r="U27" s="338">
        <f t="shared" si="9"/>
        <v>12.521952668805334</v>
      </c>
      <c r="V27" s="342">
        <f t="shared" si="10"/>
        <v>37.723308425960482</v>
      </c>
      <c r="W27" s="338">
        <f t="shared" si="11"/>
        <v>4.98666531049482E-2</v>
      </c>
      <c r="Y27" s="338">
        <v>7.5</v>
      </c>
      <c r="Z27" s="338">
        <v>25.6</v>
      </c>
      <c r="AA27" s="338">
        <v>36</v>
      </c>
      <c r="AB27" s="338">
        <f t="shared" si="12"/>
        <v>9.5805390543451328</v>
      </c>
      <c r="AC27" s="338">
        <f t="shared" si="13"/>
        <v>9.1296787053316564</v>
      </c>
      <c r="AD27" s="342">
        <f t="shared" si="14"/>
        <v>35.549139650986518</v>
      </c>
      <c r="AE27" s="338">
        <f>(AD27-AA27)^2</f>
        <v>0.20327505431255855</v>
      </c>
    </row>
    <row r="28" spans="1:31" ht="15">
      <c r="A28" s="346">
        <v>16</v>
      </c>
      <c r="B28" s="346">
        <v>25</v>
      </c>
      <c r="C28" s="346">
        <v>32</v>
      </c>
      <c r="D28" s="342">
        <f t="shared" si="0"/>
        <v>8.2303033087325499</v>
      </c>
      <c r="E28" s="342">
        <f t="shared" si="1"/>
        <v>8.2035823965805772</v>
      </c>
      <c r="F28" s="342">
        <f t="shared" si="2"/>
        <v>31.973279087848027</v>
      </c>
      <c r="G28" s="342">
        <f t="shared" si="3"/>
        <v>7.1400714623344214E-4</v>
      </c>
      <c r="I28" s="346">
        <v>16</v>
      </c>
      <c r="J28" s="346">
        <v>24.2</v>
      </c>
      <c r="K28" s="346">
        <v>31</v>
      </c>
      <c r="L28" s="342">
        <f t="shared" si="4"/>
        <v>6.2922174881016435</v>
      </c>
      <c r="M28" s="342">
        <f t="shared" si="5"/>
        <v>6.190057547700178</v>
      </c>
      <c r="N28" s="342">
        <f t="shared" si="6"/>
        <v>30.897840059598533</v>
      </c>
      <c r="O28" s="350">
        <f t="shared" si="7"/>
        <v>1.0436653422831342E-2</v>
      </c>
      <c r="Q28" s="338">
        <v>8</v>
      </c>
      <c r="R28" s="338">
        <v>24.5</v>
      </c>
      <c r="S28" s="338">
        <v>37</v>
      </c>
      <c r="T28" s="338">
        <f t="shared" si="8"/>
        <v>11.798644242844846</v>
      </c>
      <c r="U28" s="338">
        <f t="shared" si="9"/>
        <v>11.964328602952536</v>
      </c>
      <c r="V28" s="342">
        <f t="shared" si="10"/>
        <v>37.16568436010769</v>
      </c>
      <c r="W28" s="338">
        <f t="shared" si="11"/>
        <v>2.7451307184294716E-2</v>
      </c>
      <c r="Y28" s="338">
        <v>8</v>
      </c>
      <c r="Z28" s="338">
        <v>25</v>
      </c>
      <c r="AA28" s="338">
        <v>35.5</v>
      </c>
      <c r="AB28" s="338">
        <f t="shared" si="12"/>
        <v>9.0805390543451328</v>
      </c>
      <c r="AC28" s="338">
        <f t="shared" si="13"/>
        <v>8.7231184272147075</v>
      </c>
      <c r="AD28" s="342">
        <f t="shared" si="14"/>
        <v>35.142579372869577</v>
      </c>
      <c r="AE28" s="338">
        <f t="shared" si="15"/>
        <v>0.12774950469830518</v>
      </c>
    </row>
    <row r="29" spans="1:31" ht="15">
      <c r="A29" s="346">
        <v>17</v>
      </c>
      <c r="B29" s="346">
        <v>24.6</v>
      </c>
      <c r="C29" s="346">
        <v>31.5</v>
      </c>
      <c r="D29" s="342">
        <f t="shared" si="0"/>
        <v>7.7303033087325508</v>
      </c>
      <c r="E29" s="342">
        <f t="shared" si="1"/>
        <v>7.6287530921298803</v>
      </c>
      <c r="F29" s="342">
        <f t="shared" si="2"/>
        <v>31.398449783397329</v>
      </c>
      <c r="G29" s="342">
        <f t="shared" si="3"/>
        <v>1.0312446492049475E-2</v>
      </c>
      <c r="I29" s="346">
        <v>17</v>
      </c>
      <c r="J29" s="346">
        <v>23.6</v>
      </c>
      <c r="K29" s="346">
        <v>30.5</v>
      </c>
      <c r="L29" s="342">
        <f t="shared" si="4"/>
        <v>5.7922174881016435</v>
      </c>
      <c r="M29" s="342">
        <f t="shared" si="5"/>
        <v>5.7563169813669361</v>
      </c>
      <c r="N29" s="342">
        <f t="shared" si="6"/>
        <v>30.464099493265291</v>
      </c>
      <c r="O29" s="350">
        <f t="shared" si="7"/>
        <v>1.2888463838088952E-3</v>
      </c>
      <c r="Q29" s="338">
        <v>8.5</v>
      </c>
      <c r="R29" s="338">
        <v>24</v>
      </c>
      <c r="S29" s="338">
        <v>36</v>
      </c>
      <c r="T29" s="338">
        <f t="shared" si="8"/>
        <v>10.798644242844846</v>
      </c>
      <c r="U29" s="338">
        <f t="shared" si="9"/>
        <v>11.431536494785762</v>
      </c>
      <c r="V29" s="342">
        <f t="shared" si="10"/>
        <v>36.632892251940916</v>
      </c>
      <c r="W29" s="338">
        <f t="shared" si="11"/>
        <v>0.40055260256684405</v>
      </c>
      <c r="Y29" s="338">
        <v>8.5</v>
      </c>
      <c r="Z29" s="338">
        <v>25.7</v>
      </c>
      <c r="AA29" s="338">
        <v>35</v>
      </c>
      <c r="AB29" s="338">
        <f t="shared" si="12"/>
        <v>8.5805390543451328</v>
      </c>
      <c r="AC29" s="338">
        <f t="shared" si="13"/>
        <v>8.3346629767787164</v>
      </c>
      <c r="AD29" s="342">
        <f t="shared" si="14"/>
        <v>34.754123922433578</v>
      </c>
      <c r="AE29" s="338">
        <f t="shared" si="15"/>
        <v>6.0455045519449024E-2</v>
      </c>
    </row>
    <row r="30" spans="1:31" ht="15">
      <c r="A30" s="346">
        <v>18</v>
      </c>
      <c r="B30" s="346">
        <v>24.6</v>
      </c>
      <c r="C30" s="346">
        <v>31</v>
      </c>
      <c r="D30" s="342">
        <f t="shared" si="0"/>
        <v>7.2303033087325508</v>
      </c>
      <c r="E30" s="342">
        <f t="shared" si="1"/>
        <v>7.0942023773588598</v>
      </c>
      <c r="F30" s="342">
        <f t="shared" si="2"/>
        <v>30.86389906862631</v>
      </c>
      <c r="G30" s="342">
        <f t="shared" si="3"/>
        <v>1.8523463520785891E-2</v>
      </c>
      <c r="I30" s="346">
        <v>18</v>
      </c>
      <c r="J30" s="346">
        <v>23.6</v>
      </c>
      <c r="K30" s="346">
        <v>30</v>
      </c>
      <c r="L30" s="342">
        <f t="shared" si="4"/>
        <v>5.2922174881016435</v>
      </c>
      <c r="M30" s="342">
        <f t="shared" si="5"/>
        <v>5.3529688431223441</v>
      </c>
      <c r="N30" s="342">
        <f t="shared" si="6"/>
        <v>30.060751355020699</v>
      </c>
      <c r="O30" s="350">
        <f t="shared" si="7"/>
        <v>3.6907271368509902E-3</v>
      </c>
      <c r="Q30" s="338">
        <v>9</v>
      </c>
      <c r="R30" s="338">
        <v>24</v>
      </c>
      <c r="S30" s="338">
        <v>36</v>
      </c>
      <c r="T30" s="338">
        <f t="shared" si="8"/>
        <v>10.798644242844846</v>
      </c>
      <c r="U30" s="338">
        <f t="shared" si="9"/>
        <v>10.922470534566376</v>
      </c>
      <c r="V30" s="342">
        <f t="shared" si="10"/>
        <v>36.123826291721528</v>
      </c>
      <c r="W30" s="338">
        <f t="shared" si="11"/>
        <v>1.5332950521504962E-2</v>
      </c>
      <c r="Y30" s="338">
        <v>9</v>
      </c>
      <c r="Z30" s="338">
        <v>25.3</v>
      </c>
      <c r="AA30" s="338">
        <v>34.5</v>
      </c>
      <c r="AB30" s="338">
        <f t="shared" si="12"/>
        <v>8.0805390543451328</v>
      </c>
      <c r="AC30" s="338">
        <f t="shared" si="13"/>
        <v>7.9635061149418043</v>
      </c>
      <c r="AD30" s="342">
        <f t="shared" si="14"/>
        <v>34.38296706059667</v>
      </c>
      <c r="AE30" s="338">
        <f t="shared" si="15"/>
        <v>1.3696708905383572E-2</v>
      </c>
    </row>
    <row r="31" spans="1:31" ht="15">
      <c r="A31" s="346">
        <v>19</v>
      </c>
      <c r="B31" s="346">
        <v>24</v>
      </c>
      <c r="C31" s="346">
        <v>30.5</v>
      </c>
      <c r="D31" s="342">
        <f t="shared" si="0"/>
        <v>6.7303033087325508</v>
      </c>
      <c r="E31" s="342">
        <f t="shared" si="1"/>
        <v>6.5971079104453008</v>
      </c>
      <c r="F31" s="342">
        <f t="shared" si="2"/>
        <v>30.366804601712751</v>
      </c>
      <c r="G31" s="342">
        <f t="shared" si="3"/>
        <v>1.7741014124898931E-2</v>
      </c>
      <c r="I31" s="346">
        <v>19</v>
      </c>
      <c r="J31" s="346">
        <v>23.6</v>
      </c>
      <c r="K31" s="346">
        <v>29.5</v>
      </c>
      <c r="L31" s="342">
        <f t="shared" si="4"/>
        <v>4.7922174881016435</v>
      </c>
      <c r="M31" s="342">
        <f t="shared" si="5"/>
        <v>4.9778835196518507</v>
      </c>
      <c r="N31" s="342">
        <f t="shared" si="6"/>
        <v>29.685666031550205</v>
      </c>
      <c r="O31" s="350">
        <f t="shared" si="7"/>
        <v>3.4471875271601886E-2</v>
      </c>
      <c r="Q31" s="338">
        <v>9.5</v>
      </c>
      <c r="R31" s="338">
        <v>24.5</v>
      </c>
      <c r="S31" s="338">
        <v>35.5</v>
      </c>
      <c r="T31" s="338">
        <f t="shared" si="8"/>
        <v>10.298644242844846</v>
      </c>
      <c r="U31" s="338">
        <f t="shared" si="9"/>
        <v>10.436074156163247</v>
      </c>
      <c r="V31" s="342">
        <f t="shared" si="10"/>
        <v>35.6374299133184</v>
      </c>
      <c r="W31" s="338">
        <f t="shared" si="11"/>
        <v>1.8886981074702828E-2</v>
      </c>
      <c r="Y31" s="338">
        <v>9.5</v>
      </c>
      <c r="Z31" s="338">
        <v>25.4</v>
      </c>
      <c r="AA31" s="338">
        <v>34</v>
      </c>
      <c r="AB31" s="338">
        <f t="shared" si="12"/>
        <v>7.5805390543451328</v>
      </c>
      <c r="AC31" s="338">
        <f t="shared" si="13"/>
        <v>7.6088775058335774</v>
      </c>
      <c r="AD31" s="342">
        <f t="shared" si="14"/>
        <v>34.028338451488445</v>
      </c>
      <c r="AE31" s="338">
        <f t="shared" si="15"/>
        <v>8.0306783276292825E-4</v>
      </c>
    </row>
    <row r="32" spans="1:31" ht="15">
      <c r="A32" s="346">
        <v>20</v>
      </c>
      <c r="B32" s="346">
        <v>24</v>
      </c>
      <c r="C32" s="346">
        <v>30</v>
      </c>
      <c r="D32" s="342">
        <f t="shared" si="0"/>
        <v>6.2303033087325508</v>
      </c>
      <c r="E32" s="342">
        <f t="shared" si="1"/>
        <v>6.1348451125329992</v>
      </c>
      <c r="F32" s="342">
        <f t="shared" si="2"/>
        <v>29.904541803800448</v>
      </c>
      <c r="G32" s="342">
        <f t="shared" si="3"/>
        <v>9.1122672216720751E-3</v>
      </c>
      <c r="I32" s="346">
        <v>20</v>
      </c>
      <c r="J32" s="346">
        <v>23</v>
      </c>
      <c r="K32" s="346">
        <v>29.5</v>
      </c>
      <c r="L32" s="342">
        <f t="shared" si="4"/>
        <v>4.7922174881016435</v>
      </c>
      <c r="M32" s="342">
        <f t="shared" si="5"/>
        <v>4.629080620758466</v>
      </c>
      <c r="N32" s="342">
        <f t="shared" si="6"/>
        <v>29.33686313265682</v>
      </c>
      <c r="O32" s="350">
        <f t="shared" si="7"/>
        <v>2.6613637486546347E-2</v>
      </c>
      <c r="Q32" s="338">
        <v>10</v>
      </c>
      <c r="R32" s="338">
        <v>24.5</v>
      </c>
      <c r="S32" s="338">
        <v>35</v>
      </c>
      <c r="T32" s="338">
        <f t="shared" si="8"/>
        <v>9.7986442428448459</v>
      </c>
      <c r="U32" s="338">
        <f t="shared" si="9"/>
        <v>9.971337844150316</v>
      </c>
      <c r="V32" s="342">
        <f t="shared" si="10"/>
        <v>35.172693601305468</v>
      </c>
      <c r="W32" s="338">
        <f t="shared" si="11"/>
        <v>2.9823079931852039E-2</v>
      </c>
      <c r="Y32" s="338">
        <v>10</v>
      </c>
      <c r="Z32" s="338">
        <v>25.7</v>
      </c>
      <c r="AA32" s="338">
        <v>34</v>
      </c>
      <c r="AB32" s="338">
        <f t="shared" si="12"/>
        <v>7.5805390543451328</v>
      </c>
      <c r="AC32" s="338">
        <f t="shared" si="13"/>
        <v>7.2700411179634399</v>
      </c>
      <c r="AD32" s="342">
        <f t="shared" si="14"/>
        <v>33.689502063618306</v>
      </c>
      <c r="AE32" s="338">
        <f t="shared" si="15"/>
        <v>9.6408968497290345E-2</v>
      </c>
    </row>
    <row r="33" spans="1:31" ht="15">
      <c r="A33" s="346">
        <v>21</v>
      </c>
      <c r="B33" s="346">
        <v>23.5</v>
      </c>
      <c r="C33" s="346">
        <v>29.5</v>
      </c>
      <c r="D33" s="342">
        <f t="shared" si="0"/>
        <v>5.7303033087325508</v>
      </c>
      <c r="E33" s="342">
        <f t="shared" si="1"/>
        <v>5.704973310377393</v>
      </c>
      <c r="F33" s="342">
        <f t="shared" si="2"/>
        <v>29.474670001644842</v>
      </c>
      <c r="G33" s="342">
        <f t="shared" si="3"/>
        <v>6.416088166722975E-4</v>
      </c>
      <c r="I33" s="346">
        <v>21</v>
      </c>
      <c r="J33" s="346">
        <v>23.2</v>
      </c>
      <c r="K33" s="346">
        <v>29</v>
      </c>
      <c r="L33" s="342">
        <f t="shared" si="4"/>
        <v>4.2922174881016435</v>
      </c>
      <c r="M33" s="342">
        <f t="shared" si="5"/>
        <v>4.3047185232209415</v>
      </c>
      <c r="N33" s="342">
        <f t="shared" si="6"/>
        <v>29.012501035119296</v>
      </c>
      <c r="O33" s="350">
        <f t="shared" si="7"/>
        <v>1.5627587905387778E-4</v>
      </c>
      <c r="Q33" s="338">
        <v>10.5</v>
      </c>
      <c r="R33" s="338">
        <v>25</v>
      </c>
      <c r="S33" s="338">
        <v>34.5</v>
      </c>
      <c r="T33" s="338">
        <f t="shared" si="8"/>
        <v>9.2986442428448459</v>
      </c>
      <c r="U33" s="338">
        <f t="shared" si="9"/>
        <v>9.5272970385578546</v>
      </c>
      <c r="V33" s="342">
        <f t="shared" si="10"/>
        <v>34.728652795713003</v>
      </c>
      <c r="W33" s="338">
        <f t="shared" si="11"/>
        <v>5.2282100987372439E-2</v>
      </c>
      <c r="Y33" s="338">
        <v>10.5</v>
      </c>
      <c r="Z33" s="338">
        <v>26.5</v>
      </c>
      <c r="AA33" s="338">
        <v>33.5</v>
      </c>
      <c r="AB33" s="338">
        <f t="shared" si="12"/>
        <v>7.0805390543451328</v>
      </c>
      <c r="AC33" s="338">
        <f t="shared" si="13"/>
        <v>6.9462936965876185</v>
      </c>
      <c r="AD33" s="342">
        <f t="shared" si="14"/>
        <v>33.365754642242486</v>
      </c>
      <c r="AE33" s="338">
        <f t="shared" si="15"/>
        <v>1.8021816079442986E-2</v>
      </c>
    </row>
    <row r="34" spans="1:31" ht="15">
      <c r="A34" s="346">
        <v>22</v>
      </c>
      <c r="B34" s="346">
        <v>23.8</v>
      </c>
      <c r="C34" s="346">
        <v>29</v>
      </c>
      <c r="D34" s="342">
        <f t="shared" si="0"/>
        <v>5.2303033087325508</v>
      </c>
      <c r="E34" s="342">
        <f t="shared" si="1"/>
        <v>5.3052228499832932</v>
      </c>
      <c r="F34" s="342">
        <f t="shared" si="2"/>
        <v>29.074919541250743</v>
      </c>
      <c r="G34" s="342">
        <f t="shared" si="3"/>
        <v>5.6129376612218257E-3</v>
      </c>
      <c r="I34" s="346">
        <v>22</v>
      </c>
      <c r="J34" s="346">
        <v>23.4</v>
      </c>
      <c r="K34" s="346">
        <v>28.5</v>
      </c>
      <c r="L34" s="342">
        <f t="shared" si="4"/>
        <v>3.7922174881016435</v>
      </c>
      <c r="M34" s="342">
        <f t="shared" si="5"/>
        <v>4.0030846473192954</v>
      </c>
      <c r="N34" s="342">
        <f t="shared" si="6"/>
        <v>28.710867159217649</v>
      </c>
      <c r="O34" s="350">
        <f t="shared" si="7"/>
        <v>4.446495883652142E-2</v>
      </c>
      <c r="Q34" s="338">
        <v>11</v>
      </c>
      <c r="R34" s="338">
        <v>24</v>
      </c>
      <c r="S34" s="338">
        <v>34</v>
      </c>
      <c r="T34" s="338">
        <f t="shared" si="8"/>
        <v>8.7986442428448459</v>
      </c>
      <c r="U34" s="338">
        <f t="shared" si="9"/>
        <v>9.1030301329287653</v>
      </c>
      <c r="V34" s="342">
        <f t="shared" si="10"/>
        <v>34.304385890083921</v>
      </c>
      <c r="W34" s="338">
        <f t="shared" si="11"/>
        <v>9.2650770082180922E-2</v>
      </c>
      <c r="Y34" s="338">
        <v>11</v>
      </c>
      <c r="Z34" s="338">
        <v>26.5</v>
      </c>
      <c r="AA34" s="338">
        <v>33</v>
      </c>
      <c r="AB34" s="338">
        <f t="shared" si="12"/>
        <v>6.5805390543451328</v>
      </c>
      <c r="AC34" s="338">
        <f t="shared" si="13"/>
        <v>6.6369633041043192</v>
      </c>
      <c r="AD34" s="342">
        <f t="shared" si="14"/>
        <v>33.056424249759182</v>
      </c>
      <c r="AE34" s="338">
        <f t="shared" si="15"/>
        <v>3.1836959608865538E-3</v>
      </c>
    </row>
    <row r="35" spans="1:31" ht="15">
      <c r="A35" s="346">
        <v>23</v>
      </c>
      <c r="B35" s="346">
        <v>24</v>
      </c>
      <c r="C35" s="346">
        <v>29</v>
      </c>
      <c r="D35" s="342">
        <f t="shared" si="0"/>
        <v>5.2303033087325508</v>
      </c>
      <c r="E35" s="342">
        <f t="shared" si="1"/>
        <v>4.9334831131967194</v>
      </c>
      <c r="F35" s="342">
        <f t="shared" si="2"/>
        <v>28.703179804464167</v>
      </c>
      <c r="G35" s="342">
        <f t="shared" si="3"/>
        <v>8.8102228477930228E-2</v>
      </c>
      <c r="I35" s="346">
        <v>23</v>
      </c>
      <c r="J35" s="346">
        <v>23.4</v>
      </c>
      <c r="K35" s="346">
        <v>28.5</v>
      </c>
      <c r="L35" s="342">
        <f t="shared" si="4"/>
        <v>3.7922174881016435</v>
      </c>
      <c r="M35" s="342">
        <f t="shared" si="5"/>
        <v>3.7225864146892489</v>
      </c>
      <c r="N35" s="342">
        <f t="shared" si="6"/>
        <v>28.430368926587605</v>
      </c>
      <c r="O35" s="350">
        <f t="shared" si="7"/>
        <v>4.8484863845624105E-3</v>
      </c>
      <c r="Q35" s="338">
        <v>11.5</v>
      </c>
      <c r="R35" s="338">
        <v>24</v>
      </c>
      <c r="S35" s="338">
        <v>33.5</v>
      </c>
      <c r="T35" s="338">
        <f t="shared" si="8"/>
        <v>8.2986442428448459</v>
      </c>
      <c r="U35" s="338">
        <f t="shared" si="9"/>
        <v>8.6976565615248589</v>
      </c>
      <c r="V35" s="342">
        <f t="shared" si="10"/>
        <v>33.899012318680008</v>
      </c>
      <c r="W35" s="338">
        <f t="shared" si="11"/>
        <v>0.15921083045839599</v>
      </c>
      <c r="Y35" s="338">
        <v>11.5</v>
      </c>
      <c r="Z35" s="338">
        <v>26.5</v>
      </c>
      <c r="AA35" s="338">
        <v>33</v>
      </c>
      <c r="AB35" s="338">
        <f t="shared" si="12"/>
        <v>6.5805390543451328</v>
      </c>
      <c r="AC35" s="338">
        <f t="shared" si="13"/>
        <v>6.3414079254475828</v>
      </c>
      <c r="AD35" s="342">
        <f t="shared" si="14"/>
        <v>32.760868871102446</v>
      </c>
      <c r="AE35" s="338">
        <f t="shared" si="15"/>
        <v>5.7183696807818769E-2</v>
      </c>
    </row>
    <row r="36" spans="1:31" ht="15">
      <c r="A36" s="346">
        <v>24</v>
      </c>
      <c r="B36" s="346">
        <v>23.4</v>
      </c>
      <c r="C36" s="346">
        <v>28.5</v>
      </c>
      <c r="D36" s="342">
        <f t="shared" si="0"/>
        <v>4.7303033087325508</v>
      </c>
      <c r="E36" s="342">
        <f t="shared" si="1"/>
        <v>4.5877913739804228</v>
      </c>
      <c r="F36" s="342">
        <f t="shared" si="2"/>
        <v>28.357488065247871</v>
      </c>
      <c r="G36" s="342">
        <f t="shared" si="3"/>
        <v>2.0309651546795034E-2</v>
      </c>
      <c r="I36" s="346">
        <v>24</v>
      </c>
      <c r="J36" s="346">
        <v>24</v>
      </c>
      <c r="K36" s="346">
        <v>28</v>
      </c>
      <c r="L36" s="342">
        <f t="shared" si="4"/>
        <v>3.2922174881016435</v>
      </c>
      <c r="M36" s="342">
        <f t="shared" si="5"/>
        <v>3.4617428397645464</v>
      </c>
      <c r="N36" s="342">
        <f t="shared" si="6"/>
        <v>28.169525351662902</v>
      </c>
      <c r="O36" s="350">
        <f t="shared" si="7"/>
        <v>2.8738844856430457E-2</v>
      </c>
      <c r="Q36" s="338">
        <v>12</v>
      </c>
      <c r="R36" s="338">
        <v>25</v>
      </c>
      <c r="S36" s="338">
        <v>33.5</v>
      </c>
      <c r="T36" s="338">
        <f t="shared" si="8"/>
        <v>8.2986442428448459</v>
      </c>
      <c r="U36" s="338">
        <f t="shared" si="9"/>
        <v>8.3103349717131412</v>
      </c>
      <c r="V36" s="342">
        <f t="shared" si="10"/>
        <v>33.511690728868295</v>
      </c>
      <c r="W36" s="338">
        <f t="shared" si="11"/>
        <v>1.36673141471992E-4</v>
      </c>
      <c r="Y36" s="338">
        <v>12</v>
      </c>
      <c r="Z36" s="338">
        <v>26.8</v>
      </c>
      <c r="AA36" s="338">
        <v>32.5</v>
      </c>
      <c r="AB36" s="338">
        <f t="shared" si="12"/>
        <v>6.0805390543451328</v>
      </c>
      <c r="AC36" s="338">
        <f t="shared" si="13"/>
        <v>6.0590141355853655</v>
      </c>
      <c r="AD36" s="342">
        <f t="shared" si="14"/>
        <v>32.478475081240234</v>
      </c>
      <c r="AE36" s="338">
        <f t="shared" si="15"/>
        <v>4.6332212761454199E-4</v>
      </c>
    </row>
    <row r="37" spans="1:31" ht="15">
      <c r="A37" s="346">
        <v>25</v>
      </c>
      <c r="B37" s="346">
        <v>23.2</v>
      </c>
      <c r="C37" s="346">
        <v>28</v>
      </c>
      <c r="D37" s="342">
        <f t="shared" si="0"/>
        <v>4.2303033087325508</v>
      </c>
      <c r="E37" s="342">
        <f t="shared" si="1"/>
        <v>4.2663224355360061</v>
      </c>
      <c r="F37" s="342">
        <f t="shared" si="2"/>
        <v>28.036019126803453</v>
      </c>
      <c r="G37" s="342">
        <f t="shared" si="3"/>
        <v>1.297377495683201E-3</v>
      </c>
      <c r="I37" s="346">
        <v>25</v>
      </c>
      <c r="J37" s="346">
        <v>24</v>
      </c>
      <c r="K37" s="346">
        <v>28</v>
      </c>
      <c r="L37" s="342">
        <f t="shared" si="4"/>
        <v>3.2922174881016435</v>
      </c>
      <c r="M37" s="342">
        <f t="shared" si="5"/>
        <v>3.2191767104112943</v>
      </c>
      <c r="N37" s="342">
        <f t="shared" si="6"/>
        <v>27.926959222309648</v>
      </c>
      <c r="O37" s="350">
        <f t="shared" si="7"/>
        <v>5.3349552056114061E-3</v>
      </c>
      <c r="Q37" s="338">
        <v>12.5</v>
      </c>
      <c r="R37" s="338">
        <v>24.5</v>
      </c>
      <c r="S37" s="338">
        <v>33</v>
      </c>
      <c r="T37" s="338">
        <f t="shared" si="8"/>
        <v>7.7986442428448459</v>
      </c>
      <c r="U37" s="338">
        <f t="shared" si="9"/>
        <v>7.9402614777388578</v>
      </c>
      <c r="V37" s="342">
        <f t="shared" si="10"/>
        <v>33.141617234894014</v>
      </c>
      <c r="W37" s="338">
        <f t="shared" si="11"/>
        <v>2.0055441219026245E-2</v>
      </c>
      <c r="Y37" s="338">
        <v>12.5</v>
      </c>
      <c r="Z37" s="338">
        <v>26.4</v>
      </c>
      <c r="AA37" s="338">
        <v>32.5</v>
      </c>
      <c r="AB37" s="338">
        <f t="shared" si="12"/>
        <v>6.0805390543451328</v>
      </c>
      <c r="AC37" s="338">
        <f t="shared" si="13"/>
        <v>5.7891958263561998</v>
      </c>
      <c r="AD37" s="342">
        <f t="shared" si="14"/>
        <v>32.208656772011068</v>
      </c>
      <c r="AE37" s="338">
        <f t="shared" si="15"/>
        <v>8.488087649501086E-2</v>
      </c>
    </row>
    <row r="38" spans="1:31" ht="15">
      <c r="A38" s="346">
        <v>26</v>
      </c>
      <c r="B38" s="346">
        <v>23.4</v>
      </c>
      <c r="C38" s="346">
        <v>28</v>
      </c>
      <c r="D38" s="342">
        <f t="shared" si="0"/>
        <v>4.2303033087325508</v>
      </c>
      <c r="E38" s="342">
        <f t="shared" si="1"/>
        <v>3.9673789935582944</v>
      </c>
      <c r="F38" s="342">
        <f t="shared" si="2"/>
        <v>27.737075684825744</v>
      </c>
      <c r="G38" s="342">
        <f t="shared" si="3"/>
        <v>6.9129195509851721E-2</v>
      </c>
      <c r="I38" s="346">
        <v>26</v>
      </c>
      <c r="J38" s="346">
        <v>24</v>
      </c>
      <c r="K38" s="346">
        <v>27.5</v>
      </c>
      <c r="L38" s="342">
        <f t="shared" si="4"/>
        <v>2.7922174881016435</v>
      </c>
      <c r="M38" s="342">
        <f t="shared" si="5"/>
        <v>2.9936073164693355</v>
      </c>
      <c r="N38" s="342">
        <f t="shared" si="6"/>
        <v>27.701389828367692</v>
      </c>
      <c r="O38" s="350">
        <f t="shared" si="7"/>
        <v>4.0557862969968279E-2</v>
      </c>
      <c r="Q38" s="338">
        <v>13</v>
      </c>
      <c r="R38" s="338">
        <v>25</v>
      </c>
      <c r="S38" s="338">
        <v>32.5</v>
      </c>
      <c r="T38" s="338">
        <f t="shared" si="8"/>
        <v>7.2986442428448459</v>
      </c>
      <c r="U38" s="338">
        <f t="shared" si="9"/>
        <v>7.5866679922610425</v>
      </c>
      <c r="V38" s="342">
        <f t="shared" si="10"/>
        <v>32.788023749416197</v>
      </c>
      <c r="W38" s="338">
        <f t="shared" si="11"/>
        <v>8.2957680227764508E-2</v>
      </c>
      <c r="Y38" s="338">
        <v>13</v>
      </c>
      <c r="Z38" s="338">
        <v>26.2</v>
      </c>
      <c r="AA38" s="338">
        <v>32</v>
      </c>
      <c r="AB38" s="338">
        <f t="shared" si="12"/>
        <v>5.5805390543451328</v>
      </c>
      <c r="AC38" s="338">
        <f t="shared" si="13"/>
        <v>5.5313929900020202</v>
      </c>
      <c r="AD38" s="342">
        <f t="shared" si="14"/>
        <v>31.950853935656891</v>
      </c>
      <c r="AE38" s="338">
        <f t="shared" si="15"/>
        <v>2.4153356404170074E-3</v>
      </c>
    </row>
    <row r="39" spans="1:31" ht="15">
      <c r="A39" s="346">
        <v>27</v>
      </c>
      <c r="B39" s="346">
        <v>20.9</v>
      </c>
      <c r="C39" s="346">
        <v>27.5</v>
      </c>
      <c r="D39" s="342">
        <f t="shared" si="0"/>
        <v>3.7303033087325503</v>
      </c>
      <c r="E39" s="342">
        <f t="shared" si="1"/>
        <v>3.6893826747415286</v>
      </c>
      <c r="F39" s="342">
        <f t="shared" si="2"/>
        <v>27.459079366008979</v>
      </c>
      <c r="G39" s="342">
        <f t="shared" si="3"/>
        <v>1.6744982862271281E-3</v>
      </c>
      <c r="I39" s="346">
        <v>27</v>
      </c>
      <c r="J39" s="346">
        <v>23.4</v>
      </c>
      <c r="K39" s="346">
        <v>27.5</v>
      </c>
      <c r="L39" s="342">
        <f t="shared" si="4"/>
        <v>2.7922174881016435</v>
      </c>
      <c r="M39" s="342">
        <f t="shared" si="5"/>
        <v>2.7838436878085373</v>
      </c>
      <c r="N39" s="342">
        <f t="shared" si="6"/>
        <v>27.491626199706893</v>
      </c>
      <c r="O39" s="350">
        <f t="shared" si="7"/>
        <v>7.0120531348840238E-5</v>
      </c>
      <c r="Q39" s="338">
        <v>13.5</v>
      </c>
      <c r="R39" s="338">
        <v>24</v>
      </c>
      <c r="S39" s="338">
        <v>32.5</v>
      </c>
      <c r="T39" s="338">
        <f t="shared" si="8"/>
        <v>7.2986442428448459</v>
      </c>
      <c r="U39" s="338">
        <f t="shared" si="9"/>
        <v>7.2488206321876474</v>
      </c>
      <c r="V39" s="342">
        <f t="shared" si="10"/>
        <v>32.450176389342801</v>
      </c>
      <c r="W39" s="338">
        <f t="shared" si="11"/>
        <v>2.4823921789201959E-3</v>
      </c>
      <c r="Y39" s="338">
        <v>13.5</v>
      </c>
      <c r="Z39" s="338">
        <v>25.7</v>
      </c>
      <c r="AA39" s="338">
        <v>32</v>
      </c>
      <c r="AB39" s="338">
        <f t="shared" si="12"/>
        <v>5.5805390543451328</v>
      </c>
      <c r="AC39" s="338">
        <f t="shared" si="13"/>
        <v>5.2850705568723582</v>
      </c>
      <c r="AD39" s="342">
        <f t="shared" si="14"/>
        <v>31.704531502527228</v>
      </c>
      <c r="AE39" s="338">
        <f t="shared" si="15"/>
        <v>8.7301632998817436E-2</v>
      </c>
    </row>
    <row r="40" spans="1:31" ht="15">
      <c r="A40" s="346">
        <v>28</v>
      </c>
      <c r="B40" s="346">
        <v>20.8</v>
      </c>
      <c r="C40" s="346">
        <v>27</v>
      </c>
      <c r="D40" s="342">
        <f t="shared" si="0"/>
        <v>3.2303033087325503</v>
      </c>
      <c r="E40" s="342">
        <f t="shared" si="1"/>
        <v>3.4308657032220991</v>
      </c>
      <c r="F40" s="342">
        <f t="shared" si="2"/>
        <v>27.200562394489548</v>
      </c>
      <c r="G40" s="342">
        <f t="shared" si="3"/>
        <v>4.0225274083381182E-2</v>
      </c>
      <c r="I40" s="346">
        <v>28</v>
      </c>
      <c r="J40" s="346">
        <v>24.2</v>
      </c>
      <c r="K40" s="346">
        <v>27.5</v>
      </c>
      <c r="L40" s="342">
        <f t="shared" si="4"/>
        <v>2.7922174881016435</v>
      </c>
      <c r="M40" s="342">
        <f t="shared" si="5"/>
        <v>2.5887783061980048</v>
      </c>
      <c r="N40" s="342">
        <f t="shared" si="6"/>
        <v>27.29656081809636</v>
      </c>
      <c r="O40" s="350">
        <f t="shared" si="7"/>
        <v>4.1387500733622358E-2</v>
      </c>
      <c r="Q40" s="338">
        <v>14</v>
      </c>
      <c r="R40" s="338">
        <v>24</v>
      </c>
      <c r="S40" s="338">
        <v>32</v>
      </c>
      <c r="T40" s="338">
        <f t="shared" si="8"/>
        <v>6.7986442428448459</v>
      </c>
      <c r="U40" s="338">
        <f t="shared" si="9"/>
        <v>6.9260181955015669</v>
      </c>
      <c r="V40" s="342">
        <f t="shared" si="10"/>
        <v>32.127373952656718</v>
      </c>
      <c r="W40" s="338">
        <f t="shared" si="11"/>
        <v>1.6224123815395931E-2</v>
      </c>
      <c r="Y40" s="338">
        <v>14</v>
      </c>
      <c r="Z40" s="338">
        <v>25.5</v>
      </c>
      <c r="AA40" s="338">
        <v>31.5</v>
      </c>
      <c r="AB40" s="338">
        <f t="shared" si="12"/>
        <v>5.0805390543451328</v>
      </c>
      <c r="AC40" s="338">
        <f t="shared" si="13"/>
        <v>5.0497172848875627</v>
      </c>
      <c r="AD40" s="342">
        <f t="shared" si="14"/>
        <v>31.469178230542433</v>
      </c>
      <c r="AE40" s="338">
        <f t="shared" si="15"/>
        <v>9.4998147249543625E-4</v>
      </c>
    </row>
    <row r="41" spans="1:31" ht="15">
      <c r="A41" s="346">
        <v>29</v>
      </c>
      <c r="B41" s="346">
        <v>20.9</v>
      </c>
      <c r="C41" s="346">
        <v>27</v>
      </c>
      <c r="D41" s="342">
        <f t="shared" si="0"/>
        <v>3.2303033087325503</v>
      </c>
      <c r="E41" s="342">
        <f t="shared" si="1"/>
        <v>3.1904631509579877</v>
      </c>
      <c r="F41" s="342">
        <f t="shared" si="2"/>
        <v>26.960159842225437</v>
      </c>
      <c r="G41" s="342">
        <f t="shared" si="3"/>
        <v>1.5872381715020781E-3</v>
      </c>
      <c r="I41" s="346">
        <v>29</v>
      </c>
      <c r="J41" s="346">
        <v>24.6</v>
      </c>
      <c r="K41" s="346">
        <v>27</v>
      </c>
      <c r="L41" s="342">
        <f t="shared" si="4"/>
        <v>2.2922174881016435</v>
      </c>
      <c r="M41" s="342">
        <f t="shared" si="5"/>
        <v>2.4073812577878955</v>
      </c>
      <c r="N41" s="342">
        <f t="shared" si="6"/>
        <v>27.115163769686252</v>
      </c>
      <c r="O41" s="350">
        <f t="shared" si="7"/>
        <v>1.3262693848347986E-2</v>
      </c>
      <c r="Q41" s="338">
        <v>14.5</v>
      </c>
      <c r="R41" s="338">
        <v>25</v>
      </c>
      <c r="S41" s="338">
        <v>32</v>
      </c>
      <c r="T41" s="338">
        <f t="shared" si="8"/>
        <v>6.7986442428448459</v>
      </c>
      <c r="U41" s="338">
        <f t="shared" si="9"/>
        <v>6.6175907059162302</v>
      </c>
      <c r="V41" s="342">
        <f t="shared" si="10"/>
        <v>31.818946463071384</v>
      </c>
      <c r="W41" s="338">
        <f t="shared" si="11"/>
        <v>3.278038323436161E-2</v>
      </c>
      <c r="Y41" s="338">
        <v>14.5</v>
      </c>
      <c r="Z41" s="338">
        <v>25.2</v>
      </c>
      <c r="AA41" s="338">
        <v>31.5</v>
      </c>
      <c r="AB41" s="338">
        <f t="shared" si="12"/>
        <v>5.0805390543451328</v>
      </c>
      <c r="AC41" s="338">
        <f t="shared" si="13"/>
        <v>4.8248446984561371</v>
      </c>
      <c r="AD41" s="342">
        <f t="shared" si="14"/>
        <v>31.244305644111005</v>
      </c>
      <c r="AE41" s="338">
        <f t="shared" si="15"/>
        <v>6.5379603633487937E-2</v>
      </c>
    </row>
    <row r="42" spans="1:31" ht="15">
      <c r="A42" s="346">
        <v>30</v>
      </c>
      <c r="B42" s="346">
        <v>20.9</v>
      </c>
      <c r="C42" s="346">
        <v>26.5</v>
      </c>
      <c r="D42" s="342">
        <f t="shared" si="0"/>
        <v>2.7303033087325503</v>
      </c>
      <c r="E42" s="342">
        <f t="shared" si="1"/>
        <v>2.9669057311281835</v>
      </c>
      <c r="F42" s="342">
        <f t="shared" si="2"/>
        <v>26.736602422395631</v>
      </c>
      <c r="G42" s="342">
        <f t="shared" si="3"/>
        <v>5.5980706283480543E-2</v>
      </c>
      <c r="I42" s="346">
        <v>30</v>
      </c>
      <c r="J42" s="346">
        <v>24.6</v>
      </c>
      <c r="K42" s="346">
        <v>27</v>
      </c>
      <c r="L42" s="342">
        <f t="shared" si="4"/>
        <v>2.2922174881016435</v>
      </c>
      <c r="M42" s="342">
        <f t="shared" si="5"/>
        <v>2.2386947953299003</v>
      </c>
      <c r="N42" s="342">
        <f t="shared" si="6"/>
        <v>26.946477307228257</v>
      </c>
      <c r="O42" s="350">
        <f t="shared" si="7"/>
        <v>2.8646786415384069E-3</v>
      </c>
      <c r="Q42" s="338">
        <v>15</v>
      </c>
      <c r="R42" s="338">
        <v>22</v>
      </c>
      <c r="S42" s="338">
        <v>31.5</v>
      </c>
      <c r="T42" s="338">
        <f t="shared" si="8"/>
        <v>6.2986442428448459</v>
      </c>
      <c r="U42" s="338">
        <f t="shared" si="9"/>
        <v>6.3228980223401656</v>
      </c>
      <c r="V42" s="342">
        <f t="shared" si="10"/>
        <v>31.524253779495318</v>
      </c>
      <c r="W42" s="338">
        <f t="shared" si="11"/>
        <v>5.8824581980750437E-4</v>
      </c>
      <c r="Y42" s="338">
        <v>15</v>
      </c>
      <c r="Z42" s="338">
        <v>24.6</v>
      </c>
      <c r="AA42" s="338">
        <v>31</v>
      </c>
      <c r="AB42" s="338">
        <f t="shared" si="12"/>
        <v>4.5805390543451328</v>
      </c>
      <c r="AC42" s="338">
        <f t="shared" si="13"/>
        <v>4.6099860746439036</v>
      </c>
      <c r="AD42" s="342">
        <f t="shared" si="14"/>
        <v>31.029447020298772</v>
      </c>
      <c r="AE42" s="338">
        <f t="shared" si="15"/>
        <v>8.6712700447627697E-4</v>
      </c>
    </row>
    <row r="43" spans="1:31" ht="15">
      <c r="A43" s="346">
        <v>31</v>
      </c>
      <c r="B43" s="346">
        <v>20.9</v>
      </c>
      <c r="C43" s="346">
        <v>26.5</v>
      </c>
      <c r="D43" s="342">
        <f t="shared" si="0"/>
        <v>2.7303033087325503</v>
      </c>
      <c r="E43" s="342">
        <f t="shared" si="1"/>
        <v>2.7590130965023558</v>
      </c>
      <c r="F43" s="342">
        <f t="shared" si="2"/>
        <v>26.528709787769806</v>
      </c>
      <c r="G43" s="342">
        <f t="shared" si="3"/>
        <v>8.2425191378729802E-4</v>
      </c>
      <c r="O43" s="349"/>
      <c r="Q43" s="338">
        <v>15.5</v>
      </c>
      <c r="R43" s="338">
        <v>23</v>
      </c>
      <c r="S43" s="338">
        <v>31.5</v>
      </c>
      <c r="T43" s="338">
        <f t="shared" si="8"/>
        <v>6.2986442428448459</v>
      </c>
      <c r="U43" s="338">
        <f t="shared" si="9"/>
        <v>6.0413285102645125</v>
      </c>
      <c r="V43" s="342">
        <f t="shared" si="10"/>
        <v>31.242684267419666</v>
      </c>
      <c r="W43" s="338">
        <f t="shared" si="11"/>
        <v>6.6211386233354139E-2</v>
      </c>
      <c r="Y43" s="338">
        <v>15.5</v>
      </c>
      <c r="Z43" s="338">
        <v>24.6</v>
      </c>
      <c r="AA43" s="338">
        <v>31</v>
      </c>
      <c r="AB43" s="338">
        <f t="shared" si="12"/>
        <v>4.5805390543451328</v>
      </c>
      <c r="AC43" s="338">
        <f t="shared" si="13"/>
        <v>4.4046954744908069</v>
      </c>
      <c r="AD43" s="342">
        <f t="shared" si="14"/>
        <v>30.824156420145677</v>
      </c>
      <c r="AE43" s="338">
        <f t="shared" si="15"/>
        <v>3.0920964575983739E-2</v>
      </c>
    </row>
    <row r="44" spans="1:31" ht="15">
      <c r="A44" s="346">
        <v>32</v>
      </c>
      <c r="B44" s="346">
        <v>20.9</v>
      </c>
      <c r="C44" s="346">
        <v>26.5</v>
      </c>
      <c r="D44" s="342">
        <f t="shared" si="0"/>
        <v>2.7303033087325503</v>
      </c>
      <c r="E44" s="342">
        <f t="shared" si="1"/>
        <v>2.5656876073972703</v>
      </c>
      <c r="F44" s="342">
        <f t="shared" si="2"/>
        <v>26.335384298664717</v>
      </c>
      <c r="G44" s="342">
        <f t="shared" si="3"/>
        <v>2.7098329126106994E-2</v>
      </c>
      <c r="O44" s="349"/>
      <c r="Q44" s="338">
        <v>16</v>
      </c>
      <c r="R44" s="338">
        <v>24</v>
      </c>
      <c r="S44" s="338">
        <v>31</v>
      </c>
      <c r="T44" s="338">
        <f t="shared" si="8"/>
        <v>5.7986442428448459</v>
      </c>
      <c r="U44" s="338">
        <f t="shared" si="9"/>
        <v>5.7722977723159126</v>
      </c>
      <c r="V44" s="342">
        <f t="shared" si="10"/>
        <v>30.973653529471065</v>
      </c>
      <c r="W44" s="338">
        <f t="shared" si="11"/>
        <v>6.9413650933204728E-4</v>
      </c>
      <c r="Y44" s="338">
        <v>16</v>
      </c>
      <c r="Z44" s="338">
        <v>25</v>
      </c>
      <c r="AA44" s="338">
        <v>30.5</v>
      </c>
      <c r="AB44" s="338">
        <f t="shared" si="12"/>
        <v>4.0805390543451328</v>
      </c>
      <c r="AC44" s="338">
        <f t="shared" si="13"/>
        <v>4.2085468174648319</v>
      </c>
      <c r="AD44" s="342">
        <f t="shared" si="14"/>
        <v>30.628007763119701</v>
      </c>
      <c r="AE44" s="338">
        <f t="shared" si="15"/>
        <v>1.6385987418909474E-2</v>
      </c>
    </row>
    <row r="45" spans="1:31" ht="15">
      <c r="A45" s="346">
        <v>33</v>
      </c>
      <c r="B45" s="346">
        <v>21</v>
      </c>
      <c r="C45" s="346">
        <v>26</v>
      </c>
      <c r="D45" s="342">
        <f t="shared" si="0"/>
        <v>2.2303033087325503</v>
      </c>
      <c r="E45" s="342">
        <f t="shared" si="1"/>
        <v>2.3859085363157528</v>
      </c>
      <c r="F45" s="342">
        <f t="shared" si="2"/>
        <v>26.155605227583202</v>
      </c>
      <c r="G45" s="342">
        <f t="shared" si="3"/>
        <v>2.4212986851219968E-2</v>
      </c>
      <c r="O45" s="349"/>
      <c r="Q45" s="338">
        <v>16.5</v>
      </c>
      <c r="R45" s="338">
        <v>23</v>
      </c>
      <c r="S45" s="338">
        <v>31</v>
      </c>
      <c r="T45" s="338">
        <f t="shared" si="8"/>
        <v>5.7986442428448459</v>
      </c>
      <c r="U45" s="338">
        <f t="shared" si="9"/>
        <v>5.5152474353400782</v>
      </c>
      <c r="V45" s="342">
        <f t="shared" si="10"/>
        <v>30.716603192495231</v>
      </c>
      <c r="W45" s="338">
        <f t="shared" si="11"/>
        <v>8.031375050389486E-2</v>
      </c>
      <c r="Y45" s="338">
        <v>16.5</v>
      </c>
      <c r="Z45" s="338">
        <v>25</v>
      </c>
      <c r="AA45" s="338">
        <v>30.5</v>
      </c>
      <c r="AB45" s="338">
        <f t="shared" si="12"/>
        <v>4.0805390543451328</v>
      </c>
      <c r="AC45" s="338">
        <f t="shared" si="13"/>
        <v>4.0211329971320886</v>
      </c>
      <c r="AD45" s="342">
        <f t="shared" si="14"/>
        <v>30.440593942786958</v>
      </c>
      <c r="AE45" s="338">
        <f t="shared" si="15"/>
        <v>3.5290796335992638E-3</v>
      </c>
    </row>
    <row r="46" spans="1:31" ht="15">
      <c r="A46" s="346">
        <v>34</v>
      </c>
      <c r="B46" s="346">
        <v>21</v>
      </c>
      <c r="C46" s="346">
        <v>26</v>
      </c>
      <c r="D46" s="342">
        <f t="shared" si="0"/>
        <v>2.2303033087325503</v>
      </c>
      <c r="E46" s="342">
        <f t="shared" si="1"/>
        <v>2.2187266786696314</v>
      </c>
      <c r="F46" s="342">
        <f t="shared" si="2"/>
        <v>25.988423369937081</v>
      </c>
      <c r="G46" s="342">
        <f t="shared" si="3"/>
        <v>1.3401836361367952E-4</v>
      </c>
      <c r="O46" s="349"/>
      <c r="Q46" s="338">
        <v>17</v>
      </c>
      <c r="R46" s="338">
        <v>25</v>
      </c>
      <c r="S46" s="338">
        <v>30.5</v>
      </c>
      <c r="T46" s="338">
        <f t="shared" si="8"/>
        <v>5.2986442428448459</v>
      </c>
      <c r="U46" s="338">
        <f t="shared" si="9"/>
        <v>5.2696439914986017</v>
      </c>
      <c r="V46" s="342">
        <f t="shared" si="10"/>
        <v>30.470999748653753</v>
      </c>
      <c r="W46" s="338">
        <f t="shared" si="11"/>
        <v>8.4101457814549172E-4</v>
      </c>
      <c r="Y46" s="338">
        <v>17</v>
      </c>
      <c r="Z46" s="338">
        <v>25.5</v>
      </c>
      <c r="AA46" s="338">
        <v>30</v>
      </c>
      <c r="AB46" s="338">
        <f t="shared" si="12"/>
        <v>3.5805390543451328</v>
      </c>
      <c r="AC46" s="338">
        <f t="shared" si="13"/>
        <v>3.8420650362076225</v>
      </c>
      <c r="AD46" s="342">
        <f t="shared" si="14"/>
        <v>30.261525981862491</v>
      </c>
      <c r="AE46" s="338">
        <f t="shared" si="15"/>
        <v>6.8395839189139787E-2</v>
      </c>
    </row>
    <row r="47" spans="1:31" ht="15">
      <c r="A47" s="346">
        <v>35</v>
      </c>
      <c r="B47" s="346">
        <v>21</v>
      </c>
      <c r="C47" s="346">
        <v>25.5</v>
      </c>
      <c r="D47" s="342">
        <f t="shared" si="0"/>
        <v>1.7303033087325503</v>
      </c>
      <c r="E47" s="342">
        <f t="shared" si="1"/>
        <v>2.0632593411321336</v>
      </c>
      <c r="F47" s="342">
        <f t="shared" si="2"/>
        <v>25.832956032399583</v>
      </c>
      <c r="G47" s="342">
        <f t="shared" si="3"/>
        <v>0.11085971951127205</v>
      </c>
      <c r="O47" s="349"/>
      <c r="Q47" s="338">
        <v>17.5</v>
      </c>
      <c r="R47" s="338">
        <v>22</v>
      </c>
      <c r="S47" s="338">
        <v>30.5</v>
      </c>
      <c r="T47" s="338">
        <f t="shared" si="8"/>
        <v>5.2986442428448459</v>
      </c>
      <c r="U47" s="338">
        <f t="shared" si="9"/>
        <v>5.0349776909737196</v>
      </c>
      <c r="V47" s="342">
        <f t="shared" si="10"/>
        <v>30.236333448128871</v>
      </c>
      <c r="W47" s="338">
        <f t="shared" si="11"/>
        <v>6.952005057561074E-2</v>
      </c>
      <c r="Y47" s="338">
        <v>17.5</v>
      </c>
      <c r="Z47" s="338">
        <v>25.5</v>
      </c>
      <c r="AA47" s="338">
        <v>30</v>
      </c>
      <c r="AB47" s="338">
        <f t="shared" si="12"/>
        <v>3.5805390543451328</v>
      </c>
      <c r="AC47" s="338">
        <f t="shared" si="13"/>
        <v>3.670971279233266</v>
      </c>
      <c r="AD47" s="342">
        <f t="shared" si="14"/>
        <v>30.090432224888136</v>
      </c>
      <c r="AE47" s="338">
        <f t="shared" si="15"/>
        <v>8.1779872982184771E-3</v>
      </c>
    </row>
    <row r="48" spans="1:31" ht="15">
      <c r="A48" s="346">
        <v>36</v>
      </c>
      <c r="B48" s="346">
        <v>21</v>
      </c>
      <c r="C48" s="346">
        <v>25.5</v>
      </c>
      <c r="D48" s="342">
        <f t="shared" si="0"/>
        <v>1.7303033087325503</v>
      </c>
      <c r="E48" s="342">
        <f t="shared" si="1"/>
        <v>1.9186856811590534</v>
      </c>
      <c r="F48" s="342">
        <f t="shared" si="2"/>
        <v>25.688382372426503</v>
      </c>
      <c r="G48" s="342">
        <f t="shared" si="3"/>
        <v>3.54879182410376E-2</v>
      </c>
      <c r="O48" s="349"/>
      <c r="Q48" s="338">
        <v>18</v>
      </c>
      <c r="R48" s="338">
        <v>25</v>
      </c>
      <c r="S48" s="338">
        <v>30</v>
      </c>
      <c r="T48" s="338">
        <f t="shared" si="8"/>
        <v>4.7986442428448459</v>
      </c>
      <c r="U48" s="338">
        <f t="shared" si="9"/>
        <v>4.8107614839828363</v>
      </c>
      <c r="V48" s="342">
        <f t="shared" si="10"/>
        <v>30.01211724113799</v>
      </c>
      <c r="W48" s="338">
        <f t="shared" si="11"/>
        <v>1.468275327961853E-4</v>
      </c>
      <c r="Y48" s="338">
        <v>18</v>
      </c>
      <c r="Z48" s="338">
        <v>25</v>
      </c>
      <c r="AA48" s="338">
        <v>30</v>
      </c>
      <c r="AB48" s="338">
        <f t="shared" si="12"/>
        <v>3.5805390543451328</v>
      </c>
      <c r="AC48" s="338">
        <f t="shared" si="13"/>
        <v>3.5074966212069305</v>
      </c>
      <c r="AD48" s="342">
        <f t="shared" si="14"/>
        <v>29.926957566861798</v>
      </c>
      <c r="AE48" s="338">
        <f t="shared" si="15"/>
        <v>5.3351970387486803E-3</v>
      </c>
    </row>
    <row r="49" spans="1:31" ht="15">
      <c r="A49" s="346">
        <v>37</v>
      </c>
      <c r="B49" s="346">
        <v>21</v>
      </c>
      <c r="C49" s="346">
        <v>25.5</v>
      </c>
      <c r="D49" s="342">
        <f t="shared" si="0"/>
        <v>1.7303033087325503</v>
      </c>
      <c r="E49" s="342">
        <f t="shared" si="1"/>
        <v>1.7842423730721026</v>
      </c>
      <c r="F49" s="342">
        <f t="shared" si="2"/>
        <v>25.553939064339552</v>
      </c>
      <c r="G49" s="342">
        <f t="shared" si="3"/>
        <v>2.9094226618263399E-3</v>
      </c>
      <c r="O49" s="349"/>
      <c r="Q49" s="338">
        <v>18.5</v>
      </c>
      <c r="R49" s="338">
        <v>25</v>
      </c>
      <c r="S49" s="338">
        <v>30</v>
      </c>
      <c r="T49" s="338">
        <f t="shared" si="8"/>
        <v>4.7986442428448459</v>
      </c>
      <c r="U49" s="338">
        <f t="shared" si="9"/>
        <v>4.5965300099069566</v>
      </c>
      <c r="V49" s="342">
        <f t="shared" si="10"/>
        <v>29.797885767062109</v>
      </c>
      <c r="W49" s="338">
        <f t="shared" si="11"/>
        <v>4.0850163156072102E-2</v>
      </c>
      <c r="Y49" s="338">
        <v>18.5</v>
      </c>
      <c r="Z49" s="338">
        <v>25.8</v>
      </c>
      <c r="AA49" s="338">
        <v>29.5</v>
      </c>
      <c r="AB49" s="338">
        <f t="shared" si="12"/>
        <v>3.0805390543451328</v>
      </c>
      <c r="AC49" s="338">
        <f t="shared" si="13"/>
        <v>3.3513017705623653</v>
      </c>
      <c r="AD49" s="342">
        <f t="shared" si="14"/>
        <v>29.770762716217234</v>
      </c>
      <c r="AE49" s="338">
        <f t="shared" si="15"/>
        <v>7.3312448493334584E-2</v>
      </c>
    </row>
    <row r="50" spans="1:31" ht="15">
      <c r="A50" s="346">
        <v>38</v>
      </c>
      <c r="B50" s="346">
        <v>21</v>
      </c>
      <c r="C50" s="346">
        <v>25</v>
      </c>
      <c r="D50" s="342">
        <f t="shared" si="0"/>
        <v>1.2303033087325503</v>
      </c>
      <c r="E50" s="342">
        <f t="shared" si="1"/>
        <v>1.6592195778220662</v>
      </c>
      <c r="F50" s="342">
        <f t="shared" si="2"/>
        <v>25.428916269089516</v>
      </c>
      <c r="G50" s="342">
        <f t="shared" si="3"/>
        <v>0.18396916588967016</v>
      </c>
      <c r="O50" s="349"/>
      <c r="Q50" s="338">
        <v>19</v>
      </c>
      <c r="R50" s="338">
        <v>23</v>
      </c>
      <c r="S50" s="338">
        <v>30</v>
      </c>
      <c r="T50" s="338">
        <f t="shared" si="8"/>
        <v>4.7986442428448459</v>
      </c>
      <c r="U50" s="338">
        <f t="shared" si="9"/>
        <v>4.3918386314349709</v>
      </c>
      <c r="V50" s="342">
        <f t="shared" si="10"/>
        <v>29.593194388590124</v>
      </c>
      <c r="W50" s="338">
        <f t="shared" si="11"/>
        <v>0.16549080547456296</v>
      </c>
      <c r="Y50" s="338">
        <v>19</v>
      </c>
      <c r="Z50" s="338">
        <v>26</v>
      </c>
      <c r="AA50" s="338">
        <v>29.5</v>
      </c>
      <c r="AB50" s="338">
        <f t="shared" si="12"/>
        <v>3.0805390543451328</v>
      </c>
      <c r="AC50" s="338">
        <f t="shared" si="13"/>
        <v>3.2020625449696878</v>
      </c>
      <c r="AD50" s="342">
        <f t="shared" si="14"/>
        <v>29.621523490624558</v>
      </c>
      <c r="AE50" s="338">
        <f t="shared" si="15"/>
        <v>1.4767958773576962E-2</v>
      </c>
    </row>
    <row r="51" spans="1:31" ht="15">
      <c r="A51" s="346">
        <v>39</v>
      </c>
      <c r="B51" s="346">
        <v>21</v>
      </c>
      <c r="C51" s="346">
        <v>25</v>
      </c>
      <c r="D51" s="342">
        <f t="shared" si="0"/>
        <v>1.2303033087325503</v>
      </c>
      <c r="E51" s="342">
        <f t="shared" si="1"/>
        <v>1.5429571951527605</v>
      </c>
      <c r="F51" s="342">
        <f t="shared" si="2"/>
        <v>25.312653886420208</v>
      </c>
      <c r="G51" s="342">
        <f t="shared" si="3"/>
        <v>9.7752452693660036E-2</v>
      </c>
      <c r="O51" s="349"/>
      <c r="Q51" s="338">
        <v>19.5</v>
      </c>
      <c r="R51" s="338">
        <v>23</v>
      </c>
      <c r="S51" s="338">
        <v>29.5</v>
      </c>
      <c r="T51" s="338">
        <f t="shared" si="8"/>
        <v>4.2986442428448459</v>
      </c>
      <c r="U51" s="338">
        <f t="shared" si="9"/>
        <v>4.196262511719147</v>
      </c>
      <c r="V51" s="342">
        <f t="shared" si="10"/>
        <v>29.3976182688743</v>
      </c>
      <c r="W51" s="338">
        <f t="shared" si="11"/>
        <v>1.048201886829509E-2</v>
      </c>
      <c r="Y51" s="338">
        <v>19.5</v>
      </c>
      <c r="Z51" s="338">
        <v>26</v>
      </c>
      <c r="AA51" s="338">
        <v>29.5</v>
      </c>
      <c r="AB51" s="338">
        <f t="shared" si="12"/>
        <v>3.0805390543451328</v>
      </c>
      <c r="AC51" s="338">
        <f t="shared" si="13"/>
        <v>3.059469198495131</v>
      </c>
      <c r="AD51" s="342">
        <f t="shared" si="14"/>
        <v>29.478930144149999</v>
      </c>
      <c r="AE51" s="338">
        <f t="shared" si="15"/>
        <v>4.4393882553983474E-4</v>
      </c>
    </row>
    <row r="52" spans="1:31" ht="15">
      <c r="A52" s="342"/>
      <c r="B52" s="348"/>
      <c r="C52" s="342"/>
      <c r="D52" s="342"/>
      <c r="E52" s="342"/>
      <c r="F52" s="342"/>
      <c r="G52" s="342">
        <f>SUM(G12:G51)</f>
        <v>1.4549035851666081</v>
      </c>
      <c r="O52" s="349"/>
      <c r="Q52" s="338">
        <v>20</v>
      </c>
      <c r="R52" s="338">
        <v>25</v>
      </c>
      <c r="S52" s="338">
        <v>29.5</v>
      </c>
      <c r="T52" s="338">
        <f t="shared" si="8"/>
        <v>4.2986442428448459</v>
      </c>
      <c r="U52" s="338">
        <f t="shared" si="9"/>
        <v>4.0093957326264764</v>
      </c>
      <c r="V52" s="342">
        <f t="shared" si="10"/>
        <v>29.210751489781629</v>
      </c>
      <c r="W52" s="338">
        <f t="shared" si="11"/>
        <v>8.366470066354724E-2</v>
      </c>
      <c r="Y52" s="338">
        <v>20</v>
      </c>
      <c r="Z52" s="338">
        <v>26.4</v>
      </c>
      <c r="AA52" s="338">
        <v>29</v>
      </c>
      <c r="AB52" s="338">
        <f t="shared" si="12"/>
        <v>2.5805390543451328</v>
      </c>
      <c r="AC52" s="338">
        <f t="shared" si="13"/>
        <v>2.9232257787235221</v>
      </c>
      <c r="AD52" s="342">
        <f t="shared" si="14"/>
        <v>29.342686724378392</v>
      </c>
      <c r="AE52" s="338">
        <f t="shared" si="15"/>
        <v>0.1174341910651923</v>
      </c>
    </row>
    <row r="53" spans="1:31" ht="15">
      <c r="A53" s="342"/>
      <c r="B53" s="348"/>
      <c r="C53" s="342"/>
      <c r="D53" s="342"/>
      <c r="E53" s="342"/>
      <c r="F53" s="342"/>
      <c r="G53" s="342"/>
      <c r="O53" s="349"/>
      <c r="Q53" s="338">
        <v>20.5</v>
      </c>
      <c r="R53" s="338">
        <v>22</v>
      </c>
      <c r="S53" s="338">
        <v>29.5</v>
      </c>
      <c r="T53" s="338">
        <f t="shared" si="8"/>
        <v>4.2986442428448459</v>
      </c>
      <c r="U53" s="338">
        <f t="shared" si="9"/>
        <v>3.8308504522558127</v>
      </c>
      <c r="V53" s="342">
        <f t="shared" si="10"/>
        <v>29.032206209410965</v>
      </c>
      <c r="W53" s="338">
        <f t="shared" si="11"/>
        <v>0.21883103051365754</v>
      </c>
      <c r="Y53" s="338">
        <v>20.5</v>
      </c>
      <c r="Z53" s="338">
        <v>26</v>
      </c>
      <c r="AA53" s="338">
        <v>29</v>
      </c>
      <c r="AB53" s="338">
        <f t="shared" si="12"/>
        <v>2.5805390543451328</v>
      </c>
      <c r="AC53" s="338">
        <f t="shared" si="13"/>
        <v>2.7930495125092016</v>
      </c>
      <c r="AD53" s="342">
        <f t="shared" si="14"/>
        <v>29.212510458164072</v>
      </c>
      <c r="AE53" s="338">
        <f t="shared" si="15"/>
        <v>4.5160694829103794E-2</v>
      </c>
    </row>
    <row r="54" spans="1:31" ht="15">
      <c r="A54" s="342"/>
      <c r="B54" s="348"/>
      <c r="C54" s="342"/>
      <c r="D54" s="342"/>
      <c r="E54" s="342"/>
      <c r="F54" s="342"/>
      <c r="G54" s="342"/>
      <c r="O54" s="349"/>
      <c r="Q54" s="338">
        <v>21</v>
      </c>
      <c r="R54" s="338">
        <v>23</v>
      </c>
      <c r="S54" s="338">
        <v>29</v>
      </c>
      <c r="T54" s="338">
        <f t="shared" si="8"/>
        <v>3.7986442428448459</v>
      </c>
      <c r="U54" s="338">
        <f t="shared" si="9"/>
        <v>3.660256099972198</v>
      </c>
      <c r="V54" s="342">
        <f t="shared" si="10"/>
        <v>28.86161185712735</v>
      </c>
      <c r="W54" s="338">
        <f t="shared" si="11"/>
        <v>1.9151278087740895E-2</v>
      </c>
      <c r="Y54" s="338">
        <v>21</v>
      </c>
      <c r="Z54" s="338">
        <v>26.2</v>
      </c>
      <c r="AA54" s="338">
        <v>29</v>
      </c>
      <c r="AB54" s="338">
        <f t="shared" si="12"/>
        <v>2.5805390543451328</v>
      </c>
      <c r="AC54" s="338">
        <f t="shared" si="13"/>
        <v>2.6686702190805072</v>
      </c>
      <c r="AD54" s="342">
        <f t="shared" si="14"/>
        <v>29.088131164735376</v>
      </c>
      <c r="AE54" s="338">
        <f t="shared" si="15"/>
        <v>7.7671021976140151E-3</v>
      </c>
    </row>
    <row r="55" spans="1:31" ht="15">
      <c r="A55" s="342"/>
      <c r="B55" s="348"/>
      <c r="C55" s="342"/>
      <c r="D55" s="342"/>
      <c r="E55" s="342"/>
      <c r="F55" s="342"/>
      <c r="G55" s="342"/>
      <c r="O55" s="349"/>
      <c r="Q55" s="338">
        <v>21.5</v>
      </c>
      <c r="R55" s="338">
        <v>24</v>
      </c>
      <c r="S55" s="338">
        <v>29</v>
      </c>
      <c r="T55" s="338">
        <f t="shared" si="8"/>
        <v>3.7986442428448459</v>
      </c>
      <c r="U55" s="338">
        <f t="shared" si="9"/>
        <v>3.4972586072877174</v>
      </c>
      <c r="V55" s="342">
        <f t="shared" si="10"/>
        <v>28.698614364442868</v>
      </c>
      <c r="W55" s="338">
        <f t="shared" si="11"/>
        <v>9.0833301320176418E-2</v>
      </c>
      <c r="Y55" s="338">
        <v>21.5</v>
      </c>
      <c r="Z55" s="338">
        <v>25.8</v>
      </c>
      <c r="AA55" s="338">
        <v>28.5</v>
      </c>
      <c r="AB55" s="338">
        <f t="shared" si="12"/>
        <v>2.0805390543451328</v>
      </c>
      <c r="AC55" s="338">
        <f t="shared" si="13"/>
        <v>2.5498297492797275</v>
      </c>
      <c r="AD55" s="342">
        <f t="shared" si="14"/>
        <v>28.969290694934596</v>
      </c>
      <c r="AE55" s="338">
        <f t="shared" si="15"/>
        <v>0.22023375635219611</v>
      </c>
    </row>
    <row r="56" spans="1:31" ht="15">
      <c r="A56" s="342"/>
      <c r="B56" s="348"/>
      <c r="C56" s="342"/>
      <c r="D56" s="342"/>
      <c r="E56" s="342"/>
      <c r="F56" s="342"/>
      <c r="G56" s="342"/>
      <c r="O56" s="349"/>
      <c r="Q56" s="338">
        <v>22</v>
      </c>
      <c r="R56" s="338">
        <v>22</v>
      </c>
      <c r="S56" s="338">
        <v>29</v>
      </c>
      <c r="T56" s="338">
        <f t="shared" si="8"/>
        <v>3.7986442428448459</v>
      </c>
      <c r="U56" s="338">
        <f t="shared" si="9"/>
        <v>3.3415196729925332</v>
      </c>
      <c r="V56" s="342">
        <f t="shared" si="10"/>
        <v>28.542875430147685</v>
      </c>
      <c r="W56" s="338">
        <f t="shared" si="11"/>
        <v>0.208962872362664</v>
      </c>
      <c r="Y56" s="338">
        <v>22</v>
      </c>
      <c r="Z56" s="338">
        <v>26</v>
      </c>
      <c r="AA56" s="338">
        <v>28.5</v>
      </c>
      <c r="AB56" s="338">
        <f t="shared" si="12"/>
        <v>2.0805390543451328</v>
      </c>
      <c r="AC56" s="338">
        <f t="shared" si="13"/>
        <v>2.4362814497746599</v>
      </c>
      <c r="AD56" s="342">
        <f t="shared" si="14"/>
        <v>28.85574239542953</v>
      </c>
      <c r="AE56" s="338">
        <f t="shared" si="15"/>
        <v>0.12655265190594026</v>
      </c>
    </row>
    <row r="57" spans="1:31" ht="15">
      <c r="A57" s="342"/>
      <c r="B57" s="348"/>
      <c r="C57" s="342"/>
      <c r="D57" s="342"/>
      <c r="E57" s="342"/>
      <c r="F57" s="342"/>
      <c r="G57" s="342"/>
      <c r="Q57" s="338">
        <v>22.5</v>
      </c>
      <c r="R57" s="338">
        <v>25</v>
      </c>
      <c r="S57" s="338">
        <v>28.5</v>
      </c>
      <c r="T57" s="338">
        <f t="shared" si="8"/>
        <v>3.2986442428448459</v>
      </c>
      <c r="U57" s="338">
        <f t="shared" si="9"/>
        <v>3.1927160610109069</v>
      </c>
      <c r="V57" s="342">
        <f t="shared" si="10"/>
        <v>28.394071818166058</v>
      </c>
      <c r="W57" s="338">
        <f t="shared" si="11"/>
        <v>1.1220779706644712E-2</v>
      </c>
      <c r="Y57" s="338">
        <v>22.5</v>
      </c>
      <c r="Z57" s="338">
        <v>26.6</v>
      </c>
      <c r="AA57" s="338">
        <v>28.5</v>
      </c>
      <c r="AB57" s="338">
        <f t="shared" si="12"/>
        <v>2.0805390543451328</v>
      </c>
      <c r="AC57" s="338">
        <f t="shared" si="13"/>
        <v>2.3277896511297524</v>
      </c>
      <c r="AD57" s="342">
        <f t="shared" si="14"/>
        <v>28.747250596784621</v>
      </c>
      <c r="AE57" s="338">
        <f t="shared" si="15"/>
        <v>6.1132857610351247E-2</v>
      </c>
    </row>
    <row r="58" spans="1:31" ht="15">
      <c r="A58" s="342"/>
      <c r="B58" s="348"/>
      <c r="C58" s="342"/>
      <c r="D58" s="342"/>
      <c r="E58" s="342"/>
      <c r="F58" s="342"/>
      <c r="G58" s="342"/>
      <c r="Q58" s="338">
        <v>23</v>
      </c>
      <c r="R58" s="338">
        <v>25</v>
      </c>
      <c r="S58" s="338">
        <v>28.5</v>
      </c>
      <c r="T58" s="338">
        <f t="shared" si="8"/>
        <v>3.2986442428448459</v>
      </c>
      <c r="U58" s="338">
        <f t="shared" si="9"/>
        <v>3.0505389295248877</v>
      </c>
      <c r="V58" s="342">
        <f t="shared" si="10"/>
        <v>28.251894686680039</v>
      </c>
      <c r="W58" s="338">
        <f t="shared" si="11"/>
        <v>6.1556246497595959E-2</v>
      </c>
      <c r="Y58" s="338">
        <v>23</v>
      </c>
      <c r="Z58" s="338">
        <v>26.6</v>
      </c>
      <c r="AA58" s="338">
        <v>28</v>
      </c>
      <c r="AB58" s="338">
        <f t="shared" si="12"/>
        <v>1.5805390543451325</v>
      </c>
      <c r="AC58" s="338">
        <f t="shared" si="13"/>
        <v>2.22412917867431</v>
      </c>
      <c r="AD58" s="342">
        <f t="shared" si="14"/>
        <v>28.64359012432918</v>
      </c>
      <c r="AE58" s="338">
        <f t="shared" si="15"/>
        <v>0.41420824813404872</v>
      </c>
    </row>
    <row r="59" spans="1:31" ht="15">
      <c r="A59" s="342"/>
      <c r="B59" s="348"/>
      <c r="C59" s="342"/>
      <c r="D59" s="342"/>
      <c r="E59" s="342"/>
      <c r="F59" s="342"/>
      <c r="G59" s="342"/>
      <c r="Q59" s="338">
        <v>23.5</v>
      </c>
      <c r="R59" s="338">
        <v>25</v>
      </c>
      <c r="S59" s="338">
        <v>28.5</v>
      </c>
      <c r="T59" s="338">
        <f t="shared" si="8"/>
        <v>3.2986442428448459</v>
      </c>
      <c r="U59" s="338">
        <f t="shared" si="9"/>
        <v>2.9146931899732946</v>
      </c>
      <c r="V59" s="342">
        <f t="shared" si="10"/>
        <v>28.116048947128448</v>
      </c>
      <c r="W59" s="338">
        <f t="shared" si="11"/>
        <v>0.14741841100117345</v>
      </c>
      <c r="Y59" s="338">
        <v>23.5</v>
      </c>
      <c r="Z59" s="338">
        <v>26.4</v>
      </c>
      <c r="AA59" s="338">
        <v>28</v>
      </c>
      <c r="AB59" s="338">
        <f t="shared" si="12"/>
        <v>1.5805390543451325</v>
      </c>
      <c r="AC59" s="338">
        <f t="shared" si="13"/>
        <v>2.1250848851525923</v>
      </c>
      <c r="AD59" s="342">
        <f t="shared" si="14"/>
        <v>28.544545830807461</v>
      </c>
      <c r="AE59" s="338">
        <f t="shared" si="15"/>
        <v>0.29653016184978831</v>
      </c>
    </row>
    <row r="60" spans="1:31">
      <c r="G60" s="342"/>
      <c r="W60" s="342">
        <f>SUM(W12:W59)</f>
        <v>5.6124637787839156</v>
      </c>
      <c r="AE60" s="342">
        <f>SUM(AE12:AE59)</f>
        <v>5.6502060017530225</v>
      </c>
    </row>
    <row r="83" spans="1:12" ht="15">
      <c r="B83" s="345" t="s">
        <v>387</v>
      </c>
      <c r="C83" s="345"/>
      <c r="D83" s="345"/>
      <c r="E83" s="345"/>
      <c r="F83" s="345"/>
      <c r="G83" s="345"/>
      <c r="H83" s="345"/>
      <c r="I83" s="345"/>
    </row>
    <row r="84" spans="1:12" ht="12.75" thickBot="1"/>
    <row r="85" spans="1:12" ht="17.25" customHeight="1" thickTop="1">
      <c r="A85" s="615" t="s">
        <v>270</v>
      </c>
      <c r="B85" s="619" t="s">
        <v>59</v>
      </c>
      <c r="C85" s="619" t="s">
        <v>395</v>
      </c>
      <c r="D85" s="615" t="s">
        <v>34</v>
      </c>
      <c r="E85" s="619" t="s">
        <v>388</v>
      </c>
      <c r="F85" s="619"/>
      <c r="G85" s="619"/>
      <c r="H85" s="619"/>
      <c r="I85" s="619"/>
      <c r="J85" s="619"/>
      <c r="K85" s="619"/>
      <c r="L85" s="619"/>
    </row>
    <row r="86" spans="1:12" ht="17.25" customHeight="1" thickBot="1">
      <c r="A86" s="616"/>
      <c r="B86" s="577"/>
      <c r="C86" s="577"/>
      <c r="D86" s="616"/>
      <c r="E86" s="363" t="s">
        <v>392</v>
      </c>
      <c r="F86" s="363" t="s">
        <v>377</v>
      </c>
      <c r="G86" s="363" t="s">
        <v>392</v>
      </c>
      <c r="H86" s="363" t="s">
        <v>377</v>
      </c>
      <c r="I86" s="363" t="s">
        <v>392</v>
      </c>
      <c r="J86" s="363" t="s">
        <v>377</v>
      </c>
      <c r="K86" s="363" t="s">
        <v>392</v>
      </c>
      <c r="L86" s="363" t="s">
        <v>377</v>
      </c>
    </row>
    <row r="87" spans="1:12" ht="13.5" thickTop="1" thickBot="1">
      <c r="A87" s="617"/>
      <c r="B87" s="620"/>
      <c r="C87" s="620"/>
      <c r="D87" s="617"/>
      <c r="E87" s="621">
        <v>200</v>
      </c>
      <c r="F87" s="621"/>
      <c r="G87" s="621">
        <v>300</v>
      </c>
      <c r="H87" s="621"/>
      <c r="I87" s="621">
        <v>400</v>
      </c>
      <c r="J87" s="621"/>
      <c r="K87" s="621">
        <v>500</v>
      </c>
      <c r="L87" s="621"/>
    </row>
    <row r="88" spans="1:12" ht="12.75" thickTop="1">
      <c r="A88" s="618">
        <v>0.42</v>
      </c>
      <c r="B88" s="610" t="s">
        <v>71</v>
      </c>
      <c r="C88" s="622">
        <v>2E-3</v>
      </c>
      <c r="D88" s="352" t="s">
        <v>362</v>
      </c>
      <c r="E88" s="353">
        <f>R6</f>
        <v>0.21177414140414075</v>
      </c>
      <c r="F88" s="353">
        <f>Z6</f>
        <v>0.21177414140414075</v>
      </c>
      <c r="G88" s="353">
        <v>0.21199999999999999</v>
      </c>
      <c r="H88" s="353">
        <v>0.21199999999999999</v>
      </c>
      <c r="I88" s="353">
        <v>0.21199999999999999</v>
      </c>
      <c r="J88" s="353">
        <v>0.21199999999999999</v>
      </c>
      <c r="K88" s="353">
        <v>0.21199999999999999</v>
      </c>
      <c r="L88" s="353">
        <v>0.21199999999999999</v>
      </c>
    </row>
    <row r="89" spans="1:12">
      <c r="A89" s="616"/>
      <c r="B89" s="610"/>
      <c r="C89" s="622"/>
      <c r="D89" s="352" t="s">
        <v>371</v>
      </c>
      <c r="E89" s="441">
        <f>R8</f>
        <v>24.791666666666668</v>
      </c>
      <c r="F89" s="353">
        <f>Z8</f>
        <v>26.000000000000004</v>
      </c>
      <c r="G89" s="353">
        <v>24.5</v>
      </c>
      <c r="H89" s="353">
        <v>24</v>
      </c>
      <c r="I89" s="353">
        <v>23.5</v>
      </c>
      <c r="J89" s="353">
        <v>23.5</v>
      </c>
      <c r="K89" s="353">
        <v>24</v>
      </c>
      <c r="L89" s="353">
        <v>24</v>
      </c>
    </row>
    <row r="90" spans="1:12" ht="12.75" thickBot="1">
      <c r="A90" s="616"/>
      <c r="B90" s="610"/>
      <c r="C90" s="622"/>
      <c r="D90" s="352" t="s">
        <v>394</v>
      </c>
      <c r="E90" s="353">
        <f>R7</f>
        <v>8.6761555380842473E-2</v>
      </c>
      <c r="F90" s="353">
        <f>Z7</f>
        <v>8.8830981618627736E-2</v>
      </c>
      <c r="G90" s="353">
        <v>0.217</v>
      </c>
      <c r="H90" s="353">
        <v>0.20100000000000001</v>
      </c>
      <c r="I90" s="353">
        <v>0.27600000000000002</v>
      </c>
      <c r="J90" s="353">
        <v>0.313</v>
      </c>
      <c r="K90" s="353">
        <v>0.47399999999999998</v>
      </c>
      <c r="L90" s="353">
        <v>0.48199999999999998</v>
      </c>
    </row>
    <row r="91" spans="1:12" ht="12.75" thickBot="1">
      <c r="A91" s="616"/>
      <c r="B91" s="610"/>
      <c r="C91" s="622"/>
      <c r="D91" s="352" t="s">
        <v>393</v>
      </c>
      <c r="E91" s="354">
        <f>AVERAGE(E90:F90)</f>
        <v>8.7796268499735097E-2</v>
      </c>
      <c r="F91" s="353"/>
      <c r="G91" s="354">
        <f>AVERAGE(G90:H90)</f>
        <v>0.20900000000000002</v>
      </c>
      <c r="H91" s="353"/>
      <c r="I91" s="354">
        <f>AVERAGE(I90:J90)</f>
        <v>0.29449999999999998</v>
      </c>
      <c r="J91" s="353"/>
      <c r="K91" s="354">
        <f>AVERAGE(K90:L90)</f>
        <v>0.47799999999999998</v>
      </c>
      <c r="L91" s="353"/>
    </row>
    <row r="92" spans="1:12">
      <c r="A92" s="616"/>
      <c r="B92" s="610"/>
      <c r="C92" s="622"/>
      <c r="D92" s="352" t="s">
        <v>390</v>
      </c>
      <c r="E92" s="353">
        <f>_xlfn.STDEV.S(E90:F90)</f>
        <v>1.4633053259033241E-3</v>
      </c>
      <c r="F92" s="353"/>
      <c r="G92" s="353">
        <f>_xlfn.STDEV.S(G90:H90)</f>
        <v>1.1313708498984752E-2</v>
      </c>
      <c r="H92" s="353"/>
      <c r="I92" s="353">
        <f>_xlfn.STDEV.S(I90:J90)</f>
        <v>2.6162950903902242E-2</v>
      </c>
      <c r="J92" s="353"/>
      <c r="K92" s="353">
        <f>_xlfn.STDEV.S(K90:L90)</f>
        <v>5.6568542494923853E-3</v>
      </c>
      <c r="L92" s="353"/>
    </row>
    <row r="93" spans="1:12">
      <c r="A93" s="616"/>
      <c r="B93" s="610"/>
      <c r="C93" s="622"/>
      <c r="D93" s="352" t="s">
        <v>391</v>
      </c>
      <c r="E93" s="353">
        <f>E91/C88</f>
        <v>43.898134249867546</v>
      </c>
      <c r="F93" s="353"/>
      <c r="G93" s="353">
        <f>G91/C88</f>
        <v>104.50000000000001</v>
      </c>
      <c r="H93" s="353"/>
      <c r="I93" s="353">
        <f>I91/C88</f>
        <v>147.25</v>
      </c>
      <c r="J93" s="353"/>
      <c r="K93" s="353">
        <f>K91/C88</f>
        <v>238.99999999999997</v>
      </c>
      <c r="L93" s="353"/>
    </row>
    <row r="94" spans="1:12">
      <c r="A94" s="618">
        <v>0.79</v>
      </c>
      <c r="B94" s="610" t="s">
        <v>72</v>
      </c>
      <c r="C94" s="611">
        <v>3.0000000000000001E-3</v>
      </c>
      <c r="D94" s="355" t="s">
        <v>362</v>
      </c>
      <c r="E94" s="356">
        <f>B6</f>
        <v>0.25329422168665117</v>
      </c>
      <c r="F94" s="356">
        <f>J6</f>
        <v>0.25329422168665117</v>
      </c>
      <c r="G94" s="356">
        <v>0.253</v>
      </c>
      <c r="H94" s="356">
        <v>0.253</v>
      </c>
      <c r="I94" s="356">
        <v>0.253</v>
      </c>
      <c r="J94" s="356">
        <v>0.253</v>
      </c>
      <c r="K94" s="356">
        <v>0.253</v>
      </c>
      <c r="L94" s="356">
        <v>0.253</v>
      </c>
    </row>
    <row r="95" spans="1:12">
      <c r="A95" s="616"/>
      <c r="B95" s="610"/>
      <c r="C95" s="611"/>
      <c r="D95" s="355" t="s">
        <v>371</v>
      </c>
      <c r="E95" s="442">
        <f>B8</f>
        <v>23.177499999999995</v>
      </c>
      <c r="F95" s="443">
        <f>J8</f>
        <v>23.993548387096777</v>
      </c>
      <c r="G95" s="356">
        <v>22.4</v>
      </c>
      <c r="H95" s="356">
        <v>22.1</v>
      </c>
      <c r="I95" s="356">
        <v>21.2</v>
      </c>
      <c r="J95" s="356">
        <v>23.5</v>
      </c>
      <c r="K95" s="356">
        <v>23.1</v>
      </c>
      <c r="L95" s="356">
        <v>22</v>
      </c>
    </row>
    <row r="96" spans="1:12" ht="12.75" thickBot="1">
      <c r="A96" s="616"/>
      <c r="B96" s="610"/>
      <c r="C96" s="611"/>
      <c r="D96" s="355" t="s">
        <v>369</v>
      </c>
      <c r="E96" s="356">
        <f>B7</f>
        <v>0.15</v>
      </c>
      <c r="F96" s="356">
        <f>J7</f>
        <v>0.18091137674366264</v>
      </c>
      <c r="G96" s="356">
        <v>0.4</v>
      </c>
      <c r="H96" s="356">
        <v>0.38</v>
      </c>
      <c r="I96" s="356">
        <v>0.54</v>
      </c>
      <c r="J96" s="356">
        <v>0.63</v>
      </c>
      <c r="K96" s="356">
        <v>0.95</v>
      </c>
      <c r="L96" s="356">
        <v>0.99</v>
      </c>
    </row>
    <row r="97" spans="1:20" ht="12.75" thickBot="1">
      <c r="A97" s="616"/>
      <c r="B97" s="610"/>
      <c r="C97" s="611"/>
      <c r="D97" s="355" t="s">
        <v>389</v>
      </c>
      <c r="E97" s="357">
        <f>AVERAGE(E96:F96)</f>
        <v>0.16545568837183133</v>
      </c>
      <c r="F97" s="356"/>
      <c r="G97" s="357">
        <f>AVERAGE(G96:H96)</f>
        <v>0.39</v>
      </c>
      <c r="H97" s="356"/>
      <c r="I97" s="357">
        <f>AVERAGE(I96:J96)</f>
        <v>0.58499999999999996</v>
      </c>
      <c r="J97" s="356"/>
      <c r="K97" s="357">
        <f>AVERAGE(K96:L96)</f>
        <v>0.97</v>
      </c>
      <c r="L97" s="356"/>
    </row>
    <row r="98" spans="1:20">
      <c r="A98" s="616"/>
      <c r="B98" s="610"/>
      <c r="C98" s="611"/>
      <c r="D98" s="355" t="s">
        <v>390</v>
      </c>
      <c r="E98" s="356">
        <f>_xlfn.STDEV.S(E96:F96)</f>
        <v>2.1857644111256E-2</v>
      </c>
      <c r="F98" s="356"/>
      <c r="G98" s="356">
        <f>_xlfn.STDEV.S(G96:H96)</f>
        <v>1.4142135623730963E-2</v>
      </c>
      <c r="H98" s="356"/>
      <c r="I98" s="356">
        <f>_xlfn.STDEV.S(I96:J96)</f>
        <v>6.363961030678926E-2</v>
      </c>
      <c r="J98" s="356"/>
      <c r="K98" s="356">
        <f>_xlfn.STDEV.S(K96:L96)</f>
        <v>2.8284271247461926E-2</v>
      </c>
      <c r="L98" s="356"/>
    </row>
    <row r="99" spans="1:20">
      <c r="A99" s="616"/>
      <c r="B99" s="610"/>
      <c r="C99" s="611"/>
      <c r="D99" s="355" t="s">
        <v>391</v>
      </c>
      <c r="E99" s="356">
        <f>E97/C94</f>
        <v>55.151896123943779</v>
      </c>
      <c r="F99" s="356"/>
      <c r="G99" s="356">
        <f>G97/C94</f>
        <v>130</v>
      </c>
      <c r="H99" s="356"/>
      <c r="I99" s="356">
        <f>I97/C94</f>
        <v>194.99999999999997</v>
      </c>
      <c r="J99" s="356"/>
      <c r="K99" s="356">
        <f>K97/C94</f>
        <v>323.33333333333331</v>
      </c>
      <c r="L99" s="356"/>
    </row>
    <row r="100" spans="1:20">
      <c r="A100" s="618" t="s">
        <v>292</v>
      </c>
      <c r="B100" s="610" t="s">
        <v>73</v>
      </c>
      <c r="C100" s="613">
        <v>4.0000000000000001E-3</v>
      </c>
      <c r="D100" s="358" t="s">
        <v>362</v>
      </c>
      <c r="E100" s="359">
        <v>0.27400000000000002</v>
      </c>
      <c r="F100" s="359">
        <v>0.27400000000000002</v>
      </c>
      <c r="G100" s="359">
        <v>0.27400000000000002</v>
      </c>
      <c r="H100" s="359">
        <v>0.27400000000000002</v>
      </c>
      <c r="I100" s="359">
        <v>0.27400000000000002</v>
      </c>
      <c r="J100" s="359">
        <v>0.27400000000000002</v>
      </c>
      <c r="K100" s="359">
        <v>0.27400000000000002</v>
      </c>
      <c r="L100" s="359">
        <v>0.27400000000000002</v>
      </c>
      <c r="T100" s="340" t="s">
        <v>410</v>
      </c>
    </row>
    <row r="101" spans="1:20">
      <c r="A101" s="616"/>
      <c r="B101" s="610"/>
      <c r="C101" s="613"/>
      <c r="D101" s="358" t="s">
        <v>371</v>
      </c>
      <c r="E101" s="359">
        <v>24.3</v>
      </c>
      <c r="F101" s="359">
        <v>24.5</v>
      </c>
      <c r="G101" s="359">
        <v>21.6</v>
      </c>
      <c r="H101" s="359">
        <v>22.3</v>
      </c>
      <c r="I101" s="359">
        <v>22.4</v>
      </c>
      <c r="J101" s="359">
        <v>22.2</v>
      </c>
      <c r="K101" s="359">
        <v>22.9</v>
      </c>
      <c r="L101" s="359">
        <v>23.1</v>
      </c>
    </row>
    <row r="102" spans="1:20" ht="12.75" thickBot="1">
      <c r="A102" s="616"/>
      <c r="B102" s="610"/>
      <c r="C102" s="613"/>
      <c r="D102" s="358" t="s">
        <v>369</v>
      </c>
      <c r="E102" s="359">
        <v>0.18</v>
      </c>
      <c r="F102" s="359">
        <v>0.25</v>
      </c>
      <c r="G102" s="359">
        <v>0.63</v>
      </c>
      <c r="H102" s="359">
        <v>0.76</v>
      </c>
      <c r="I102" s="359">
        <v>0.96</v>
      </c>
      <c r="J102" s="359">
        <v>0.85</v>
      </c>
      <c r="K102" s="359">
        <v>1.19</v>
      </c>
      <c r="L102" s="359">
        <v>1.33</v>
      </c>
    </row>
    <row r="103" spans="1:20" ht="12.75" thickBot="1">
      <c r="A103" s="616"/>
      <c r="B103" s="610"/>
      <c r="C103" s="613"/>
      <c r="D103" s="358" t="s">
        <v>389</v>
      </c>
      <c r="E103" s="360">
        <f>AVERAGE(E102:F102)</f>
        <v>0.215</v>
      </c>
      <c r="F103" s="359"/>
      <c r="G103" s="360">
        <f>AVERAGE(G102:H102)</f>
        <v>0.69500000000000006</v>
      </c>
      <c r="H103" s="359"/>
      <c r="I103" s="360">
        <f>AVERAGE(I102:J102)</f>
        <v>0.90500000000000003</v>
      </c>
      <c r="J103" s="359"/>
      <c r="K103" s="360">
        <f>AVERAGE(K102:L102)</f>
        <v>1.26</v>
      </c>
      <c r="L103" s="359"/>
    </row>
    <row r="104" spans="1:20">
      <c r="A104" s="616"/>
      <c r="B104" s="610"/>
      <c r="C104" s="613"/>
      <c r="D104" s="358" t="s">
        <v>390</v>
      </c>
      <c r="E104" s="359">
        <f>_xlfn.STDEV.S(E102:F102)</f>
        <v>4.9497474683058408E-2</v>
      </c>
      <c r="F104" s="359"/>
      <c r="G104" s="359">
        <f>_xlfn.STDEV.S(G102:H102)</f>
        <v>9.1923881554251172E-2</v>
      </c>
      <c r="H104" s="359"/>
      <c r="I104" s="359">
        <f>_xlfn.STDEV.S(I102:J102)</f>
        <v>7.7781745930520216E-2</v>
      </c>
      <c r="J104" s="359"/>
      <c r="K104" s="359">
        <f>_xlfn.STDEV.S(K102:L102)</f>
        <v>9.8994949366116733E-2</v>
      </c>
      <c r="L104" s="359"/>
    </row>
    <row r="105" spans="1:20" ht="12.75" thickBot="1">
      <c r="A105" s="617"/>
      <c r="B105" s="612"/>
      <c r="C105" s="614"/>
      <c r="D105" s="361" t="s">
        <v>391</v>
      </c>
      <c r="E105" s="362">
        <f>E103/0.004</f>
        <v>53.75</v>
      </c>
      <c r="F105" s="362"/>
      <c r="G105" s="362">
        <f>G103/0.004</f>
        <v>173.75</v>
      </c>
      <c r="H105" s="362"/>
      <c r="I105" s="362">
        <f>I103/0.004</f>
        <v>226.25</v>
      </c>
      <c r="J105" s="362"/>
      <c r="K105" s="362">
        <f>K103/0.004</f>
        <v>315</v>
      </c>
      <c r="L105" s="362"/>
    </row>
    <row r="106" spans="1:20" ht="12.75" thickTop="1"/>
    <row r="107" spans="1:20">
      <c r="A107" s="603" t="s">
        <v>396</v>
      </c>
      <c r="B107" s="603"/>
      <c r="C107" s="603"/>
      <c r="D107" s="603"/>
      <c r="E107" s="603"/>
      <c r="F107" s="603"/>
      <c r="G107" s="603"/>
      <c r="H107" s="603"/>
    </row>
    <row r="108" spans="1:20">
      <c r="B108" s="340" t="s">
        <v>398</v>
      </c>
      <c r="C108" s="340" t="s">
        <v>308</v>
      </c>
      <c r="D108" s="340" t="s">
        <v>397</v>
      </c>
      <c r="F108" s="340" t="s">
        <v>398</v>
      </c>
      <c r="G108" s="340" t="s">
        <v>308</v>
      </c>
      <c r="H108" s="340" t="s">
        <v>397</v>
      </c>
      <c r="J108" s="604" t="s">
        <v>399</v>
      </c>
      <c r="K108" s="605"/>
      <c r="L108" s="605"/>
      <c r="M108" s="605"/>
      <c r="N108" s="605"/>
      <c r="O108" s="606"/>
    </row>
    <row r="109" spans="1:20">
      <c r="A109" s="584" t="s">
        <v>411</v>
      </c>
      <c r="B109" s="340">
        <v>100</v>
      </c>
      <c r="C109" s="364">
        <f>'4'!C5</f>
        <v>659.33333333333337</v>
      </c>
      <c r="D109" s="364">
        <f>'4'!D5</f>
        <v>181.99244440971233</v>
      </c>
      <c r="E109" s="584" t="s">
        <v>413</v>
      </c>
      <c r="F109" s="340">
        <v>100</v>
      </c>
      <c r="G109" s="364">
        <f>'4'!K5</f>
        <v>70.666666666666671</v>
      </c>
      <c r="H109" s="364">
        <f>'4'!L5</f>
        <v>1.9001286506152393</v>
      </c>
      <c r="J109" s="607"/>
      <c r="K109" s="608"/>
      <c r="L109" s="608"/>
      <c r="M109" s="608"/>
      <c r="N109" s="608"/>
      <c r="O109" s="609"/>
    </row>
    <row r="110" spans="1:20">
      <c r="A110" s="584"/>
      <c r="B110" s="340">
        <v>200</v>
      </c>
      <c r="C110" s="364">
        <f>'4'!C6</f>
        <v>162</v>
      </c>
      <c r="D110" s="364">
        <f>'4'!D6</f>
        <v>15.360915771311728</v>
      </c>
      <c r="E110" s="584"/>
      <c r="F110" s="340">
        <v>200</v>
      </c>
      <c r="G110" s="364">
        <f>'4'!K6</f>
        <v>24.666666666666668</v>
      </c>
      <c r="H110" s="364">
        <f>'4'!L6</f>
        <v>1.7809984715197136</v>
      </c>
      <c r="J110" s="365" t="s">
        <v>59</v>
      </c>
      <c r="K110" s="365" t="s">
        <v>400</v>
      </c>
      <c r="L110" s="365" t="s">
        <v>222</v>
      </c>
      <c r="M110" s="365" t="s">
        <v>388</v>
      </c>
      <c r="N110" s="365" t="s">
        <v>401</v>
      </c>
      <c r="O110" s="365" t="s">
        <v>402</v>
      </c>
    </row>
    <row r="111" spans="1:20">
      <c r="A111" s="584"/>
      <c r="B111" s="340">
        <v>300</v>
      </c>
      <c r="C111" s="364">
        <f>'4'!C7</f>
        <v>136.66666666666666</v>
      </c>
      <c r="D111" s="364">
        <f>'4'!D7</f>
        <v>25.787184586319018</v>
      </c>
      <c r="E111" s="584"/>
      <c r="F111" s="340">
        <v>300</v>
      </c>
      <c r="G111" s="364">
        <f>'4'!K7</f>
        <v>19.666666666666668</v>
      </c>
      <c r="H111" s="364">
        <f>'4'!L7</f>
        <v>1.3477594576019696</v>
      </c>
      <c r="J111" s="597">
        <v>2</v>
      </c>
      <c r="K111" s="591">
        <f>J111/1000</f>
        <v>2E-3</v>
      </c>
      <c r="L111" s="365">
        <v>100</v>
      </c>
      <c r="M111" s="594" t="s">
        <v>403</v>
      </c>
      <c r="N111" s="595"/>
      <c r="O111" s="596"/>
    </row>
    <row r="112" spans="1:20">
      <c r="A112" s="584"/>
      <c r="B112" s="340">
        <v>400</v>
      </c>
      <c r="C112" s="364">
        <f>'4'!C8</f>
        <v>84.666666666666671</v>
      </c>
      <c r="D112" s="364">
        <f>'4'!D8</f>
        <v>4.7428495888255009</v>
      </c>
      <c r="E112" s="584"/>
      <c r="F112" s="340">
        <v>400</v>
      </c>
      <c r="G112" s="364">
        <f>'4'!K8</f>
        <v>17.666666666666668</v>
      </c>
      <c r="H112" s="364">
        <f>'4'!L8</f>
        <v>0.68967786361137884</v>
      </c>
      <c r="J112" s="597"/>
      <c r="K112" s="592"/>
      <c r="L112" s="365">
        <v>200</v>
      </c>
      <c r="M112" s="366">
        <v>8.6999999999999994E-2</v>
      </c>
      <c r="N112" s="366">
        <v>2.8E-3</v>
      </c>
      <c r="O112" s="367">
        <f>M112/$K$111</f>
        <v>43.499999999999993</v>
      </c>
    </row>
    <row r="113" spans="1:20">
      <c r="A113" s="584"/>
      <c r="B113" s="340">
        <v>500</v>
      </c>
      <c r="C113" s="364">
        <f>'4'!C9</f>
        <v>81.666666666666671</v>
      </c>
      <c r="D113" s="364">
        <f>'4'!D9</f>
        <v>4.1365914578175218</v>
      </c>
      <c r="E113" s="584"/>
      <c r="F113" s="340">
        <v>500</v>
      </c>
      <c r="G113" s="364">
        <f>'4'!K9</f>
        <v>16.333333333333332</v>
      </c>
      <c r="H113" s="364">
        <f>'4'!L9</f>
        <v>2.6716640673724101</v>
      </c>
      <c r="J113" s="597"/>
      <c r="K113" s="592"/>
      <c r="L113" s="365">
        <v>300</v>
      </c>
      <c r="M113" s="366">
        <v>0.20899999999999999</v>
      </c>
      <c r="N113" s="366">
        <v>1.0999999999999999E-2</v>
      </c>
      <c r="O113" s="367">
        <f t="shared" ref="O113:O115" si="16">M113/$K$111</f>
        <v>104.5</v>
      </c>
    </row>
    <row r="114" spans="1:20">
      <c r="J114" s="597"/>
      <c r="K114" s="592"/>
      <c r="L114" s="365">
        <v>400</v>
      </c>
      <c r="M114" s="366">
        <v>0.29449999999999998</v>
      </c>
      <c r="N114" s="366">
        <v>2.5999999999999999E-2</v>
      </c>
      <c r="O114" s="367">
        <f t="shared" si="16"/>
        <v>147.25</v>
      </c>
    </row>
    <row r="115" spans="1:20">
      <c r="A115" s="584" t="s">
        <v>412</v>
      </c>
      <c r="B115" s="340">
        <v>100</v>
      </c>
      <c r="C115" s="364">
        <f>'4'!G5</f>
        <v>72</v>
      </c>
      <c r="D115" s="364">
        <f>'4'!H5</f>
        <v>6.1523762347025999</v>
      </c>
      <c r="E115" s="584" t="s">
        <v>414</v>
      </c>
      <c r="F115" s="340">
        <v>100</v>
      </c>
      <c r="G115" s="364">
        <f>'4'!O5</f>
        <v>135.33333333333334</v>
      </c>
      <c r="H115" s="364">
        <f>'4'!P5</f>
        <v>3.7783535508942991</v>
      </c>
      <c r="J115" s="597"/>
      <c r="K115" s="593"/>
      <c r="L115" s="365">
        <v>500</v>
      </c>
      <c r="M115" s="366">
        <v>0.47799999999999998</v>
      </c>
      <c r="N115" s="366">
        <v>6.0000000000000001E-3</v>
      </c>
      <c r="O115" s="367">
        <f t="shared" si="16"/>
        <v>238.99999999999997</v>
      </c>
    </row>
    <row r="116" spans="1:20">
      <c r="A116" s="584"/>
      <c r="B116" s="340">
        <v>200</v>
      </c>
      <c r="C116" s="364">
        <f>'4'!G6</f>
        <v>41.333333333333336</v>
      </c>
      <c r="D116" s="364">
        <f>'4'!H6</f>
        <v>2.9351812361230589</v>
      </c>
      <c r="E116" s="584"/>
      <c r="F116" s="340">
        <v>200</v>
      </c>
      <c r="G116" s="364">
        <f>'4'!O6</f>
        <v>68.666666666666671</v>
      </c>
      <c r="H116" s="364">
        <f>'4'!P6</f>
        <v>2.9859597377653229</v>
      </c>
      <c r="J116" s="365"/>
      <c r="K116" s="365"/>
      <c r="L116" s="365"/>
      <c r="M116" s="367"/>
      <c r="N116" s="367"/>
      <c r="O116" s="367"/>
    </row>
    <row r="117" spans="1:20">
      <c r="A117" s="584"/>
      <c r="B117" s="340">
        <v>300</v>
      </c>
      <c r="C117" s="364">
        <f>'4'!G7</f>
        <v>27.666666666666668</v>
      </c>
      <c r="D117" s="364">
        <f>'4'!H7</f>
        <v>0.72179560049150271</v>
      </c>
      <c r="E117" s="584"/>
      <c r="F117" s="340">
        <v>300</v>
      </c>
      <c r="G117" s="364">
        <f>'4'!O7</f>
        <v>46</v>
      </c>
      <c r="H117" s="364">
        <f>'4'!P7</f>
        <v>1.2429534719100848</v>
      </c>
      <c r="J117" s="597">
        <v>3</v>
      </c>
      <c r="K117" s="591">
        <f>J117/1000</f>
        <v>3.0000000000000001E-3</v>
      </c>
      <c r="L117" s="365">
        <v>100</v>
      </c>
      <c r="M117" s="594" t="s">
        <v>403</v>
      </c>
      <c r="N117" s="595"/>
      <c r="O117" s="596"/>
    </row>
    <row r="118" spans="1:20">
      <c r="A118" s="584"/>
      <c r="B118" s="340">
        <v>400</v>
      </c>
      <c r="C118" s="364">
        <f>'4'!G8</f>
        <v>20.666666666666668</v>
      </c>
      <c r="D118" s="364">
        <f>'4'!H8</f>
        <v>1.7759003976074283</v>
      </c>
      <c r="E118" s="584"/>
      <c r="F118" s="340">
        <v>400</v>
      </c>
      <c r="G118" s="364">
        <f>'4'!O8</f>
        <v>35.333333333333336</v>
      </c>
      <c r="H118" s="364">
        <f>'4'!P8</f>
        <v>4.8203688194530887</v>
      </c>
      <c r="J118" s="597"/>
      <c r="K118" s="592"/>
      <c r="L118" s="365">
        <v>200</v>
      </c>
      <c r="M118" s="366">
        <v>0.16500000000000001</v>
      </c>
      <c r="N118" s="366">
        <v>2.1000000000000001E-2</v>
      </c>
      <c r="O118" s="367">
        <f>M118/$K$117</f>
        <v>55</v>
      </c>
    </row>
    <row r="119" spans="1:20">
      <c r="A119" s="584"/>
      <c r="B119" s="340">
        <v>500</v>
      </c>
      <c r="C119" s="364">
        <f>'4'!G9</f>
        <v>20.333333333333332</v>
      </c>
      <c r="D119" s="364">
        <f>'4'!H9</f>
        <v>2.6744075148629758</v>
      </c>
      <c r="E119" s="584"/>
      <c r="F119" s="340">
        <v>500</v>
      </c>
      <c r="G119" s="364">
        <f>'4'!O9</f>
        <v>33.333333333333336</v>
      </c>
      <c r="H119" s="364">
        <f>'4'!P9</f>
        <v>0.74535599249993001</v>
      </c>
      <c r="J119" s="597"/>
      <c r="K119" s="592"/>
      <c r="L119" s="365">
        <v>300</v>
      </c>
      <c r="M119" s="366">
        <v>0.39</v>
      </c>
      <c r="N119" s="366">
        <v>1.4E-2</v>
      </c>
      <c r="O119" s="367">
        <f t="shared" ref="O119:O121" si="17">M119/$K$117</f>
        <v>130</v>
      </c>
    </row>
    <row r="120" spans="1:20" ht="12.75" thickBot="1">
      <c r="J120" s="597"/>
      <c r="K120" s="592"/>
      <c r="L120" s="365">
        <v>400</v>
      </c>
      <c r="M120" s="366">
        <v>0.58499999999999996</v>
      </c>
      <c r="N120" s="366">
        <v>6.4000000000000001E-2</v>
      </c>
      <c r="O120" s="367">
        <f t="shared" si="17"/>
        <v>194.99999999999997</v>
      </c>
      <c r="T120" s="340" t="s">
        <v>416</v>
      </c>
    </row>
    <row r="121" spans="1:20" ht="15">
      <c r="A121" s="588" t="s">
        <v>59</v>
      </c>
      <c r="B121" s="598" t="s">
        <v>404</v>
      </c>
      <c r="C121" s="599"/>
      <c r="D121" s="599"/>
      <c r="E121" s="600"/>
      <c r="J121" s="597"/>
      <c r="K121" s="593"/>
      <c r="L121" s="365">
        <v>500</v>
      </c>
      <c r="M121" s="366">
        <v>0.97</v>
      </c>
      <c r="N121" s="366">
        <v>2.8000000000000001E-2</v>
      </c>
      <c r="O121" s="367">
        <f t="shared" si="17"/>
        <v>323.33333333333331</v>
      </c>
    </row>
    <row r="122" spans="1:20">
      <c r="A122" s="589"/>
      <c r="B122" s="601" t="s">
        <v>405</v>
      </c>
      <c r="C122" s="597"/>
      <c r="D122" s="597"/>
      <c r="E122" s="602"/>
      <c r="J122" s="597">
        <v>4</v>
      </c>
      <c r="K122" s="591">
        <v>4.0000000000000001E-3</v>
      </c>
      <c r="L122" s="365">
        <v>100</v>
      </c>
      <c r="M122" s="594" t="s">
        <v>403</v>
      </c>
      <c r="N122" s="595"/>
      <c r="O122" s="596"/>
    </row>
    <row r="123" spans="1:20" ht="12.75" thickBot="1">
      <c r="A123" s="590"/>
      <c r="B123" s="368" t="s">
        <v>406</v>
      </c>
      <c r="C123" s="365" t="s">
        <v>407</v>
      </c>
      <c r="D123" s="365" t="s">
        <v>408</v>
      </c>
      <c r="E123" s="369" t="s">
        <v>409</v>
      </c>
      <c r="J123" s="597"/>
      <c r="K123" s="592"/>
      <c r="L123" s="365">
        <v>200</v>
      </c>
      <c r="M123" s="366">
        <v>0.215</v>
      </c>
      <c r="N123" s="366">
        <v>4.9500000000000002E-2</v>
      </c>
      <c r="O123" s="367">
        <f>M123/$K$122</f>
        <v>53.75</v>
      </c>
    </row>
    <row r="124" spans="1:20">
      <c r="A124" s="588">
        <v>2</v>
      </c>
      <c r="B124" s="370">
        <v>5.35</v>
      </c>
      <c r="C124" s="371">
        <v>6.64</v>
      </c>
      <c r="D124" s="371">
        <v>7.42</v>
      </c>
      <c r="E124" s="372">
        <v>8.2200000000000006</v>
      </c>
      <c r="J124" s="597"/>
      <c r="K124" s="592"/>
      <c r="L124" s="365">
        <v>300</v>
      </c>
      <c r="M124" s="366">
        <v>0.69499999999999995</v>
      </c>
      <c r="N124" s="366">
        <v>9.1920000000000002E-2</v>
      </c>
      <c r="O124" s="367">
        <f t="shared" ref="O124:O126" si="18">M124/$K$122</f>
        <v>173.74999999999997</v>
      </c>
    </row>
    <row r="125" spans="1:20">
      <c r="A125" s="589"/>
      <c r="B125" s="370">
        <v>6.92</v>
      </c>
      <c r="C125" s="371">
        <v>8.75</v>
      </c>
      <c r="D125" s="371">
        <v>10.029999999999999</v>
      </c>
      <c r="E125" s="372">
        <v>9.9700000000000006</v>
      </c>
      <c r="J125" s="597"/>
      <c r="K125" s="592"/>
      <c r="L125" s="365">
        <v>400</v>
      </c>
      <c r="M125" s="366">
        <v>0.90500000000000003</v>
      </c>
      <c r="N125" s="366">
        <v>7.7780000000000002E-2</v>
      </c>
      <c r="O125" s="367">
        <f t="shared" si="18"/>
        <v>226.25</v>
      </c>
    </row>
    <row r="126" spans="1:20">
      <c r="A126" s="589"/>
      <c r="B126" s="370">
        <v>7.16</v>
      </c>
      <c r="C126" s="371">
        <v>10.07</v>
      </c>
      <c r="D126" s="371">
        <v>10.62</v>
      </c>
      <c r="E126" s="372">
        <v>12.77</v>
      </c>
      <c r="J126" s="597"/>
      <c r="K126" s="593"/>
      <c r="L126" s="365">
        <v>500</v>
      </c>
      <c r="M126" s="366">
        <v>1.26</v>
      </c>
      <c r="N126" s="366">
        <v>9.8989999999999995E-2</v>
      </c>
      <c r="O126" s="367">
        <f t="shared" si="18"/>
        <v>315</v>
      </c>
    </row>
    <row r="127" spans="1:20">
      <c r="A127" s="589"/>
      <c r="B127" s="370">
        <v>7.64</v>
      </c>
      <c r="C127" s="371">
        <v>10.85</v>
      </c>
      <c r="D127" s="371">
        <v>12.97</v>
      </c>
      <c r="E127" s="372">
        <v>12.54</v>
      </c>
    </row>
    <row r="128" spans="1:20" ht="12.75" thickBot="1">
      <c r="A128" s="590"/>
      <c r="B128" s="370">
        <v>8.4499999999999993</v>
      </c>
      <c r="C128" s="371">
        <v>11.43</v>
      </c>
      <c r="D128" s="371">
        <v>13.7</v>
      </c>
      <c r="E128" s="372">
        <v>15.97</v>
      </c>
    </row>
    <row r="129" spans="1:5" ht="12.75" thickBot="1">
      <c r="B129" s="368"/>
      <c r="C129" s="365"/>
      <c r="D129" s="365"/>
      <c r="E129" s="369"/>
    </row>
    <row r="130" spans="1:5">
      <c r="A130" s="588">
        <v>3</v>
      </c>
      <c r="B130" s="370">
        <v>5.34</v>
      </c>
      <c r="C130" s="371">
        <v>5.91</v>
      </c>
      <c r="D130" s="371">
        <v>6.04</v>
      </c>
      <c r="E130" s="372">
        <v>6.78</v>
      </c>
    </row>
    <row r="131" spans="1:5">
      <c r="A131" s="589"/>
      <c r="B131" s="370">
        <v>6.89</v>
      </c>
      <c r="C131" s="371">
        <v>8.2200000000000006</v>
      </c>
      <c r="D131" s="371">
        <v>8.5399999999999991</v>
      </c>
      <c r="E131" s="372">
        <v>9.68</v>
      </c>
    </row>
    <row r="132" spans="1:5">
      <c r="A132" s="589"/>
      <c r="B132" s="370">
        <v>7.84</v>
      </c>
      <c r="C132" s="371">
        <v>10.19</v>
      </c>
      <c r="D132" s="371">
        <v>10.5</v>
      </c>
      <c r="E132" s="372">
        <v>10.01</v>
      </c>
    </row>
    <row r="133" spans="1:5">
      <c r="A133" s="589"/>
      <c r="B133" s="370">
        <v>8.94</v>
      </c>
      <c r="C133" s="371">
        <v>10.85</v>
      </c>
      <c r="D133" s="371">
        <v>12.06</v>
      </c>
      <c r="E133" s="372">
        <v>13.17</v>
      </c>
    </row>
    <row r="134" spans="1:5" ht="12.75" thickBot="1">
      <c r="A134" s="590"/>
      <c r="B134" s="373">
        <v>9.2899999999999991</v>
      </c>
      <c r="C134" s="374">
        <v>11.6</v>
      </c>
      <c r="D134" s="374">
        <v>14.25</v>
      </c>
      <c r="E134" s="375">
        <v>15.666</v>
      </c>
    </row>
    <row r="151" spans="10:19">
      <c r="J151" s="340" t="s">
        <v>15</v>
      </c>
      <c r="S151" s="340" t="s">
        <v>16</v>
      </c>
    </row>
    <row r="152" spans="10:19">
      <c r="J152" s="340" t="s">
        <v>415</v>
      </c>
    </row>
  </sheetData>
  <mergeCells count="38">
    <mergeCell ref="E87:F87"/>
    <mergeCell ref="G87:H87"/>
    <mergeCell ref="I87:J87"/>
    <mergeCell ref="K87:L87"/>
    <mergeCell ref="B88:B93"/>
    <mergeCell ref="C88:C93"/>
    <mergeCell ref="D85:D87"/>
    <mergeCell ref="E85:L85"/>
    <mergeCell ref="B94:B99"/>
    <mergeCell ref="C94:C99"/>
    <mergeCell ref="B100:B105"/>
    <mergeCell ref="C100:C105"/>
    <mergeCell ref="A85:A87"/>
    <mergeCell ref="A88:A93"/>
    <mergeCell ref="A94:A99"/>
    <mergeCell ref="A100:A105"/>
    <mergeCell ref="B85:B87"/>
    <mergeCell ref="C85:C87"/>
    <mergeCell ref="J108:O109"/>
    <mergeCell ref="J111:J115"/>
    <mergeCell ref="K111:K115"/>
    <mergeCell ref="M111:O111"/>
    <mergeCell ref="J117:J121"/>
    <mergeCell ref="A109:A113"/>
    <mergeCell ref="A115:A119"/>
    <mergeCell ref="E109:E113"/>
    <mergeCell ref="E115:E119"/>
    <mergeCell ref="A107:H107"/>
    <mergeCell ref="A124:A128"/>
    <mergeCell ref="A130:A134"/>
    <mergeCell ref="A121:A123"/>
    <mergeCell ref="K117:K121"/>
    <mergeCell ref="M117:O117"/>
    <mergeCell ref="J122:J126"/>
    <mergeCell ref="K122:K126"/>
    <mergeCell ref="M122:O122"/>
    <mergeCell ref="B121:E121"/>
    <mergeCell ref="B122:E1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0C12-48F9-4B60-A359-8BB3A3D3109D}">
  <dimension ref="A1:AO110"/>
  <sheetViews>
    <sheetView topLeftCell="A88" workbookViewId="0">
      <selection activeCell="G99" sqref="G99"/>
    </sheetView>
  </sheetViews>
  <sheetFormatPr defaultColWidth="5.7109375" defaultRowHeight="9"/>
  <cols>
    <col min="1" max="1" width="3.7109375" style="158" customWidth="1"/>
    <col min="2" max="2" width="23.85546875" style="158" customWidth="1"/>
    <col min="3" max="3" width="9.85546875" style="158" customWidth="1"/>
    <col min="4" max="4" width="14.7109375" style="158" customWidth="1"/>
    <col min="5" max="5" width="5.7109375" style="158"/>
    <col min="6" max="6" width="6.5703125" style="158" customWidth="1"/>
    <col min="7" max="7" width="6.42578125" style="158" bestFit="1" customWidth="1"/>
    <col min="8" max="8" width="6.5703125" style="158" customWidth="1"/>
    <col min="9" max="9" width="5.7109375" style="158"/>
    <col min="10" max="10" width="6.85546875" style="158" customWidth="1"/>
    <col min="11" max="11" width="5.7109375" style="158"/>
    <col min="12" max="12" width="6.7109375" style="158" customWidth="1"/>
    <col min="13" max="13" width="6.85546875" style="158" customWidth="1"/>
    <col min="14" max="14" width="3.28515625" style="158" customWidth="1"/>
    <col min="15" max="15" width="7.5703125" style="158" customWidth="1"/>
    <col min="16" max="16" width="6.7109375" style="158" bestFit="1" customWidth="1"/>
    <col min="17" max="17" width="6.7109375" style="158" customWidth="1"/>
    <col min="18" max="18" width="5.7109375" style="158"/>
    <col min="19" max="19" width="6.85546875" style="158" customWidth="1"/>
    <col min="20" max="20" width="5.7109375" style="158"/>
    <col min="21" max="21" width="6.7109375" style="158" customWidth="1"/>
    <col min="22" max="22" width="6.7109375" style="158" bestFit="1" customWidth="1"/>
    <col min="23" max="23" width="7.140625" style="158" customWidth="1"/>
    <col min="24" max="24" width="5.7109375" style="158"/>
    <col min="25" max="25" width="7" style="158" customWidth="1"/>
    <col min="26" max="33" width="5.7109375" style="158"/>
    <col min="34" max="34" width="2.28515625" style="158" customWidth="1"/>
    <col min="35" max="40" width="5.7109375" style="158"/>
    <col min="41" max="41" width="7.85546875" style="158" customWidth="1"/>
    <col min="42" max="16384" width="5.7109375" style="158"/>
  </cols>
  <sheetData>
    <row r="1" spans="1:33" ht="9" customHeight="1">
      <c r="B1" s="479" t="s">
        <v>158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O1" s="479" t="s">
        <v>158</v>
      </c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B1" s="159"/>
    </row>
    <row r="2" spans="1:33" ht="9" customHeight="1" thickBot="1">
      <c r="A2" s="160" t="s">
        <v>159</v>
      </c>
      <c r="B2" s="480">
        <v>0.35</v>
      </c>
      <c r="C2" s="480"/>
      <c r="D2" s="480">
        <v>0.4</v>
      </c>
      <c r="E2" s="480"/>
      <c r="F2" s="480">
        <v>0.45</v>
      </c>
      <c r="G2" s="480"/>
      <c r="H2" s="480">
        <v>0.5</v>
      </c>
      <c r="I2" s="480"/>
      <c r="J2" s="480">
        <v>0.55000000000000004</v>
      </c>
      <c r="K2" s="480"/>
      <c r="L2" s="480">
        <v>0.6</v>
      </c>
      <c r="M2" s="480"/>
      <c r="N2" s="160" t="s">
        <v>159</v>
      </c>
      <c r="O2" s="480">
        <v>0.35</v>
      </c>
      <c r="P2" s="480"/>
      <c r="Q2" s="480">
        <v>0.4</v>
      </c>
      <c r="R2" s="480"/>
      <c r="S2" s="480">
        <v>0.45</v>
      </c>
      <c r="T2" s="480"/>
      <c r="U2" s="480">
        <v>0.5</v>
      </c>
      <c r="V2" s="480"/>
      <c r="W2" s="480">
        <v>0.55000000000000004</v>
      </c>
      <c r="X2" s="480"/>
      <c r="Y2" s="480">
        <v>0.6</v>
      </c>
      <c r="Z2" s="480"/>
      <c r="AA2" s="481" t="s">
        <v>160</v>
      </c>
      <c r="AB2" s="161">
        <v>15</v>
      </c>
      <c r="AC2" s="161">
        <v>30</v>
      </c>
      <c r="AD2" s="161">
        <v>45</v>
      </c>
      <c r="AE2" s="161">
        <v>60</v>
      </c>
      <c r="AF2" s="162" t="s">
        <v>161</v>
      </c>
    </row>
    <row r="3" spans="1:33" ht="9" customHeight="1">
      <c r="A3" s="489" t="s">
        <v>162</v>
      </c>
      <c r="B3" s="163" t="s">
        <v>163</v>
      </c>
      <c r="C3" s="164">
        <f>B2/$A$3</f>
        <v>0.35</v>
      </c>
      <c r="D3" s="163" t="s">
        <v>163</v>
      </c>
      <c r="E3" s="164">
        <f>D2/$A$3</f>
        <v>0.4</v>
      </c>
      <c r="F3" s="163" t="s">
        <v>163</v>
      </c>
      <c r="G3" s="164">
        <f>F2/$A$3</f>
        <v>0.45</v>
      </c>
      <c r="H3" s="163" t="s">
        <v>163</v>
      </c>
      <c r="I3" s="164">
        <f>H2/$A$3</f>
        <v>0.5</v>
      </c>
      <c r="J3" s="163" t="s">
        <v>163</v>
      </c>
      <c r="K3" s="164">
        <f>J2/$A$3</f>
        <v>0.55000000000000004</v>
      </c>
      <c r="L3" s="163" t="s">
        <v>163</v>
      </c>
      <c r="M3" s="164">
        <f>L2/$A$3</f>
        <v>0.6</v>
      </c>
      <c r="N3" s="489" t="s">
        <v>164</v>
      </c>
      <c r="O3" s="163" t="s">
        <v>163</v>
      </c>
      <c r="P3" s="164">
        <f>O2/$N$3</f>
        <v>0.19444444444444442</v>
      </c>
      <c r="Q3" s="163" t="s">
        <v>163</v>
      </c>
      <c r="R3" s="164">
        <f>Q2/$N$3</f>
        <v>0.22222222222222224</v>
      </c>
      <c r="S3" s="163" t="s">
        <v>163</v>
      </c>
      <c r="T3" s="164">
        <f>S2/$N$3</f>
        <v>0.25</v>
      </c>
      <c r="U3" s="163" t="s">
        <v>163</v>
      </c>
      <c r="V3" s="164">
        <f>U2/$N$3</f>
        <v>0.27777777777777779</v>
      </c>
      <c r="W3" s="163" t="s">
        <v>163</v>
      </c>
      <c r="X3" s="164">
        <f>W2/$N$3</f>
        <v>0.30555555555555558</v>
      </c>
      <c r="Y3" s="163" t="s">
        <v>163</v>
      </c>
      <c r="Z3" s="164">
        <f>Y2/$N$3</f>
        <v>0.33333333333333331</v>
      </c>
      <c r="AA3" s="482"/>
      <c r="AB3" s="161">
        <v>0.308</v>
      </c>
      <c r="AC3" s="161">
        <v>0.57699999999999996</v>
      </c>
      <c r="AD3" s="161">
        <v>1</v>
      </c>
      <c r="AE3" s="161">
        <v>1.732</v>
      </c>
      <c r="AF3" s="161">
        <v>3.14</v>
      </c>
    </row>
    <row r="4" spans="1:33" ht="9" customHeight="1" thickBot="1">
      <c r="A4" s="485"/>
      <c r="B4" s="158" t="s">
        <v>165</v>
      </c>
      <c r="C4" s="165">
        <f>C3/2.2</f>
        <v>0.15909090909090906</v>
      </c>
      <c r="D4" s="158" t="s">
        <v>165</v>
      </c>
      <c r="E4" s="165">
        <f>E3/2.2</f>
        <v>0.18181818181818182</v>
      </c>
      <c r="F4" s="158" t="s">
        <v>165</v>
      </c>
      <c r="G4" s="165">
        <f>G3/2.2</f>
        <v>0.20454545454545453</v>
      </c>
      <c r="H4" s="158" t="s">
        <v>165</v>
      </c>
      <c r="I4" s="165">
        <f>I3/2.2</f>
        <v>0.22727272727272727</v>
      </c>
      <c r="J4" s="158" t="s">
        <v>165</v>
      </c>
      <c r="K4" s="165">
        <f>K3/2.2</f>
        <v>0.25</v>
      </c>
      <c r="L4" s="158" t="s">
        <v>165</v>
      </c>
      <c r="M4" s="165">
        <f>M3/2.2</f>
        <v>0.27272727272727271</v>
      </c>
      <c r="N4" s="485"/>
      <c r="O4" s="158" t="s">
        <v>165</v>
      </c>
      <c r="P4" s="165">
        <f>P3/2.2</f>
        <v>8.838383838383837E-2</v>
      </c>
      <c r="Q4" s="158" t="s">
        <v>165</v>
      </c>
      <c r="R4" s="165">
        <f>R3/2.2</f>
        <v>0.10101010101010101</v>
      </c>
      <c r="S4" s="158" t="s">
        <v>165</v>
      </c>
      <c r="T4" s="165">
        <f>T3/2.2</f>
        <v>0.11363636363636363</v>
      </c>
      <c r="U4" s="158" t="s">
        <v>165</v>
      </c>
      <c r="V4" s="165">
        <f>V3/2.2</f>
        <v>0.12626262626262627</v>
      </c>
      <c r="W4" s="158" t="s">
        <v>165</v>
      </c>
      <c r="X4" s="165">
        <f>X3/2.2</f>
        <v>0.1388888888888889</v>
      </c>
      <c r="Y4" s="158" t="s">
        <v>165</v>
      </c>
      <c r="Z4" s="165">
        <f>Z3/2.2</f>
        <v>0.15151515151515149</v>
      </c>
    </row>
    <row r="5" spans="1:33" ht="9" customHeight="1">
      <c r="A5" s="485"/>
      <c r="B5" s="158" t="s">
        <v>166</v>
      </c>
      <c r="C5" s="165">
        <f>B2/1.235</f>
        <v>0.28340080971659914</v>
      </c>
      <c r="D5" s="158" t="s">
        <v>166</v>
      </c>
      <c r="E5" s="165">
        <f>D2/1.235</f>
        <v>0.32388663967611336</v>
      </c>
      <c r="F5" s="158" t="s">
        <v>166</v>
      </c>
      <c r="G5" s="165">
        <f>F2/1.235</f>
        <v>0.36437246963562753</v>
      </c>
      <c r="H5" s="158" t="s">
        <v>166</v>
      </c>
      <c r="I5" s="165">
        <f>H2/1.235</f>
        <v>0.40485829959514169</v>
      </c>
      <c r="J5" s="158" t="s">
        <v>166</v>
      </c>
      <c r="K5" s="165">
        <f>J2/1.235</f>
        <v>0.44534412955465585</v>
      </c>
      <c r="L5" s="158" t="s">
        <v>166</v>
      </c>
      <c r="M5" s="165">
        <f>L2/1.235</f>
        <v>0.48582995951416996</v>
      </c>
      <c r="N5" s="485"/>
      <c r="O5" s="158" t="s">
        <v>166</v>
      </c>
      <c r="P5" s="165">
        <f>O2/1.235</f>
        <v>0.28340080971659914</v>
      </c>
      <c r="Q5" s="158" t="s">
        <v>166</v>
      </c>
      <c r="R5" s="165">
        <f>Q2/1.235</f>
        <v>0.32388663967611336</v>
      </c>
      <c r="S5" s="158" t="s">
        <v>166</v>
      </c>
      <c r="T5" s="165">
        <f>S2/1.235</f>
        <v>0.36437246963562753</v>
      </c>
      <c r="U5" s="158" t="s">
        <v>166</v>
      </c>
      <c r="V5" s="165">
        <f>U2/1.235</f>
        <v>0.40485829959514169</v>
      </c>
      <c r="W5" s="158" t="s">
        <v>166</v>
      </c>
      <c r="X5" s="165">
        <f>W2/1.235</f>
        <v>0.44534412955465585</v>
      </c>
      <c r="Y5" s="158" t="s">
        <v>166</v>
      </c>
      <c r="Z5" s="165">
        <f>Y2/1.235</f>
        <v>0.48582995951416996</v>
      </c>
      <c r="AA5" s="487" t="s">
        <v>159</v>
      </c>
      <c r="AB5" s="483" t="s">
        <v>167</v>
      </c>
      <c r="AC5" s="483"/>
      <c r="AD5" s="483"/>
      <c r="AE5" s="483"/>
      <c r="AF5" s="483"/>
      <c r="AG5" s="483"/>
    </row>
    <row r="6" spans="1:33" ht="9" customHeight="1" thickBot="1">
      <c r="A6" s="485"/>
      <c r="B6" s="158" t="s">
        <v>168</v>
      </c>
      <c r="C6" s="165">
        <f>2.2*C4</f>
        <v>0.35</v>
      </c>
      <c r="D6" s="158" t="s">
        <v>168</v>
      </c>
      <c r="E6" s="165">
        <f>2.2*E4</f>
        <v>0.4</v>
      </c>
      <c r="F6" s="158" t="s">
        <v>168</v>
      </c>
      <c r="G6" s="165">
        <f>2.2*G4</f>
        <v>0.45</v>
      </c>
      <c r="H6" s="158" t="s">
        <v>168</v>
      </c>
      <c r="I6" s="165">
        <f>2.2*I4</f>
        <v>0.5</v>
      </c>
      <c r="J6" s="158" t="s">
        <v>168</v>
      </c>
      <c r="K6" s="165">
        <f>2.2*K4</f>
        <v>0.55000000000000004</v>
      </c>
      <c r="L6" s="158" t="s">
        <v>168</v>
      </c>
      <c r="M6" s="165">
        <f>2.2*M4</f>
        <v>0.6</v>
      </c>
      <c r="N6" s="485"/>
      <c r="O6" s="158" t="s">
        <v>168</v>
      </c>
      <c r="P6" s="165">
        <f>2.2*P4</f>
        <v>0.19444444444444442</v>
      </c>
      <c r="Q6" s="158" t="s">
        <v>168</v>
      </c>
      <c r="R6" s="165">
        <f>2.2*R4</f>
        <v>0.22222222222222224</v>
      </c>
      <c r="S6" s="158" t="s">
        <v>168</v>
      </c>
      <c r="T6" s="165">
        <f>2.2*T4</f>
        <v>0.25</v>
      </c>
      <c r="U6" s="158" t="s">
        <v>168</v>
      </c>
      <c r="V6" s="165">
        <f>2.2*V4</f>
        <v>0.27777777777777785</v>
      </c>
      <c r="W6" s="158" t="s">
        <v>168</v>
      </c>
      <c r="X6" s="165">
        <f>2.2*X4</f>
        <v>0.30555555555555558</v>
      </c>
      <c r="Y6" s="158" t="s">
        <v>168</v>
      </c>
      <c r="Z6" s="165">
        <f>2.2*Z4</f>
        <v>0.33333333333333331</v>
      </c>
      <c r="AA6" s="488"/>
      <c r="AB6" s="166">
        <v>0.35</v>
      </c>
      <c r="AC6" s="167">
        <v>0.4</v>
      </c>
      <c r="AD6" s="167">
        <v>0.45</v>
      </c>
      <c r="AE6" s="167">
        <v>0.5</v>
      </c>
      <c r="AF6" s="167">
        <v>0.55000000000000004</v>
      </c>
      <c r="AG6" s="167">
        <v>0.6</v>
      </c>
    </row>
    <row r="7" spans="1:33" ht="9" customHeight="1">
      <c r="A7" s="485"/>
      <c r="B7" s="158" t="s">
        <v>169</v>
      </c>
      <c r="C7" s="165">
        <f>0.2*C4</f>
        <v>3.1818181818181815E-2</v>
      </c>
      <c r="D7" s="158" t="s">
        <v>169</v>
      </c>
      <c r="E7" s="165">
        <f>0.2*E4</f>
        <v>3.6363636363636369E-2</v>
      </c>
      <c r="F7" s="158" t="s">
        <v>169</v>
      </c>
      <c r="G7" s="165">
        <f>0.2*G4</f>
        <v>4.0909090909090909E-2</v>
      </c>
      <c r="H7" s="158" t="s">
        <v>169</v>
      </c>
      <c r="I7" s="165">
        <f>0.2*I4</f>
        <v>4.5454545454545456E-2</v>
      </c>
      <c r="J7" s="158" t="s">
        <v>169</v>
      </c>
      <c r="K7" s="165">
        <f>0.2*K4</f>
        <v>0.05</v>
      </c>
      <c r="L7" s="158" t="s">
        <v>169</v>
      </c>
      <c r="M7" s="165">
        <f>0.2*M4</f>
        <v>5.4545454545454543E-2</v>
      </c>
      <c r="N7" s="485"/>
      <c r="O7" s="158" t="s">
        <v>169</v>
      </c>
      <c r="P7" s="165">
        <f>0.2*P4</f>
        <v>1.7676767676767676E-2</v>
      </c>
      <c r="Q7" s="158" t="s">
        <v>169</v>
      </c>
      <c r="R7" s="165">
        <f>0.2*R4</f>
        <v>2.0202020202020204E-2</v>
      </c>
      <c r="S7" s="158" t="s">
        <v>169</v>
      </c>
      <c r="T7" s="165">
        <f>0.2*T4</f>
        <v>2.2727272727272728E-2</v>
      </c>
      <c r="U7" s="158" t="s">
        <v>169</v>
      </c>
      <c r="V7" s="165">
        <f>0.2*V4</f>
        <v>2.5252525252525256E-2</v>
      </c>
      <c r="W7" s="158" t="s">
        <v>169</v>
      </c>
      <c r="X7" s="165">
        <f>0.2*X4</f>
        <v>2.777777777777778E-2</v>
      </c>
      <c r="Y7" s="158" t="s">
        <v>169</v>
      </c>
      <c r="Z7" s="165">
        <f>0.2*Z4</f>
        <v>3.03030303030303E-2</v>
      </c>
      <c r="AA7" s="168">
        <v>1</v>
      </c>
      <c r="AB7" s="169">
        <f>(C4+C7)/2</f>
        <v>9.5454545454545431E-2</v>
      </c>
      <c r="AC7" s="169">
        <f>(E4+E7)/2</f>
        <v>0.1090909090909091</v>
      </c>
      <c r="AD7" s="169">
        <f>(G4+G7)/2</f>
        <v>0.12272727272727271</v>
      </c>
      <c r="AE7" s="169">
        <f>(I4+I7)/2</f>
        <v>0.13636363636363635</v>
      </c>
      <c r="AF7" s="169">
        <f>(K4+K7)/2</f>
        <v>0.15</v>
      </c>
      <c r="AG7" s="169">
        <f>(M4+M7)/2</f>
        <v>0.16363636363636364</v>
      </c>
    </row>
    <row r="8" spans="1:33" ht="9" customHeight="1">
      <c r="A8" s="485"/>
      <c r="B8" s="158" t="s">
        <v>170</v>
      </c>
      <c r="C8" s="165">
        <f>0.05*C4</f>
        <v>7.9545454545454537E-3</v>
      </c>
      <c r="D8" s="158" t="s">
        <v>170</v>
      </c>
      <c r="E8" s="165">
        <f>0.05*E4</f>
        <v>9.0909090909090922E-3</v>
      </c>
      <c r="F8" s="158" t="s">
        <v>170</v>
      </c>
      <c r="G8" s="165">
        <f>0.05*G4</f>
        <v>1.0227272727272727E-2</v>
      </c>
      <c r="H8" s="158" t="s">
        <v>170</v>
      </c>
      <c r="I8" s="165">
        <f>0.05*I4</f>
        <v>1.1363636363636364E-2</v>
      </c>
      <c r="J8" s="158" t="s">
        <v>170</v>
      </c>
      <c r="K8" s="165">
        <f>0.05*K4</f>
        <v>1.2500000000000001E-2</v>
      </c>
      <c r="L8" s="158" t="s">
        <v>170</v>
      </c>
      <c r="M8" s="165">
        <f>0.05*M4</f>
        <v>1.3636363636363636E-2</v>
      </c>
      <c r="N8" s="485"/>
      <c r="O8" s="158" t="s">
        <v>170</v>
      </c>
      <c r="P8" s="165">
        <f>0.05*P4</f>
        <v>4.419191919191919E-3</v>
      </c>
      <c r="Q8" s="158" t="s">
        <v>170</v>
      </c>
      <c r="R8" s="165">
        <f>0.05*R4</f>
        <v>5.0505050505050509E-3</v>
      </c>
      <c r="S8" s="158" t="s">
        <v>170</v>
      </c>
      <c r="T8" s="165">
        <f>0.05*T4</f>
        <v>5.681818181818182E-3</v>
      </c>
      <c r="U8" s="158" t="s">
        <v>170</v>
      </c>
      <c r="V8" s="165">
        <f>0.05*V4</f>
        <v>6.3131313131313139E-3</v>
      </c>
      <c r="W8" s="158" t="s">
        <v>170</v>
      </c>
      <c r="X8" s="165">
        <f>0.05*X4</f>
        <v>6.9444444444444449E-3</v>
      </c>
      <c r="Y8" s="158" t="s">
        <v>170</v>
      </c>
      <c r="Z8" s="165">
        <f>0.05*Z4</f>
        <v>7.5757575757575751E-3</v>
      </c>
      <c r="AA8" s="170">
        <v>1.2</v>
      </c>
      <c r="AB8" s="169">
        <f>(C18+C21)/2</f>
        <v>7.9545454545454544E-2</v>
      </c>
      <c r="AC8" s="169">
        <f>(E18+E21)/2</f>
        <v>9.0909090909090912E-2</v>
      </c>
      <c r="AD8" s="169">
        <f>(G18+G21)/2</f>
        <v>0.10227272727272727</v>
      </c>
      <c r="AE8" s="169">
        <f>(I18+I21)/2</f>
        <v>0.11363636363636363</v>
      </c>
      <c r="AF8" s="169">
        <f>(K18+K21)/2</f>
        <v>0.125</v>
      </c>
      <c r="AG8" s="169">
        <f>(M18+M21)/2</f>
        <v>0.13636363636363635</v>
      </c>
    </row>
    <row r="9" spans="1:33" ht="9" customHeight="1">
      <c r="A9" s="485"/>
      <c r="B9" s="171" t="s">
        <v>171</v>
      </c>
      <c r="C9" s="172">
        <f>0.6*C4</f>
        <v>9.5454545454545431E-2</v>
      </c>
      <c r="D9" s="171" t="s">
        <v>171</v>
      </c>
      <c r="E9" s="172">
        <f>0.6*E4</f>
        <v>0.10909090909090909</v>
      </c>
      <c r="F9" s="171" t="s">
        <v>171</v>
      </c>
      <c r="G9" s="172">
        <f>0.6*G4</f>
        <v>0.12272727272727271</v>
      </c>
      <c r="H9" s="171" t="s">
        <v>171</v>
      </c>
      <c r="I9" s="172">
        <f>0.6*I4</f>
        <v>0.13636363636363635</v>
      </c>
      <c r="J9" s="171" t="s">
        <v>171</v>
      </c>
      <c r="K9" s="172">
        <f>0.6*K4</f>
        <v>0.15</v>
      </c>
      <c r="L9" s="171" t="s">
        <v>171</v>
      </c>
      <c r="M9" s="172">
        <f>0.6*M4</f>
        <v>0.16363636363636361</v>
      </c>
      <c r="N9" s="485"/>
      <c r="O9" s="171" t="s">
        <v>171</v>
      </c>
      <c r="P9" s="171">
        <f>0.6*P4</f>
        <v>5.3030303030303018E-2</v>
      </c>
      <c r="Q9" s="171" t="s">
        <v>171</v>
      </c>
      <c r="R9" s="171">
        <f>0.6*R4</f>
        <v>6.0606060606060601E-2</v>
      </c>
      <c r="S9" s="171" t="s">
        <v>171</v>
      </c>
      <c r="T9" s="171">
        <f>0.6*T4</f>
        <v>6.8181818181818177E-2</v>
      </c>
      <c r="U9" s="171" t="s">
        <v>171</v>
      </c>
      <c r="V9" s="171">
        <f>0.6*V4</f>
        <v>7.575757575757576E-2</v>
      </c>
      <c r="W9" s="171" t="s">
        <v>171</v>
      </c>
      <c r="X9" s="171">
        <f>0.6*X4</f>
        <v>8.3333333333333329E-2</v>
      </c>
      <c r="Y9" s="171" t="s">
        <v>171</v>
      </c>
      <c r="Z9" s="171">
        <f>0.6*Z4</f>
        <v>9.0909090909090898E-2</v>
      </c>
      <c r="AA9" s="170">
        <v>1.5</v>
      </c>
      <c r="AB9" s="169">
        <f>(C32+C35)/2</f>
        <v>6.363636363636363E-2</v>
      </c>
      <c r="AC9" s="169">
        <f>(E32+E35)/2</f>
        <v>7.2727272727272724E-2</v>
      </c>
      <c r="AD9" s="169">
        <f>(G32+G35)/2</f>
        <v>8.1818181818181818E-2</v>
      </c>
      <c r="AE9" s="169">
        <f>(I32+I35)/2</f>
        <v>9.0909090909090898E-2</v>
      </c>
      <c r="AF9" s="169">
        <f>(K32+K35)/2</f>
        <v>9.9999999999999992E-2</v>
      </c>
      <c r="AG9" s="169">
        <f>(M32+M35)/2</f>
        <v>0.10909090909090907</v>
      </c>
    </row>
    <row r="10" spans="1:33" ht="9" customHeight="1">
      <c r="A10" s="485"/>
      <c r="B10" s="171" t="s">
        <v>172</v>
      </c>
      <c r="C10" s="172">
        <f>C5/C9</f>
        <v>2.9689608636977058</v>
      </c>
      <c r="D10" s="171" t="s">
        <v>172</v>
      </c>
      <c r="E10" s="172">
        <f>E5/E9</f>
        <v>2.9689608636977058</v>
      </c>
      <c r="F10" s="171" t="s">
        <v>172</v>
      </c>
      <c r="G10" s="172">
        <f>G5/G9</f>
        <v>2.9689608636977063</v>
      </c>
      <c r="H10" s="171" t="s">
        <v>172</v>
      </c>
      <c r="I10" s="172">
        <f>I5/I9</f>
        <v>2.9689608636977058</v>
      </c>
      <c r="J10" s="171" t="s">
        <v>172</v>
      </c>
      <c r="K10" s="172">
        <f>K5/K9</f>
        <v>2.9689608636977058</v>
      </c>
      <c r="L10" s="171" t="s">
        <v>172</v>
      </c>
      <c r="M10" s="172">
        <f>M5/M9</f>
        <v>2.9689608636977058</v>
      </c>
      <c r="N10" s="485"/>
      <c r="O10" s="171" t="s">
        <v>172</v>
      </c>
      <c r="P10" s="173">
        <f>P5/P9</f>
        <v>5.3441295546558711</v>
      </c>
      <c r="Q10" s="171" t="s">
        <v>172</v>
      </c>
      <c r="R10" s="173">
        <f>R5/R9</f>
        <v>5.3441295546558711</v>
      </c>
      <c r="S10" s="171" t="s">
        <v>172</v>
      </c>
      <c r="T10" s="173">
        <f>T5/T9</f>
        <v>5.3441295546558711</v>
      </c>
      <c r="U10" s="158" t="s">
        <v>172</v>
      </c>
      <c r="V10" s="173">
        <f>V5/V9</f>
        <v>5.3441295546558703</v>
      </c>
      <c r="W10" s="171" t="s">
        <v>172</v>
      </c>
      <c r="X10" s="173">
        <f>X5/X9</f>
        <v>5.3441295546558703</v>
      </c>
      <c r="Y10" s="171" t="s">
        <v>172</v>
      </c>
      <c r="Z10" s="173">
        <f>Z5/Z9</f>
        <v>5.3441295546558703</v>
      </c>
      <c r="AA10" s="170">
        <v>1.8</v>
      </c>
      <c r="AB10" s="169">
        <f>(P4+P7)/2</f>
        <v>5.3030303030303025E-2</v>
      </c>
      <c r="AC10" s="169">
        <f>(R4+R7)/2</f>
        <v>6.0606060606060608E-2</v>
      </c>
      <c r="AD10" s="169">
        <f>(T4+T7)/2</f>
        <v>6.8181818181818177E-2</v>
      </c>
      <c r="AE10" s="169">
        <f>(V4+V7)/2</f>
        <v>7.575757575757576E-2</v>
      </c>
      <c r="AF10" s="169">
        <f>(X4+X7)/2</f>
        <v>8.3333333333333343E-2</v>
      </c>
      <c r="AG10" s="169">
        <f>(Z4+Z7)/2</f>
        <v>9.0909090909090898E-2</v>
      </c>
    </row>
    <row r="11" spans="1:33" ht="9" customHeight="1">
      <c r="A11" s="485"/>
      <c r="B11" s="158" t="s">
        <v>173</v>
      </c>
      <c r="C11" s="165">
        <f>(C4-C7)/2</f>
        <v>6.363636363636363E-2</v>
      </c>
      <c r="D11" s="158" t="s">
        <v>173</v>
      </c>
      <c r="E11" s="165">
        <f>(E4-E7)/2</f>
        <v>7.2727272727272724E-2</v>
      </c>
      <c r="F11" s="158" t="s">
        <v>173</v>
      </c>
      <c r="G11" s="165">
        <f>(G4-G7)/2</f>
        <v>8.1818181818181818E-2</v>
      </c>
      <c r="H11" s="158" t="s">
        <v>173</v>
      </c>
      <c r="I11" s="165">
        <f>(I4-I7)/2</f>
        <v>9.0909090909090912E-2</v>
      </c>
      <c r="J11" s="158" t="s">
        <v>173</v>
      </c>
      <c r="K11" s="165">
        <f>(K4-K7)/2</f>
        <v>0.1</v>
      </c>
      <c r="L11" s="158" t="s">
        <v>173</v>
      </c>
      <c r="M11" s="165">
        <f>(M4-M7)/2</f>
        <v>0.10909090909090909</v>
      </c>
      <c r="N11" s="485"/>
      <c r="O11" s="158" t="s">
        <v>173</v>
      </c>
      <c r="P11" s="165">
        <f>(P4-P7)/2</f>
        <v>3.5353535353535345E-2</v>
      </c>
      <c r="Q11" s="158" t="s">
        <v>173</v>
      </c>
      <c r="R11" s="165">
        <f>(R4-R7)/2</f>
        <v>4.0404040404040401E-2</v>
      </c>
      <c r="S11" s="158" t="s">
        <v>173</v>
      </c>
      <c r="T11" s="165">
        <f>(T4-T7)/2</f>
        <v>4.5454545454545456E-2</v>
      </c>
      <c r="U11" s="158" t="s">
        <v>173</v>
      </c>
      <c r="V11" s="165">
        <f>(V4-V7)/2</f>
        <v>5.0505050505050511E-2</v>
      </c>
      <c r="W11" s="158" t="s">
        <v>173</v>
      </c>
      <c r="X11" s="165">
        <f>(X4-X7)/2</f>
        <v>5.5555555555555559E-2</v>
      </c>
      <c r="Y11" s="158" t="s">
        <v>173</v>
      </c>
      <c r="Z11" s="165">
        <f>(Z4-Z7)/2</f>
        <v>6.0606060606060594E-2</v>
      </c>
      <c r="AA11" s="170">
        <v>2</v>
      </c>
      <c r="AB11" s="169">
        <f>(P18+P21)/2</f>
        <v>4.7727272727272715E-2</v>
      </c>
      <c r="AC11" s="169">
        <f>(R18+R21)/2</f>
        <v>5.454545454545455E-2</v>
      </c>
      <c r="AD11" s="169">
        <f>(T18+T21)/2</f>
        <v>6.1363636363636356E-2</v>
      </c>
      <c r="AE11" s="169">
        <f>(V18+V21)/2</f>
        <v>6.8181818181818177E-2</v>
      </c>
      <c r="AF11" s="169">
        <f>(X18+X21)/2</f>
        <v>7.4999999999999997E-2</v>
      </c>
      <c r="AG11" s="169">
        <f>(Z18+Z21)/2</f>
        <v>8.1818181818181818E-2</v>
      </c>
    </row>
    <row r="12" spans="1:33" ht="9" customHeight="1">
      <c r="A12" s="485"/>
      <c r="B12" s="158" t="s">
        <v>58</v>
      </c>
      <c r="C12" s="165">
        <f>C3/2</f>
        <v>0.17499999999999999</v>
      </c>
      <c r="D12" s="158" t="s">
        <v>58</v>
      </c>
      <c r="E12" s="165">
        <f>E3/2</f>
        <v>0.2</v>
      </c>
      <c r="F12" s="158" t="s">
        <v>58</v>
      </c>
      <c r="G12" s="165">
        <f>G3/2</f>
        <v>0.22500000000000001</v>
      </c>
      <c r="H12" s="158" t="s">
        <v>58</v>
      </c>
      <c r="I12" s="165">
        <f>I3/2</f>
        <v>0.25</v>
      </c>
      <c r="J12" s="158" t="s">
        <v>58</v>
      </c>
      <c r="K12" s="165">
        <f>K3/2</f>
        <v>0.27500000000000002</v>
      </c>
      <c r="L12" s="158" t="s">
        <v>58</v>
      </c>
      <c r="M12" s="165">
        <f>M3/2</f>
        <v>0.3</v>
      </c>
      <c r="N12" s="485"/>
      <c r="O12" s="158" t="s">
        <v>58</v>
      </c>
      <c r="P12" s="158">
        <f>P3/2</f>
        <v>9.722222222222221E-2</v>
      </c>
      <c r="Q12" s="158" t="s">
        <v>58</v>
      </c>
      <c r="R12" s="158">
        <f>R3/2</f>
        <v>0.11111111111111112</v>
      </c>
      <c r="S12" s="158" t="s">
        <v>58</v>
      </c>
      <c r="T12" s="158">
        <f>T3/2</f>
        <v>0.125</v>
      </c>
      <c r="U12" s="158" t="s">
        <v>58</v>
      </c>
      <c r="V12" s="158">
        <f>V3/2</f>
        <v>0.1388888888888889</v>
      </c>
      <c r="W12" s="158" t="s">
        <v>58</v>
      </c>
      <c r="X12" s="158">
        <f>X3/2</f>
        <v>0.15277777777777779</v>
      </c>
      <c r="Y12" s="158" t="s">
        <v>58</v>
      </c>
      <c r="Z12" s="158">
        <f>Z3/2</f>
        <v>0.16666666666666666</v>
      </c>
      <c r="AA12" s="170">
        <v>2.5</v>
      </c>
      <c r="AB12" s="169">
        <f>(P32+P35)/2</f>
        <v>3.8181818181818178E-2</v>
      </c>
      <c r="AC12" s="169">
        <f>(R32+R35)/2</f>
        <v>4.3636363636363633E-2</v>
      </c>
      <c r="AD12" s="169">
        <f>(T32+T35)/2</f>
        <v>4.9090909090909081E-2</v>
      </c>
      <c r="AE12" s="169">
        <f>(V32+V35)/2</f>
        <v>5.454545454545455E-2</v>
      </c>
      <c r="AF12" s="169">
        <f>(X32+X35)/2</f>
        <v>6.0000000000000005E-2</v>
      </c>
      <c r="AG12" s="169">
        <f>(Z32+Z35)/2</f>
        <v>6.5454545454545446E-2</v>
      </c>
    </row>
    <row r="13" spans="1:33" ht="9" customHeight="1">
      <c r="A13" s="485"/>
      <c r="B13" s="158" t="s">
        <v>174</v>
      </c>
      <c r="C13" s="174">
        <f>AF3*(C12^2)*B2</f>
        <v>3.3656874999999996E-2</v>
      </c>
      <c r="D13" s="158" t="s">
        <v>174</v>
      </c>
      <c r="E13" s="174">
        <f>$AF$3*(E12^2)*D2</f>
        <v>5.0240000000000007E-2</v>
      </c>
      <c r="F13" s="158" t="s">
        <v>174</v>
      </c>
      <c r="G13" s="174">
        <f>$AF$3*(G12^2)*F2</f>
        <v>7.1533125000000003E-2</v>
      </c>
      <c r="H13" s="158" t="s">
        <v>174</v>
      </c>
      <c r="I13" s="174">
        <f>$AF$3*(I12^2)*H2</f>
        <v>9.8125000000000004E-2</v>
      </c>
      <c r="J13" s="158" t="s">
        <v>174</v>
      </c>
      <c r="K13" s="174">
        <f>$AF$3*(K12^2)*J2</f>
        <v>0.13060437500000005</v>
      </c>
      <c r="L13" s="158" t="s">
        <v>174</v>
      </c>
      <c r="M13" s="174">
        <f>$AF$3*(M12^2)*L2</f>
        <v>0.16956000000000002</v>
      </c>
      <c r="N13" s="485"/>
      <c r="O13" s="158" t="s">
        <v>174</v>
      </c>
      <c r="P13" s="174">
        <f>$AF$3*(P12^2)*O2</f>
        <v>1.0387924382716044E-2</v>
      </c>
      <c r="Q13" s="158" t="s">
        <v>174</v>
      </c>
      <c r="R13" s="174">
        <f>$AF$3*(R12^2)*Q2</f>
        <v>1.5506172839506175E-2</v>
      </c>
      <c r="S13" s="158" t="s">
        <v>174</v>
      </c>
      <c r="T13" s="174">
        <f>$AF$3*(T12^2)*S2</f>
        <v>2.2078125000000001E-2</v>
      </c>
      <c r="U13" s="158" t="s">
        <v>174</v>
      </c>
      <c r="V13" s="174">
        <f>$AF$3*(V12^2)*U2</f>
        <v>3.02854938271605E-2</v>
      </c>
      <c r="W13" s="158" t="s">
        <v>174</v>
      </c>
      <c r="X13" s="174">
        <f>$AF$3*(X12^2)*W2</f>
        <v>4.030999228395063E-2</v>
      </c>
      <c r="Y13" s="158" t="s">
        <v>174</v>
      </c>
      <c r="Z13" s="174">
        <f>$AF$3*(Z12^2)*Y2</f>
        <v>5.2333333333333329E-2</v>
      </c>
      <c r="AA13" s="170">
        <v>3</v>
      </c>
      <c r="AB13" s="169">
        <f>(C48+C51)/2</f>
        <v>3.1818181818181815E-2</v>
      </c>
      <c r="AC13" s="169">
        <f>(E48+E51)/2</f>
        <v>3.6363636363636362E-2</v>
      </c>
      <c r="AD13" s="169">
        <f>(G48+G51)/2</f>
        <v>4.0909090909090909E-2</v>
      </c>
      <c r="AE13" s="169">
        <f>(I48+I51)/2</f>
        <v>4.5454545454545449E-2</v>
      </c>
      <c r="AF13" s="169">
        <f>(K48+K51)/2</f>
        <v>4.9999999999999996E-2</v>
      </c>
      <c r="AG13" s="169">
        <f>(M48+M51)/2</f>
        <v>5.4545454545454536E-2</v>
      </c>
    </row>
    <row r="14" spans="1:33" ht="9" customHeight="1">
      <c r="A14" s="485"/>
      <c r="B14" s="158" t="s">
        <v>175</v>
      </c>
      <c r="C14" s="165">
        <f>0.7*C13</f>
        <v>2.3559812499999996E-2</v>
      </c>
      <c r="D14" s="158" t="s">
        <v>175</v>
      </c>
      <c r="E14" s="165">
        <f>0.7*E13</f>
        <v>3.5168000000000005E-2</v>
      </c>
      <c r="F14" s="158" t="s">
        <v>175</v>
      </c>
      <c r="G14" s="165">
        <f>0.7*G13</f>
        <v>5.0073187499999998E-2</v>
      </c>
      <c r="H14" s="158" t="s">
        <v>175</v>
      </c>
      <c r="I14" s="165">
        <f>0.7*I13</f>
        <v>6.8687499999999999E-2</v>
      </c>
      <c r="J14" s="158" t="s">
        <v>175</v>
      </c>
      <c r="K14" s="165">
        <f>0.7*K13</f>
        <v>9.1423062500000027E-2</v>
      </c>
      <c r="L14" s="158" t="s">
        <v>175</v>
      </c>
      <c r="M14" s="165">
        <f>0.7*M13</f>
        <v>0.11869200000000001</v>
      </c>
      <c r="N14" s="485"/>
      <c r="O14" s="158" t="s">
        <v>175</v>
      </c>
      <c r="P14" s="165">
        <f>0.7*P13</f>
        <v>7.2715470679012304E-3</v>
      </c>
      <c r="Q14" s="158" t="s">
        <v>175</v>
      </c>
      <c r="R14" s="165">
        <f>0.7*R13</f>
        <v>1.0854320987654322E-2</v>
      </c>
      <c r="S14" s="158" t="s">
        <v>175</v>
      </c>
      <c r="T14" s="165">
        <f>0.7*T13</f>
        <v>1.54546875E-2</v>
      </c>
      <c r="U14" s="158" t="s">
        <v>175</v>
      </c>
      <c r="V14" s="165">
        <f>0.7*V13</f>
        <v>2.1199845679012348E-2</v>
      </c>
      <c r="W14" s="158" t="s">
        <v>175</v>
      </c>
      <c r="X14" s="165">
        <f>0.7*X13</f>
        <v>2.8216994598765439E-2</v>
      </c>
      <c r="Y14" s="158" t="s">
        <v>175</v>
      </c>
      <c r="Z14" s="165">
        <f>0.7*Z13</f>
        <v>3.663333333333333E-2</v>
      </c>
      <c r="AA14" s="175">
        <v>3.5</v>
      </c>
      <c r="AB14" s="169">
        <f>(C62+C65)/2</f>
        <v>2.7272727272727268E-2</v>
      </c>
      <c r="AC14" s="169">
        <f>(E62+E65)/2</f>
        <v>3.1168831168831172E-2</v>
      </c>
      <c r="AD14" s="169">
        <f>(G62+G65)/2</f>
        <v>3.506493506493507E-2</v>
      </c>
      <c r="AE14" s="169">
        <f>(I62+I65)/2</f>
        <v>3.896103896103896E-2</v>
      </c>
      <c r="AF14" s="169">
        <f>(K62+K65)/2</f>
        <v>4.2857142857142864E-2</v>
      </c>
      <c r="AG14" s="169">
        <f>(M62+M65)/2</f>
        <v>4.6753246753246755E-2</v>
      </c>
    </row>
    <row r="15" spans="1:33" ht="9" customHeight="1" thickBot="1">
      <c r="A15" s="485"/>
      <c r="B15" s="176" t="s">
        <v>176</v>
      </c>
      <c r="C15" s="177">
        <v>234</v>
      </c>
      <c r="D15" s="177" t="s">
        <v>176</v>
      </c>
      <c r="E15" s="177">
        <v>262</v>
      </c>
      <c r="F15" s="177" t="s">
        <v>176</v>
      </c>
      <c r="G15" s="177">
        <v>296</v>
      </c>
      <c r="H15" s="177" t="s">
        <v>176</v>
      </c>
      <c r="I15" s="177">
        <v>331</v>
      </c>
      <c r="J15" s="177" t="s">
        <v>176</v>
      </c>
      <c r="K15" s="177">
        <v>361</v>
      </c>
      <c r="L15" s="177" t="s">
        <v>176</v>
      </c>
      <c r="M15" s="178">
        <v>396</v>
      </c>
      <c r="N15" s="485"/>
      <c r="O15" s="176" t="s">
        <v>176</v>
      </c>
      <c r="P15" s="177">
        <v>124</v>
      </c>
      <c r="Q15" s="177" t="s">
        <v>176</v>
      </c>
      <c r="R15" s="177">
        <v>148</v>
      </c>
      <c r="S15" s="177" t="s">
        <v>176</v>
      </c>
      <c r="T15" s="177">
        <v>160</v>
      </c>
      <c r="U15" s="177" t="s">
        <v>176</v>
      </c>
      <c r="V15" s="177">
        <v>181</v>
      </c>
      <c r="W15" s="177" t="s">
        <v>176</v>
      </c>
      <c r="X15" s="177">
        <v>200</v>
      </c>
      <c r="Y15" s="177" t="s">
        <v>176</v>
      </c>
      <c r="Z15" s="179">
        <v>221</v>
      </c>
      <c r="AA15" s="170">
        <v>4</v>
      </c>
      <c r="AB15" s="169">
        <f>(C76+C79)/2</f>
        <v>2.3863636363636358E-2</v>
      </c>
      <c r="AC15" s="169">
        <f>(E76+E79)/2</f>
        <v>2.7272727272727275E-2</v>
      </c>
      <c r="AD15" s="169">
        <f>(G76+G79)/2</f>
        <v>3.0681818181818178E-2</v>
      </c>
      <c r="AE15" s="169">
        <f>(I76+I79)/2</f>
        <v>3.4090909090909088E-2</v>
      </c>
      <c r="AF15" s="169">
        <f>(K76+K79)/2</f>
        <v>3.7499999999999999E-2</v>
      </c>
      <c r="AG15" s="169">
        <f>(M76+M79)/2</f>
        <v>4.0909090909090909E-2</v>
      </c>
    </row>
    <row r="16" spans="1:33" ht="9" customHeight="1" thickTop="1">
      <c r="A16" s="180"/>
      <c r="N16" s="180"/>
      <c r="AA16" s="170">
        <v>4.3</v>
      </c>
      <c r="AB16" s="169">
        <f>(P48+P51)/2</f>
        <v>2.2198731501057081E-2</v>
      </c>
      <c r="AC16" s="169">
        <f>(R48+R51)/2</f>
        <v>2.5369978858350951E-2</v>
      </c>
      <c r="AD16" s="169">
        <f>(T48+T51)/2</f>
        <v>2.8541226215644817E-2</v>
      </c>
      <c r="AE16" s="169">
        <f>(V48+V51)/2</f>
        <v>3.1712473572938688E-2</v>
      </c>
      <c r="AF16" s="169">
        <f>(X48+X51)/2</f>
        <v>3.4883720930232558E-2</v>
      </c>
      <c r="AG16" s="169">
        <f>(Z48+Z51)/2</f>
        <v>3.8054968287526428E-2</v>
      </c>
    </row>
    <row r="17" spans="1:41" ht="9" customHeight="1">
      <c r="A17" s="484" t="s">
        <v>177</v>
      </c>
      <c r="B17" s="163" t="s">
        <v>163</v>
      </c>
      <c r="C17" s="164">
        <f>B2/$A$17</f>
        <v>0.29166666666666669</v>
      </c>
      <c r="D17" s="163" t="s">
        <v>163</v>
      </c>
      <c r="E17" s="164">
        <f>D2/$A$17</f>
        <v>0.33333333333333337</v>
      </c>
      <c r="F17" s="163" t="s">
        <v>163</v>
      </c>
      <c r="G17" s="164">
        <f>F2/$A$17</f>
        <v>0.375</v>
      </c>
      <c r="H17" s="163" t="s">
        <v>163</v>
      </c>
      <c r="I17" s="164">
        <f>H2/$A$17</f>
        <v>0.41666666666666669</v>
      </c>
      <c r="J17" s="163" t="s">
        <v>163</v>
      </c>
      <c r="K17" s="164">
        <f>J2/$A$17</f>
        <v>0.45833333333333337</v>
      </c>
      <c r="L17" s="163" t="s">
        <v>163</v>
      </c>
      <c r="M17" s="164">
        <f>L2/$A$17</f>
        <v>0.5</v>
      </c>
      <c r="N17" s="485" t="s">
        <v>178</v>
      </c>
      <c r="O17" s="163" t="s">
        <v>163</v>
      </c>
      <c r="P17" s="164">
        <f>O2/$N$17</f>
        <v>0.17499999999999999</v>
      </c>
      <c r="Q17" s="163" t="s">
        <v>163</v>
      </c>
      <c r="R17" s="164">
        <f>Q2/$N$17</f>
        <v>0.2</v>
      </c>
      <c r="S17" s="163" t="s">
        <v>163</v>
      </c>
      <c r="T17" s="164">
        <f>S2/$N$17</f>
        <v>0.22500000000000001</v>
      </c>
      <c r="U17" s="163" t="s">
        <v>163</v>
      </c>
      <c r="V17" s="164">
        <f>U2/$N$17</f>
        <v>0.25</v>
      </c>
      <c r="W17" s="163" t="s">
        <v>163</v>
      </c>
      <c r="X17" s="164">
        <f>W2/$N$17</f>
        <v>0.27500000000000002</v>
      </c>
      <c r="Y17" s="163" t="s">
        <v>163</v>
      </c>
      <c r="Z17" s="164">
        <f>Y2/$N$17</f>
        <v>0.3</v>
      </c>
      <c r="AA17" s="170">
        <v>4.5999999999999996</v>
      </c>
      <c r="AB17" s="169">
        <f>(P62+P65)/2</f>
        <v>2.0750988142292492E-2</v>
      </c>
      <c r="AC17" s="169">
        <f>(R62+R65)/2</f>
        <v>2.3715415019762848E-2</v>
      </c>
      <c r="AD17" s="169">
        <f>(T62+T65)/2</f>
        <v>2.66798418972332E-2</v>
      </c>
      <c r="AE17" s="169">
        <f>(V62+V65)/2</f>
        <v>2.9644268774703556E-2</v>
      </c>
      <c r="AF17" s="169">
        <f>(X62+X65)/2</f>
        <v>3.2608695652173919E-2</v>
      </c>
      <c r="AG17" s="169">
        <f>(Z62+Z65)/2</f>
        <v>3.5573122529644265E-2</v>
      </c>
    </row>
    <row r="18" spans="1:41" ht="9" customHeight="1">
      <c r="A18" s="485"/>
      <c r="B18" s="158" t="s">
        <v>165</v>
      </c>
      <c r="C18" s="165">
        <f>C17/2.2</f>
        <v>0.13257575757575757</v>
      </c>
      <c r="D18" s="158" t="s">
        <v>165</v>
      </c>
      <c r="E18" s="165">
        <f>E17/2.2</f>
        <v>0.15151515151515152</v>
      </c>
      <c r="F18" s="158" t="s">
        <v>165</v>
      </c>
      <c r="G18" s="165">
        <f>G17/2.2</f>
        <v>0.17045454545454544</v>
      </c>
      <c r="H18" s="158" t="s">
        <v>165</v>
      </c>
      <c r="I18" s="165">
        <f>I17/2.2</f>
        <v>0.18939393939393939</v>
      </c>
      <c r="J18" s="158" t="s">
        <v>165</v>
      </c>
      <c r="K18" s="165">
        <f>K17/2.2</f>
        <v>0.20833333333333334</v>
      </c>
      <c r="L18" s="158" t="s">
        <v>165</v>
      </c>
      <c r="M18" s="165">
        <f>M17/2.2</f>
        <v>0.22727272727272727</v>
      </c>
      <c r="N18" s="485"/>
      <c r="O18" s="158" t="s">
        <v>165</v>
      </c>
      <c r="P18" s="165">
        <f>P17/2.2</f>
        <v>7.954545454545453E-2</v>
      </c>
      <c r="Q18" s="158" t="s">
        <v>165</v>
      </c>
      <c r="R18" s="165">
        <f>R17/2.2</f>
        <v>9.0909090909090912E-2</v>
      </c>
      <c r="S18" s="158" t="s">
        <v>165</v>
      </c>
      <c r="T18" s="165">
        <f>T17/2.2</f>
        <v>0.10227272727272727</v>
      </c>
      <c r="U18" s="158" t="s">
        <v>165</v>
      </c>
      <c r="V18" s="165">
        <f>V17/2.2</f>
        <v>0.11363636363636363</v>
      </c>
      <c r="W18" s="158" t="s">
        <v>165</v>
      </c>
      <c r="X18" s="165">
        <f>X17/2.2</f>
        <v>0.125</v>
      </c>
      <c r="Y18" s="158" t="s">
        <v>165</v>
      </c>
      <c r="Z18" s="165">
        <f>Z17/2.2</f>
        <v>0.13636363636363635</v>
      </c>
      <c r="AA18" s="170">
        <v>5</v>
      </c>
      <c r="AB18" s="169">
        <f>(P76+P79)/2</f>
        <v>1.9090909090909089E-2</v>
      </c>
      <c r="AC18" s="169">
        <f>(R76+R79)/2</f>
        <v>2.1818181818181816E-2</v>
      </c>
      <c r="AD18" s="169">
        <f>(T76+T79)/2</f>
        <v>2.454545454545454E-2</v>
      </c>
      <c r="AE18" s="169">
        <f>(V76+V79)/2</f>
        <v>2.7272727272727275E-2</v>
      </c>
      <c r="AF18" s="169">
        <f>(X76+X79)/2</f>
        <v>3.0000000000000002E-2</v>
      </c>
      <c r="AG18" s="169">
        <f>(Z76+Z79)/2</f>
        <v>3.2727272727272723E-2</v>
      </c>
    </row>
    <row r="19" spans="1:41" ht="9" customHeight="1" thickBot="1">
      <c r="A19" s="485"/>
      <c r="B19" s="158" t="s">
        <v>166</v>
      </c>
      <c r="C19" s="165">
        <f>B2/1.235</f>
        <v>0.28340080971659914</v>
      </c>
      <c r="D19" s="158" t="s">
        <v>166</v>
      </c>
      <c r="E19" s="165">
        <f>D2/1.235</f>
        <v>0.32388663967611336</v>
      </c>
      <c r="F19" s="158" t="s">
        <v>166</v>
      </c>
      <c r="G19" s="165">
        <f>F2/1.235</f>
        <v>0.36437246963562753</v>
      </c>
      <c r="H19" s="158" t="s">
        <v>166</v>
      </c>
      <c r="I19" s="165">
        <f>H2/1.235</f>
        <v>0.40485829959514169</v>
      </c>
      <c r="J19" s="158" t="s">
        <v>166</v>
      </c>
      <c r="K19" s="165">
        <f>J2/1.235</f>
        <v>0.44534412955465585</v>
      </c>
      <c r="L19" s="158" t="s">
        <v>166</v>
      </c>
      <c r="M19" s="165">
        <f>L2/1.235</f>
        <v>0.48582995951416996</v>
      </c>
      <c r="N19" s="485"/>
      <c r="O19" s="158" t="s">
        <v>166</v>
      </c>
      <c r="P19" s="165">
        <f>O2/1.235</f>
        <v>0.28340080971659914</v>
      </c>
      <c r="Q19" s="158" t="s">
        <v>166</v>
      </c>
      <c r="R19" s="165">
        <f>Q2/1.235</f>
        <v>0.32388663967611336</v>
      </c>
      <c r="S19" s="158" t="s">
        <v>166</v>
      </c>
      <c r="T19" s="165">
        <f>S2/1.235</f>
        <v>0.36437246963562753</v>
      </c>
      <c r="U19" s="158" t="s">
        <v>166</v>
      </c>
      <c r="V19" s="165">
        <f>U2/1.235</f>
        <v>0.40485829959514169</v>
      </c>
      <c r="W19" s="158" t="s">
        <v>166</v>
      </c>
      <c r="X19" s="165">
        <f>W2/1.235</f>
        <v>0.44534412955465585</v>
      </c>
      <c r="Y19" s="158" t="s">
        <v>166</v>
      </c>
      <c r="Z19" s="165">
        <f>Y2/1.235</f>
        <v>0.48582995951416996</v>
      </c>
      <c r="AA19" s="181"/>
    </row>
    <row r="20" spans="1:41" ht="9" customHeight="1">
      <c r="A20" s="485"/>
      <c r="B20" s="158" t="s">
        <v>168</v>
      </c>
      <c r="C20" s="165">
        <f>2.2*C18</f>
        <v>0.29166666666666669</v>
      </c>
      <c r="D20" s="158" t="s">
        <v>168</v>
      </c>
      <c r="E20" s="165">
        <f>2.2*E18</f>
        <v>0.33333333333333337</v>
      </c>
      <c r="F20" s="158" t="s">
        <v>168</v>
      </c>
      <c r="G20" s="165">
        <f>2.2*G18</f>
        <v>0.375</v>
      </c>
      <c r="H20" s="158" t="s">
        <v>168</v>
      </c>
      <c r="I20" s="165">
        <f>2.2*I18</f>
        <v>0.41666666666666669</v>
      </c>
      <c r="J20" s="158" t="s">
        <v>168</v>
      </c>
      <c r="K20" s="165">
        <f>2.2*K18</f>
        <v>0.45833333333333337</v>
      </c>
      <c r="L20" s="158" t="s">
        <v>168</v>
      </c>
      <c r="M20" s="165">
        <f>2.2*M18</f>
        <v>0.5</v>
      </c>
      <c r="N20" s="485"/>
      <c r="O20" s="158" t="s">
        <v>168</v>
      </c>
      <c r="P20" s="165">
        <f>2.2*P18</f>
        <v>0.17499999999999999</v>
      </c>
      <c r="Q20" s="158" t="s">
        <v>168</v>
      </c>
      <c r="R20" s="165">
        <f>2.2*R18</f>
        <v>0.2</v>
      </c>
      <c r="S20" s="158" t="s">
        <v>168</v>
      </c>
      <c r="T20" s="165">
        <f>2.2*T18</f>
        <v>0.22500000000000001</v>
      </c>
      <c r="U20" s="158" t="s">
        <v>168</v>
      </c>
      <c r="V20" s="165">
        <f>2.2*V18</f>
        <v>0.25</v>
      </c>
      <c r="W20" s="158" t="s">
        <v>168</v>
      </c>
      <c r="X20" s="165">
        <f>2.2*X18</f>
        <v>0.27500000000000002</v>
      </c>
      <c r="Y20" s="158" t="s">
        <v>168</v>
      </c>
      <c r="Z20" s="165">
        <f>2.2*Z18</f>
        <v>0.3</v>
      </c>
      <c r="AA20" s="487" t="s">
        <v>159</v>
      </c>
      <c r="AB20" s="483" t="s">
        <v>179</v>
      </c>
      <c r="AC20" s="483"/>
      <c r="AD20" s="483"/>
      <c r="AE20" s="483"/>
      <c r="AF20" s="483"/>
      <c r="AG20" s="483"/>
      <c r="AI20" s="487" t="s">
        <v>159</v>
      </c>
      <c r="AJ20" s="483" t="s">
        <v>180</v>
      </c>
      <c r="AK20" s="483"/>
      <c r="AL20" s="483"/>
      <c r="AM20" s="483"/>
      <c r="AN20" s="483"/>
      <c r="AO20" s="483"/>
    </row>
    <row r="21" spans="1:41" ht="9" customHeight="1" thickBot="1">
      <c r="A21" s="485"/>
      <c r="B21" s="158" t="s">
        <v>169</v>
      </c>
      <c r="C21" s="165">
        <f>0.2*C18</f>
        <v>2.6515151515151516E-2</v>
      </c>
      <c r="D21" s="158" t="s">
        <v>169</v>
      </c>
      <c r="E21" s="165">
        <f>0.2*E18</f>
        <v>3.0303030303030304E-2</v>
      </c>
      <c r="F21" s="158" t="s">
        <v>169</v>
      </c>
      <c r="G21" s="165">
        <f>0.2*G18</f>
        <v>3.4090909090909088E-2</v>
      </c>
      <c r="H21" s="158" t="s">
        <v>169</v>
      </c>
      <c r="I21" s="165">
        <f>0.2*I18</f>
        <v>3.787878787878788E-2</v>
      </c>
      <c r="J21" s="158" t="s">
        <v>169</v>
      </c>
      <c r="K21" s="165">
        <f>0.2*K18</f>
        <v>4.1666666666666671E-2</v>
      </c>
      <c r="L21" s="158" t="s">
        <v>169</v>
      </c>
      <c r="M21" s="165">
        <f>0.2*M18</f>
        <v>4.5454545454545456E-2</v>
      </c>
      <c r="N21" s="485"/>
      <c r="O21" s="158" t="s">
        <v>169</v>
      </c>
      <c r="P21" s="165">
        <f>0.2*P18</f>
        <v>1.5909090909090907E-2</v>
      </c>
      <c r="Q21" s="158" t="s">
        <v>169</v>
      </c>
      <c r="R21" s="165">
        <f>0.2*R18</f>
        <v>1.8181818181818184E-2</v>
      </c>
      <c r="S21" s="158" t="s">
        <v>169</v>
      </c>
      <c r="T21" s="165">
        <f>0.2*T18</f>
        <v>2.0454545454545454E-2</v>
      </c>
      <c r="U21" s="158" t="s">
        <v>169</v>
      </c>
      <c r="V21" s="165">
        <f>0.2*V18</f>
        <v>2.2727272727272728E-2</v>
      </c>
      <c r="W21" s="158" t="s">
        <v>169</v>
      </c>
      <c r="X21" s="165">
        <f>0.2*X18</f>
        <v>2.5000000000000001E-2</v>
      </c>
      <c r="Y21" s="158" t="s">
        <v>169</v>
      </c>
      <c r="Z21" s="165">
        <f>0.2*Z18</f>
        <v>2.7272727272727271E-2</v>
      </c>
      <c r="AA21" s="488"/>
      <c r="AB21" s="166">
        <v>0.35</v>
      </c>
      <c r="AC21" s="167">
        <v>0.4</v>
      </c>
      <c r="AD21" s="167">
        <v>0.45</v>
      </c>
      <c r="AE21" s="167">
        <v>0.5</v>
      </c>
      <c r="AF21" s="167">
        <v>0.55000000000000004</v>
      </c>
      <c r="AG21" s="167">
        <v>0.6</v>
      </c>
      <c r="AI21" s="488"/>
      <c r="AJ21" s="166">
        <v>0.35</v>
      </c>
      <c r="AK21" s="167">
        <v>0.4</v>
      </c>
      <c r="AL21" s="167">
        <v>0.45</v>
      </c>
      <c r="AM21" s="167">
        <v>0.5</v>
      </c>
      <c r="AN21" s="167">
        <v>0.55000000000000004</v>
      </c>
      <c r="AO21" s="167">
        <v>0.6</v>
      </c>
    </row>
    <row r="22" spans="1:41" ht="9" customHeight="1">
      <c r="A22" s="485"/>
      <c r="B22" s="158" t="s">
        <v>170</v>
      </c>
      <c r="C22" s="165">
        <f>0.05*C18</f>
        <v>6.628787878787879E-3</v>
      </c>
      <c r="D22" s="158" t="s">
        <v>170</v>
      </c>
      <c r="E22" s="165">
        <f>0.05*E18</f>
        <v>7.575757575757576E-3</v>
      </c>
      <c r="F22" s="158" t="s">
        <v>170</v>
      </c>
      <c r="G22" s="165">
        <f>0.05*G18</f>
        <v>8.5227272727272721E-3</v>
      </c>
      <c r="H22" s="158" t="s">
        <v>170</v>
      </c>
      <c r="I22" s="165">
        <f>0.05*I18</f>
        <v>9.46969696969697E-3</v>
      </c>
      <c r="J22" s="158" t="s">
        <v>170</v>
      </c>
      <c r="K22" s="165">
        <f>0.05*K18</f>
        <v>1.0416666666666668E-2</v>
      </c>
      <c r="L22" s="158" t="s">
        <v>170</v>
      </c>
      <c r="M22" s="165">
        <f>0.05*M18</f>
        <v>1.1363636363636364E-2</v>
      </c>
      <c r="N22" s="485"/>
      <c r="O22" s="158" t="s">
        <v>170</v>
      </c>
      <c r="P22" s="165">
        <f>0.05*P18</f>
        <v>3.9772727272727269E-3</v>
      </c>
      <c r="Q22" s="158" t="s">
        <v>170</v>
      </c>
      <c r="R22" s="165">
        <f>0.05*R18</f>
        <v>4.5454545454545461E-3</v>
      </c>
      <c r="S22" s="158" t="s">
        <v>170</v>
      </c>
      <c r="T22" s="165">
        <f>0.05*T18</f>
        <v>5.1136363636363636E-3</v>
      </c>
      <c r="U22" s="158" t="s">
        <v>170</v>
      </c>
      <c r="V22" s="165">
        <f>0.05*V18</f>
        <v>5.681818181818182E-3</v>
      </c>
      <c r="W22" s="158" t="s">
        <v>170</v>
      </c>
      <c r="X22" s="165">
        <f>0.05*X18</f>
        <v>6.2500000000000003E-3</v>
      </c>
      <c r="Y22" s="158" t="s">
        <v>170</v>
      </c>
      <c r="Z22" s="165">
        <f>0.05*Z18</f>
        <v>6.8181818181818179E-3</v>
      </c>
      <c r="AA22" s="168">
        <v>1</v>
      </c>
      <c r="AB22" s="169">
        <f>$AB$3*$AF$3*AB7</f>
        <v>9.2315999999999981E-2</v>
      </c>
      <c r="AC22" s="169">
        <f>$AB$3*$AF$3*AC7</f>
        <v>0.105504</v>
      </c>
      <c r="AD22" s="169">
        <f t="shared" ref="AD22:AF22" si="0">$AB$3*$AF$3*AD7</f>
        <v>0.11869199999999998</v>
      </c>
      <c r="AE22" s="169">
        <f t="shared" si="0"/>
        <v>0.13188</v>
      </c>
      <c r="AF22" s="169">
        <f t="shared" si="0"/>
        <v>0.145068</v>
      </c>
      <c r="AG22" s="169">
        <f>$AB$3*$AF$3*AG7</f>
        <v>0.15825600000000001</v>
      </c>
      <c r="AI22" s="168">
        <v>1</v>
      </c>
      <c r="AJ22" s="182">
        <f>$C$5/AB22</f>
        <v>3.0698991476732007</v>
      </c>
      <c r="AK22" s="182">
        <f>$E$5/AC22</f>
        <v>3.0698991476732007</v>
      </c>
      <c r="AL22" s="182">
        <f>$G$5/AD22</f>
        <v>3.0698991476732012</v>
      </c>
      <c r="AM22" s="182">
        <f>$I$5/AE22</f>
        <v>3.0698991476732007</v>
      </c>
      <c r="AN22" s="182">
        <f>$K$5/AF22</f>
        <v>3.0698991476732003</v>
      </c>
      <c r="AO22" s="182">
        <f>$M$5/AG22</f>
        <v>3.0698991476731998</v>
      </c>
    </row>
    <row r="23" spans="1:41" ht="9" customHeight="1">
      <c r="A23" s="485"/>
      <c r="B23" s="171" t="s">
        <v>171</v>
      </c>
      <c r="C23" s="172">
        <f>0.6*C18</f>
        <v>7.9545454545454544E-2</v>
      </c>
      <c r="D23" s="171" t="s">
        <v>171</v>
      </c>
      <c r="E23" s="172">
        <f>0.6*E18</f>
        <v>9.0909090909090912E-2</v>
      </c>
      <c r="F23" s="171" t="s">
        <v>171</v>
      </c>
      <c r="G23" s="172">
        <f>0.6*G18</f>
        <v>0.10227272727272727</v>
      </c>
      <c r="H23" s="171" t="s">
        <v>171</v>
      </c>
      <c r="I23" s="172">
        <f>0.6*I18</f>
        <v>0.11363636363636363</v>
      </c>
      <c r="J23" s="171" t="s">
        <v>171</v>
      </c>
      <c r="K23" s="172">
        <f>0.6*K18</f>
        <v>0.125</v>
      </c>
      <c r="L23" s="171" t="s">
        <v>171</v>
      </c>
      <c r="M23" s="172">
        <f>0.6*M18</f>
        <v>0.13636363636363635</v>
      </c>
      <c r="N23" s="485"/>
      <c r="O23" s="171" t="s">
        <v>171</v>
      </c>
      <c r="P23" s="172">
        <f>0.6*P18</f>
        <v>4.7727272727272715E-2</v>
      </c>
      <c r="Q23" s="171" t="s">
        <v>171</v>
      </c>
      <c r="R23" s="172">
        <f>0.6*R18</f>
        <v>5.4545454545454543E-2</v>
      </c>
      <c r="S23" s="171" t="s">
        <v>171</v>
      </c>
      <c r="T23" s="172">
        <f>0.6*T18</f>
        <v>6.1363636363636356E-2</v>
      </c>
      <c r="U23" s="171" t="s">
        <v>171</v>
      </c>
      <c r="V23" s="172">
        <f>0.6*V18</f>
        <v>6.8181818181818177E-2</v>
      </c>
      <c r="W23" s="171" t="s">
        <v>171</v>
      </c>
      <c r="X23" s="172">
        <f>0.6*X18</f>
        <v>7.4999999999999997E-2</v>
      </c>
      <c r="Y23" s="171" t="s">
        <v>171</v>
      </c>
      <c r="Z23" s="172">
        <f>0.6*Z18</f>
        <v>8.1818181818181804E-2</v>
      </c>
      <c r="AA23" s="170">
        <v>1.2</v>
      </c>
      <c r="AB23" s="169">
        <f t="shared" ref="AB23:AG33" si="1">$AB$3*$AF$3*AB8</f>
        <v>7.6929999999999998E-2</v>
      </c>
      <c r="AC23" s="169">
        <f t="shared" si="1"/>
        <v>8.7919999999999998E-2</v>
      </c>
      <c r="AD23" s="169">
        <f t="shared" si="1"/>
        <v>9.8909999999999984E-2</v>
      </c>
      <c r="AE23" s="169">
        <f t="shared" si="1"/>
        <v>0.1099</v>
      </c>
      <c r="AF23" s="169">
        <f t="shared" si="1"/>
        <v>0.12089</v>
      </c>
      <c r="AG23" s="169">
        <f t="shared" si="1"/>
        <v>0.13188</v>
      </c>
      <c r="AI23" s="170">
        <v>1.2</v>
      </c>
      <c r="AJ23" s="182">
        <f>$C$19/AB23</f>
        <v>3.6838789772078404</v>
      </c>
      <c r="AK23" s="182">
        <f>$E$19/AC23</f>
        <v>3.6838789772078409</v>
      </c>
      <c r="AL23" s="182">
        <f>$G$19/AD23</f>
        <v>3.6838789772078413</v>
      </c>
      <c r="AM23" s="182">
        <f>$I$19/AE23</f>
        <v>3.6838789772078409</v>
      </c>
      <c r="AN23" s="182">
        <f>$K$19/AF23</f>
        <v>3.6838789772078409</v>
      </c>
      <c r="AO23" s="182">
        <f>$M$19/AG23</f>
        <v>3.6838789772078404</v>
      </c>
    </row>
    <row r="24" spans="1:41" ht="9" customHeight="1">
      <c r="A24" s="485"/>
      <c r="B24" s="171" t="s">
        <v>172</v>
      </c>
      <c r="C24" s="172">
        <f>C19/C23</f>
        <v>3.5627530364372464</v>
      </c>
      <c r="D24" s="171" t="s">
        <v>172</v>
      </c>
      <c r="E24" s="172">
        <f>E19/E23</f>
        <v>3.5627530364372468</v>
      </c>
      <c r="F24" s="171" t="s">
        <v>172</v>
      </c>
      <c r="G24" s="172">
        <f>G19/G23</f>
        <v>3.5627530364372473</v>
      </c>
      <c r="H24" s="171" t="s">
        <v>172</v>
      </c>
      <c r="I24" s="172">
        <f>I19/I23</f>
        <v>3.5627530364372468</v>
      </c>
      <c r="J24" s="171" t="s">
        <v>172</v>
      </c>
      <c r="K24" s="172">
        <f>K19/K23</f>
        <v>3.5627530364372468</v>
      </c>
      <c r="L24" s="171" t="s">
        <v>172</v>
      </c>
      <c r="M24" s="172">
        <f>M19/M23</f>
        <v>3.5627530364372468</v>
      </c>
      <c r="N24" s="485"/>
      <c r="O24" s="171" t="s">
        <v>172</v>
      </c>
      <c r="P24" s="172">
        <f>P19/P23</f>
        <v>5.9379217273954117</v>
      </c>
      <c r="Q24" s="171" t="s">
        <v>172</v>
      </c>
      <c r="R24" s="172">
        <f>R19/R23</f>
        <v>5.9379217273954117</v>
      </c>
      <c r="S24" s="171" t="s">
        <v>172</v>
      </c>
      <c r="T24" s="172">
        <f>T19/T23</f>
        <v>5.9379217273954126</v>
      </c>
      <c r="U24" s="171" t="s">
        <v>172</v>
      </c>
      <c r="V24" s="172">
        <f>V19/V23</f>
        <v>5.9379217273954117</v>
      </c>
      <c r="W24" s="171" t="s">
        <v>172</v>
      </c>
      <c r="X24" s="172">
        <f>X19/X23</f>
        <v>5.9379217273954117</v>
      </c>
      <c r="Y24" s="171" t="s">
        <v>172</v>
      </c>
      <c r="Z24" s="172">
        <f>Z19/Z23</f>
        <v>5.9379217273954117</v>
      </c>
      <c r="AA24" s="170">
        <v>1.5</v>
      </c>
      <c r="AB24" s="169">
        <f t="shared" si="1"/>
        <v>6.1543999999999995E-2</v>
      </c>
      <c r="AC24" s="169">
        <f t="shared" si="1"/>
        <v>7.0335999999999996E-2</v>
      </c>
      <c r="AD24" s="169">
        <f t="shared" si="1"/>
        <v>7.9128000000000004E-2</v>
      </c>
      <c r="AE24" s="169">
        <f t="shared" si="1"/>
        <v>8.7919999999999984E-2</v>
      </c>
      <c r="AF24" s="169">
        <f t="shared" si="1"/>
        <v>9.6711999999999992E-2</v>
      </c>
      <c r="AG24" s="169">
        <f t="shared" si="1"/>
        <v>0.10550399999999997</v>
      </c>
      <c r="AI24" s="170">
        <v>1.5</v>
      </c>
      <c r="AJ24" s="182">
        <f>$C$33/AB24</f>
        <v>4.6048487215098008</v>
      </c>
      <c r="AK24" s="182">
        <f>$E$33/AC24</f>
        <v>4.6048487215098008</v>
      </c>
      <c r="AL24" s="182">
        <f>$G$33/AD24</f>
        <v>4.6048487215098008</v>
      </c>
      <c r="AM24" s="182">
        <f>$I$33/AE24</f>
        <v>4.6048487215098017</v>
      </c>
      <c r="AN24" s="182">
        <f>$K$33/AF24</f>
        <v>4.6048487215098008</v>
      </c>
      <c r="AO24" s="182">
        <f>$M$33/AG24</f>
        <v>4.6048487215098017</v>
      </c>
    </row>
    <row r="25" spans="1:41" ht="9" customHeight="1">
      <c r="A25" s="485"/>
      <c r="B25" s="158" t="s">
        <v>173</v>
      </c>
      <c r="C25" s="165">
        <f>(C18-C21)/2</f>
        <v>5.3030303030303025E-2</v>
      </c>
      <c r="D25" s="158" t="s">
        <v>173</v>
      </c>
      <c r="E25" s="165">
        <f>(E18-E21)/2</f>
        <v>6.0606060606060608E-2</v>
      </c>
      <c r="F25" s="158" t="s">
        <v>173</v>
      </c>
      <c r="G25" s="165">
        <f>(G18-G21)/2</f>
        <v>6.8181818181818177E-2</v>
      </c>
      <c r="H25" s="158" t="s">
        <v>173</v>
      </c>
      <c r="I25" s="165">
        <f>(I18-I21)/2</f>
        <v>7.575757575757576E-2</v>
      </c>
      <c r="J25" s="158" t="s">
        <v>173</v>
      </c>
      <c r="K25" s="165">
        <f>(K18-K21)/2</f>
        <v>8.3333333333333343E-2</v>
      </c>
      <c r="L25" s="158" t="s">
        <v>173</v>
      </c>
      <c r="M25" s="165">
        <f>(M18-M21)/2</f>
        <v>9.0909090909090912E-2</v>
      </c>
      <c r="N25" s="485"/>
      <c r="O25" s="158" t="s">
        <v>173</v>
      </c>
      <c r="P25" s="165">
        <f>(P18-P21)/2</f>
        <v>3.1818181818181815E-2</v>
      </c>
      <c r="Q25" s="158" t="s">
        <v>173</v>
      </c>
      <c r="R25" s="165">
        <f>(R18-R21)/2</f>
        <v>3.6363636363636362E-2</v>
      </c>
      <c r="S25" s="158" t="s">
        <v>173</v>
      </c>
      <c r="T25" s="165">
        <f>(T18-T21)/2</f>
        <v>4.0909090909090909E-2</v>
      </c>
      <c r="U25" s="158" t="s">
        <v>173</v>
      </c>
      <c r="V25" s="165">
        <f>(V18-V21)/2</f>
        <v>4.5454545454545456E-2</v>
      </c>
      <c r="W25" s="158" t="s">
        <v>173</v>
      </c>
      <c r="X25" s="165">
        <f>(X18-X21)/2</f>
        <v>0.05</v>
      </c>
      <c r="Y25" s="158" t="s">
        <v>173</v>
      </c>
      <c r="Z25" s="165">
        <f>(Z18-Z21)/2</f>
        <v>5.4545454545454543E-2</v>
      </c>
      <c r="AA25" s="170">
        <v>1.8</v>
      </c>
      <c r="AB25" s="169">
        <f t="shared" si="1"/>
        <v>5.1286666666666661E-2</v>
      </c>
      <c r="AC25" s="169">
        <f t="shared" si="1"/>
        <v>5.8613333333333337E-2</v>
      </c>
      <c r="AD25" s="169">
        <f t="shared" si="1"/>
        <v>6.5939999999999999E-2</v>
      </c>
      <c r="AE25" s="169">
        <f t="shared" si="1"/>
        <v>7.3266666666666661E-2</v>
      </c>
      <c r="AF25" s="169">
        <f t="shared" si="1"/>
        <v>8.0593333333333336E-2</v>
      </c>
      <c r="AG25" s="169">
        <f t="shared" si="1"/>
        <v>8.7919999999999984E-2</v>
      </c>
      <c r="AI25" s="170">
        <v>1.8</v>
      </c>
      <c r="AJ25" s="182">
        <f>$P$5/AB25</f>
        <v>5.5258184658117608</v>
      </c>
      <c r="AK25" s="182">
        <f>$R$5/AC25</f>
        <v>5.5258184658117608</v>
      </c>
      <c r="AL25" s="182">
        <f>$T$5/AD25</f>
        <v>5.5258184658117608</v>
      </c>
      <c r="AM25" s="182">
        <f>$V$5/AE25</f>
        <v>5.5258184658117617</v>
      </c>
      <c r="AN25" s="182">
        <f>$X$5/AF25</f>
        <v>5.5258184658117608</v>
      </c>
      <c r="AO25" s="182">
        <f>$Z$5/AG25</f>
        <v>5.5258184658117608</v>
      </c>
    </row>
    <row r="26" spans="1:41" ht="9" customHeight="1">
      <c r="A26" s="485"/>
      <c r="B26" s="158" t="s">
        <v>58</v>
      </c>
      <c r="C26" s="165">
        <f>C17/2</f>
        <v>0.14583333333333334</v>
      </c>
      <c r="D26" s="158" t="s">
        <v>58</v>
      </c>
      <c r="E26" s="165">
        <f>E17/2</f>
        <v>0.16666666666666669</v>
      </c>
      <c r="F26" s="158" t="s">
        <v>58</v>
      </c>
      <c r="G26" s="165">
        <f>G17/2</f>
        <v>0.1875</v>
      </c>
      <c r="H26" s="158" t="s">
        <v>58</v>
      </c>
      <c r="I26" s="165">
        <f>I17/2</f>
        <v>0.20833333333333334</v>
      </c>
      <c r="J26" s="158" t="s">
        <v>58</v>
      </c>
      <c r="K26" s="165">
        <f>K17/2</f>
        <v>0.22916666666666669</v>
      </c>
      <c r="L26" s="158" t="s">
        <v>58</v>
      </c>
      <c r="M26" s="165">
        <f>M17/2</f>
        <v>0.25</v>
      </c>
      <c r="N26" s="485"/>
      <c r="O26" s="158" t="s">
        <v>58</v>
      </c>
      <c r="P26" s="165">
        <f>P17/2</f>
        <v>8.7499999999999994E-2</v>
      </c>
      <c r="Q26" s="158" t="s">
        <v>58</v>
      </c>
      <c r="R26" s="165">
        <f>R17/2</f>
        <v>0.1</v>
      </c>
      <c r="S26" s="158" t="s">
        <v>58</v>
      </c>
      <c r="T26" s="165">
        <f>T17/2</f>
        <v>0.1125</v>
      </c>
      <c r="U26" s="158" t="s">
        <v>58</v>
      </c>
      <c r="V26" s="165">
        <f>V17/2</f>
        <v>0.125</v>
      </c>
      <c r="W26" s="158" t="s">
        <v>58</v>
      </c>
      <c r="X26" s="165">
        <f>X17/2</f>
        <v>0.13750000000000001</v>
      </c>
      <c r="Y26" s="158" t="s">
        <v>58</v>
      </c>
      <c r="Z26" s="165">
        <f>Z17/2</f>
        <v>0.15</v>
      </c>
      <c r="AA26" s="170">
        <v>2</v>
      </c>
      <c r="AB26" s="169">
        <f t="shared" si="1"/>
        <v>4.6157999999999991E-2</v>
      </c>
      <c r="AC26" s="169">
        <f t="shared" si="1"/>
        <v>5.2752E-2</v>
      </c>
      <c r="AD26" s="169">
        <f t="shared" si="1"/>
        <v>5.9345999999999989E-2</v>
      </c>
      <c r="AE26" s="169">
        <f t="shared" si="1"/>
        <v>6.5939999999999999E-2</v>
      </c>
      <c r="AF26" s="169">
        <f t="shared" si="1"/>
        <v>7.2534000000000001E-2</v>
      </c>
      <c r="AG26" s="169">
        <f t="shared" si="1"/>
        <v>7.9128000000000004E-2</v>
      </c>
      <c r="AI26" s="170">
        <v>2</v>
      </c>
      <c r="AJ26" s="182">
        <f>$P$19/AB26</f>
        <v>6.1397982953464014</v>
      </c>
      <c r="AK26" s="182">
        <f>$R$19/AC26</f>
        <v>6.1397982953464014</v>
      </c>
      <c r="AL26" s="182">
        <f>$T$19/AD26</f>
        <v>6.1397982953464023</v>
      </c>
      <c r="AM26" s="182">
        <f>$V$19/AE26</f>
        <v>6.1397982953464014</v>
      </c>
      <c r="AN26" s="182">
        <f>$X$19/AF26</f>
        <v>6.1397982953464005</v>
      </c>
      <c r="AO26" s="182">
        <f>$Z$19/AG26</f>
        <v>6.1397982953463996</v>
      </c>
    </row>
    <row r="27" spans="1:41" ht="9" customHeight="1">
      <c r="A27" s="485"/>
      <c r="B27" s="158" t="s">
        <v>174</v>
      </c>
      <c r="C27" s="174">
        <f>$AF$3*(C26^2)*B2</f>
        <v>2.3372829861111114E-2</v>
      </c>
      <c r="D27" s="158" t="s">
        <v>174</v>
      </c>
      <c r="E27" s="174">
        <f>$AF$3*(E26^2)*D2</f>
        <v>3.48888888888889E-2</v>
      </c>
      <c r="F27" s="158" t="s">
        <v>174</v>
      </c>
      <c r="G27" s="174">
        <f>$AF$3*(G26^2)*F2</f>
        <v>4.9675781250000002E-2</v>
      </c>
      <c r="H27" s="158" t="s">
        <v>174</v>
      </c>
      <c r="I27" s="174">
        <f>$AF$3*(I26^2)*H2</f>
        <v>6.8142361111111119E-2</v>
      </c>
      <c r="J27" s="158" t="s">
        <v>174</v>
      </c>
      <c r="K27" s="174">
        <f>$AF$3*(K26^2)*J2</f>
        <v>9.069748263888891E-2</v>
      </c>
      <c r="L27" s="158" t="s">
        <v>174</v>
      </c>
      <c r="M27" s="174">
        <f>$AF$3*(M26^2)*L2</f>
        <v>0.11774999999999999</v>
      </c>
      <c r="N27" s="485"/>
      <c r="O27" s="158" t="s">
        <v>174</v>
      </c>
      <c r="P27" s="174">
        <f>$AF$3*(P26^2)*O2</f>
        <v>8.414218749999999E-3</v>
      </c>
      <c r="Q27" s="158" t="s">
        <v>174</v>
      </c>
      <c r="R27" s="174">
        <f>$AF$3*(R26^2)*Q2</f>
        <v>1.2560000000000002E-2</v>
      </c>
      <c r="S27" s="158" t="s">
        <v>174</v>
      </c>
      <c r="T27" s="174">
        <f>$AF$3*(T26^2)*S2</f>
        <v>1.7883281250000001E-2</v>
      </c>
      <c r="U27" s="158" t="s">
        <v>174</v>
      </c>
      <c r="V27" s="174">
        <f>$AF$3*(V26^2)*U2</f>
        <v>2.4531250000000001E-2</v>
      </c>
      <c r="W27" s="158" t="s">
        <v>174</v>
      </c>
      <c r="X27" s="174">
        <f>$AF$3*(X26^2)*W2</f>
        <v>3.2651093750000013E-2</v>
      </c>
      <c r="Y27" s="158" t="s">
        <v>174</v>
      </c>
      <c r="Z27" s="174">
        <f>$AF$3*(Z26^2)*Y2</f>
        <v>4.2390000000000004E-2</v>
      </c>
      <c r="AA27" s="170">
        <v>2.5</v>
      </c>
      <c r="AB27" s="183">
        <f t="shared" si="1"/>
        <v>3.6926399999999998E-2</v>
      </c>
      <c r="AC27" s="169">
        <f t="shared" si="1"/>
        <v>4.2201599999999999E-2</v>
      </c>
      <c r="AD27" s="169">
        <f t="shared" si="1"/>
        <v>4.7476799999999993E-2</v>
      </c>
      <c r="AE27" s="169">
        <f t="shared" si="1"/>
        <v>5.2752E-2</v>
      </c>
      <c r="AF27" s="169">
        <f t="shared" si="1"/>
        <v>5.8027200000000001E-2</v>
      </c>
      <c r="AG27" s="169">
        <f t="shared" si="1"/>
        <v>6.3302399999999995E-2</v>
      </c>
      <c r="AI27" s="170">
        <v>2.5</v>
      </c>
      <c r="AJ27" s="182">
        <f>$P$33/AB27</f>
        <v>7.6747478691830011</v>
      </c>
      <c r="AK27" s="182">
        <f>$R$33/AC27</f>
        <v>7.674747869183002</v>
      </c>
      <c r="AL27" s="182">
        <f>$T$33/AD27</f>
        <v>7.6747478691830029</v>
      </c>
      <c r="AM27" s="182">
        <f>$V$33/AE27</f>
        <v>7.6747478691830011</v>
      </c>
      <c r="AN27" s="182">
        <f>$X$33/AF27</f>
        <v>7.6747478691830011</v>
      </c>
      <c r="AO27" s="182">
        <f>$Z$33/AG27</f>
        <v>7.6747478691830011</v>
      </c>
    </row>
    <row r="28" spans="1:41" ht="9" customHeight="1">
      <c r="A28" s="485"/>
      <c r="B28" s="158" t="s">
        <v>175</v>
      </c>
      <c r="C28" s="165">
        <f>0.7*C27</f>
        <v>1.636098090277778E-2</v>
      </c>
      <c r="D28" s="158" t="s">
        <v>175</v>
      </c>
      <c r="E28" s="165">
        <f>0.7*E27</f>
        <v>2.4422222222222227E-2</v>
      </c>
      <c r="F28" s="158" t="s">
        <v>175</v>
      </c>
      <c r="G28" s="165">
        <f>0.7*G27</f>
        <v>3.4773046874999998E-2</v>
      </c>
      <c r="H28" s="158" t="s">
        <v>175</v>
      </c>
      <c r="I28" s="165">
        <f>0.7*I27</f>
        <v>4.7699652777777782E-2</v>
      </c>
      <c r="J28" s="158" t="s">
        <v>175</v>
      </c>
      <c r="K28" s="165">
        <f>0.7*K27</f>
        <v>6.348823784722224E-2</v>
      </c>
      <c r="L28" s="158" t="s">
        <v>175</v>
      </c>
      <c r="M28" s="165">
        <f>0.7*M27</f>
        <v>8.2424999999999984E-2</v>
      </c>
      <c r="N28" s="485"/>
      <c r="O28" s="158" t="s">
        <v>175</v>
      </c>
      <c r="P28" s="165">
        <f>0.7*P27</f>
        <v>5.8899531249999989E-3</v>
      </c>
      <c r="Q28" s="158" t="s">
        <v>175</v>
      </c>
      <c r="R28" s="165">
        <f>0.7*R27</f>
        <v>8.7920000000000012E-3</v>
      </c>
      <c r="S28" s="158" t="s">
        <v>175</v>
      </c>
      <c r="T28" s="165">
        <f>0.7*T27</f>
        <v>1.2518296874999999E-2</v>
      </c>
      <c r="U28" s="158" t="s">
        <v>175</v>
      </c>
      <c r="V28" s="165">
        <f>0.7*V27</f>
        <v>1.7171875E-2</v>
      </c>
      <c r="W28" s="158" t="s">
        <v>175</v>
      </c>
      <c r="X28" s="165">
        <f>0.7*X27</f>
        <v>2.2855765625000007E-2</v>
      </c>
      <c r="Y28" s="158" t="s">
        <v>175</v>
      </c>
      <c r="Z28" s="165">
        <f>0.7*Z27</f>
        <v>2.9673000000000001E-2</v>
      </c>
      <c r="AA28" s="170">
        <v>3</v>
      </c>
      <c r="AB28" s="169">
        <f t="shared" si="1"/>
        <v>3.0771999999999997E-2</v>
      </c>
      <c r="AC28" s="169">
        <f t="shared" si="1"/>
        <v>3.5167999999999998E-2</v>
      </c>
      <c r="AD28" s="169">
        <f t="shared" si="1"/>
        <v>3.9564000000000002E-2</v>
      </c>
      <c r="AE28" s="169">
        <f t="shared" si="1"/>
        <v>4.3959999999999992E-2</v>
      </c>
      <c r="AF28" s="169">
        <f t="shared" si="1"/>
        <v>4.8355999999999996E-2</v>
      </c>
      <c r="AG28" s="169">
        <f t="shared" si="1"/>
        <v>5.2751999999999986E-2</v>
      </c>
      <c r="AI28" s="170">
        <v>3</v>
      </c>
      <c r="AJ28" s="184">
        <f>$C$49/AB28</f>
        <v>9.2096974430196017</v>
      </c>
      <c r="AK28" s="184">
        <f>$E$49/AC28</f>
        <v>9.2096974430196017</v>
      </c>
      <c r="AL28" s="184">
        <f>$G$49/AD28</f>
        <v>9.2096974430196017</v>
      </c>
      <c r="AM28" s="184">
        <f>$I$49/AE28</f>
        <v>9.2096974430196035</v>
      </c>
      <c r="AN28" s="184">
        <f>$K$49/AF28</f>
        <v>9.2096974430196017</v>
      </c>
      <c r="AO28" s="184">
        <f>$M$49/AG28</f>
        <v>9.2096974430196035</v>
      </c>
    </row>
    <row r="29" spans="1:41" ht="9" customHeight="1" thickBot="1">
      <c r="A29" s="486"/>
      <c r="B29" s="176" t="s">
        <v>176</v>
      </c>
      <c r="C29" s="177">
        <v>188</v>
      </c>
      <c r="D29" s="177" t="s">
        <v>176</v>
      </c>
      <c r="E29" s="177">
        <v>216</v>
      </c>
      <c r="F29" s="177" t="s">
        <v>176</v>
      </c>
      <c r="G29" s="177">
        <v>248</v>
      </c>
      <c r="H29" s="177" t="s">
        <v>176</v>
      </c>
      <c r="I29" s="177">
        <v>276</v>
      </c>
      <c r="J29" s="177" t="s">
        <v>176</v>
      </c>
      <c r="K29" s="177">
        <v>300</v>
      </c>
      <c r="L29" s="177" t="s">
        <v>176</v>
      </c>
      <c r="M29" s="178">
        <v>328</v>
      </c>
      <c r="N29" s="485"/>
      <c r="O29" s="176" t="s">
        <v>176</v>
      </c>
      <c r="P29" s="177">
        <v>117</v>
      </c>
      <c r="Q29" s="177" t="s">
        <v>176</v>
      </c>
      <c r="R29" s="177">
        <v>134</v>
      </c>
      <c r="S29" s="177" t="s">
        <v>176</v>
      </c>
      <c r="T29" s="177">
        <v>153</v>
      </c>
      <c r="U29" s="177" t="s">
        <v>176</v>
      </c>
      <c r="V29" s="177">
        <v>163</v>
      </c>
      <c r="W29" s="177" t="s">
        <v>176</v>
      </c>
      <c r="X29" s="177">
        <v>182</v>
      </c>
      <c r="Y29" s="177" t="s">
        <v>176</v>
      </c>
      <c r="Z29" s="177">
        <v>199</v>
      </c>
      <c r="AA29" s="175">
        <v>3.5</v>
      </c>
      <c r="AB29" s="169">
        <f t="shared" si="1"/>
        <v>2.6375999999999993E-2</v>
      </c>
      <c r="AC29" s="169">
        <f t="shared" si="1"/>
        <v>3.0144000000000004E-2</v>
      </c>
      <c r="AD29" s="169">
        <f>$AB$3*$AF$3*AD14</f>
        <v>3.3912000000000005E-2</v>
      </c>
      <c r="AE29" s="169">
        <f t="shared" si="1"/>
        <v>3.7679999999999998E-2</v>
      </c>
      <c r="AF29" s="169">
        <f t="shared" si="1"/>
        <v>4.1448000000000006E-2</v>
      </c>
      <c r="AG29" s="169">
        <f t="shared" si="1"/>
        <v>4.5215999999999999E-2</v>
      </c>
      <c r="AI29" s="175">
        <v>3.5</v>
      </c>
      <c r="AJ29" s="184">
        <f>$C$63/AB29</f>
        <v>10.744647016856204</v>
      </c>
      <c r="AK29" s="184">
        <f>$E$63/AC29</f>
        <v>10.7446470168562</v>
      </c>
      <c r="AL29" s="184">
        <f>$G$63/AD29</f>
        <v>10.7446470168562</v>
      </c>
      <c r="AM29" s="184">
        <f>$I$63/AE29</f>
        <v>10.744647016856202</v>
      </c>
      <c r="AN29" s="184">
        <f>$K$63/AF29</f>
        <v>10.7446470168562</v>
      </c>
      <c r="AO29" s="184">
        <f>$M$63/AG29</f>
        <v>10.7446470168562</v>
      </c>
    </row>
    <row r="30" spans="1:41" ht="9" customHeight="1" thickTop="1">
      <c r="A30" s="180"/>
      <c r="N30" s="180"/>
      <c r="AA30" s="170">
        <v>4</v>
      </c>
      <c r="AB30" s="169">
        <f t="shared" si="1"/>
        <v>2.3078999999999995E-2</v>
      </c>
      <c r="AC30" s="169">
        <f t="shared" si="1"/>
        <v>2.6376E-2</v>
      </c>
      <c r="AD30" s="183">
        <f t="shared" si="1"/>
        <v>2.9672999999999995E-2</v>
      </c>
      <c r="AE30" s="169">
        <f t="shared" si="1"/>
        <v>3.2969999999999999E-2</v>
      </c>
      <c r="AF30" s="169">
        <f t="shared" si="1"/>
        <v>3.6267000000000001E-2</v>
      </c>
      <c r="AG30" s="169">
        <f t="shared" si="1"/>
        <v>3.9564000000000002E-2</v>
      </c>
      <c r="AI30" s="170">
        <v>4</v>
      </c>
      <c r="AJ30" s="184">
        <f>$C$77/AB30</f>
        <v>12.279596590692803</v>
      </c>
      <c r="AK30" s="184">
        <f>$E$77/AC30</f>
        <v>12.279596590692803</v>
      </c>
      <c r="AL30" s="184">
        <f>$G$77/AD30</f>
        <v>12.279596590692805</v>
      </c>
      <c r="AM30" s="184">
        <f>$I$77/AE30</f>
        <v>12.279596590692803</v>
      </c>
      <c r="AN30" s="184">
        <f>$K$77/AF30</f>
        <v>12.279596590692801</v>
      </c>
      <c r="AO30" s="184">
        <f>$M$77/AG30</f>
        <v>12.279596590692799</v>
      </c>
    </row>
    <row r="31" spans="1:41" ht="9" customHeight="1">
      <c r="A31" s="484" t="s">
        <v>181</v>
      </c>
      <c r="B31" s="163" t="s">
        <v>163</v>
      </c>
      <c r="C31" s="164">
        <f>B2/$A$31</f>
        <v>0.23333333333333331</v>
      </c>
      <c r="D31" s="163" t="s">
        <v>163</v>
      </c>
      <c r="E31" s="164">
        <f>D2/$A$31</f>
        <v>0.26666666666666666</v>
      </c>
      <c r="F31" s="163" t="s">
        <v>163</v>
      </c>
      <c r="G31" s="164">
        <f>F2/$A$31</f>
        <v>0.3</v>
      </c>
      <c r="H31" s="163" t="s">
        <v>163</v>
      </c>
      <c r="I31" s="164">
        <f>H2/$A$31</f>
        <v>0.33333333333333331</v>
      </c>
      <c r="J31" s="163" t="s">
        <v>163</v>
      </c>
      <c r="K31" s="164">
        <f>J2/$A$31</f>
        <v>0.3666666666666667</v>
      </c>
      <c r="L31" s="163" t="s">
        <v>163</v>
      </c>
      <c r="M31" s="164">
        <f>L2/$A$31</f>
        <v>0.39999999999999997</v>
      </c>
      <c r="N31" s="485" t="s">
        <v>182</v>
      </c>
      <c r="O31" s="163" t="s">
        <v>163</v>
      </c>
      <c r="P31" s="164">
        <f>O2/$N$31</f>
        <v>0.13999999999999999</v>
      </c>
      <c r="Q31" s="163" t="s">
        <v>163</v>
      </c>
      <c r="R31" s="164">
        <f>Q2/$N$31</f>
        <v>0.16</v>
      </c>
      <c r="S31" s="163" t="s">
        <v>163</v>
      </c>
      <c r="T31" s="164">
        <f>S2/$N$31</f>
        <v>0.18</v>
      </c>
      <c r="U31" s="163" t="s">
        <v>163</v>
      </c>
      <c r="V31" s="164">
        <f>U2/$N$31</f>
        <v>0.2</v>
      </c>
      <c r="W31" s="163" t="s">
        <v>163</v>
      </c>
      <c r="X31" s="164">
        <f>W2/$N$31</f>
        <v>0.22000000000000003</v>
      </c>
      <c r="Y31" s="163" t="s">
        <v>163</v>
      </c>
      <c r="Z31" s="164">
        <f>Y2/$N$31</f>
        <v>0.24</v>
      </c>
      <c r="AA31" s="170">
        <v>4.3</v>
      </c>
      <c r="AB31" s="169">
        <f t="shared" si="1"/>
        <v>2.1468837209302323E-2</v>
      </c>
      <c r="AC31" s="169">
        <f t="shared" si="1"/>
        <v>2.4535813953488372E-2</v>
      </c>
      <c r="AD31" s="169">
        <f t="shared" si="1"/>
        <v>2.7602790697674417E-2</v>
      </c>
      <c r="AE31" s="183">
        <f t="shared" si="1"/>
        <v>3.0669767441860462E-2</v>
      </c>
      <c r="AF31" s="169">
        <f t="shared" si="1"/>
        <v>3.3736744186046511E-2</v>
      </c>
      <c r="AG31" s="169">
        <f t="shared" si="1"/>
        <v>3.6803720930232556E-2</v>
      </c>
      <c r="AI31" s="170">
        <v>4.3</v>
      </c>
      <c r="AJ31" s="184">
        <f>$P$49/AB31</f>
        <v>13.200566334994763</v>
      </c>
      <c r="AK31" s="184">
        <f>$R$49/AC31</f>
        <v>13.200566334994763</v>
      </c>
      <c r="AL31" s="184">
        <f>$T$49/AD31</f>
        <v>13.200566334994763</v>
      </c>
      <c r="AM31" s="184">
        <f>$V$49/AE31</f>
        <v>13.200566334994765</v>
      </c>
      <c r="AN31" s="184">
        <f>$X$49/AF31</f>
        <v>13.200566334994763</v>
      </c>
      <c r="AO31" s="184">
        <f>$Z$49/AG31</f>
        <v>13.200566334994761</v>
      </c>
    </row>
    <row r="32" spans="1:41" ht="9" customHeight="1">
      <c r="A32" s="485"/>
      <c r="B32" s="158" t="s">
        <v>165</v>
      </c>
      <c r="C32" s="165">
        <f>C31/2.2</f>
        <v>0.10606060606060604</v>
      </c>
      <c r="D32" s="158" t="s">
        <v>165</v>
      </c>
      <c r="E32" s="165">
        <f>E31/2.2</f>
        <v>0.1212121212121212</v>
      </c>
      <c r="F32" s="158" t="s">
        <v>165</v>
      </c>
      <c r="G32" s="165">
        <f>G31/2.2</f>
        <v>0.13636363636363635</v>
      </c>
      <c r="H32" s="158" t="s">
        <v>165</v>
      </c>
      <c r="I32" s="165">
        <f>I31/2.2</f>
        <v>0.15151515151515149</v>
      </c>
      <c r="J32" s="158" t="s">
        <v>165</v>
      </c>
      <c r="K32" s="165">
        <f>K31/2.2</f>
        <v>0.16666666666666666</v>
      </c>
      <c r="L32" s="158" t="s">
        <v>165</v>
      </c>
      <c r="M32" s="165">
        <f>M31/2.2</f>
        <v>0.1818181818181818</v>
      </c>
      <c r="N32" s="485"/>
      <c r="O32" s="158" t="s">
        <v>165</v>
      </c>
      <c r="P32" s="165">
        <f>P31/2.2</f>
        <v>6.363636363636363E-2</v>
      </c>
      <c r="Q32" s="158" t="s">
        <v>165</v>
      </c>
      <c r="R32" s="165">
        <f>R31/2.2</f>
        <v>7.2727272727272724E-2</v>
      </c>
      <c r="S32" s="158" t="s">
        <v>165</v>
      </c>
      <c r="T32" s="165">
        <f>T31/2.2</f>
        <v>8.1818181818181804E-2</v>
      </c>
      <c r="U32" s="158" t="s">
        <v>165</v>
      </c>
      <c r="V32" s="165">
        <f>V31/2.2</f>
        <v>9.0909090909090912E-2</v>
      </c>
      <c r="W32" s="158" t="s">
        <v>165</v>
      </c>
      <c r="X32" s="165">
        <f>X31/2.2</f>
        <v>0.1</v>
      </c>
      <c r="Y32" s="158" t="s">
        <v>165</v>
      </c>
      <c r="Z32" s="165">
        <f>Z31/2.2</f>
        <v>0.10909090909090907</v>
      </c>
      <c r="AA32" s="170">
        <v>4.5999999999999996</v>
      </c>
      <c r="AB32" s="169">
        <f t="shared" si="1"/>
        <v>2.0068695652173913E-2</v>
      </c>
      <c r="AC32" s="169">
        <f>$AB$3*$AF$3*AC17</f>
        <v>2.2935652173913045E-2</v>
      </c>
      <c r="AD32" s="169">
        <f t="shared" si="1"/>
        <v>2.5802608695652172E-2</v>
      </c>
      <c r="AE32" s="185">
        <f>$AB$3*$AF$3*AE17</f>
        <v>2.8669565217391304E-2</v>
      </c>
      <c r="AF32" s="169">
        <f t="shared" si="1"/>
        <v>3.1536521739130442E-2</v>
      </c>
      <c r="AG32" s="169">
        <f t="shared" si="1"/>
        <v>3.4403478260869563E-2</v>
      </c>
      <c r="AI32" s="170">
        <v>4.5999999999999996</v>
      </c>
      <c r="AJ32" s="184">
        <f>$P$63/AB32</f>
        <v>14.121536079296721</v>
      </c>
      <c r="AK32" s="184">
        <f>$R$63/AC32</f>
        <v>14.121536079296723</v>
      </c>
      <c r="AL32" s="184">
        <f>$T$63/AD32</f>
        <v>14.121536079296723</v>
      </c>
      <c r="AM32" s="186">
        <f>$V$63/AE32</f>
        <v>14.121536079296723</v>
      </c>
      <c r="AN32" s="184">
        <f>$X$63/AF32</f>
        <v>14.121536079296719</v>
      </c>
      <c r="AO32" s="184">
        <f>$Z$63/AG32</f>
        <v>14.121536079296721</v>
      </c>
    </row>
    <row r="33" spans="1:41" ht="9" customHeight="1">
      <c r="A33" s="485"/>
      <c r="B33" s="158" t="s">
        <v>166</v>
      </c>
      <c r="C33" s="165">
        <f>B2/1.235</f>
        <v>0.28340080971659914</v>
      </c>
      <c r="D33" s="158" t="s">
        <v>166</v>
      </c>
      <c r="E33" s="165">
        <f>D2/1.235</f>
        <v>0.32388663967611336</v>
      </c>
      <c r="F33" s="158" t="s">
        <v>166</v>
      </c>
      <c r="G33" s="165">
        <f>F2/1.235</f>
        <v>0.36437246963562753</v>
      </c>
      <c r="H33" s="158" t="s">
        <v>166</v>
      </c>
      <c r="I33" s="165">
        <f>H2/1.235</f>
        <v>0.40485829959514169</v>
      </c>
      <c r="J33" s="158" t="s">
        <v>166</v>
      </c>
      <c r="K33" s="165">
        <f>J2/1.235</f>
        <v>0.44534412955465585</v>
      </c>
      <c r="L33" s="158" t="s">
        <v>166</v>
      </c>
      <c r="M33" s="165">
        <f>L2/1.235</f>
        <v>0.48582995951416996</v>
      </c>
      <c r="N33" s="485"/>
      <c r="O33" s="158" t="s">
        <v>166</v>
      </c>
      <c r="P33" s="165">
        <f>O2/1.235</f>
        <v>0.28340080971659914</v>
      </c>
      <c r="Q33" s="158" t="s">
        <v>166</v>
      </c>
      <c r="R33" s="165">
        <f>Q2/1.235</f>
        <v>0.32388663967611336</v>
      </c>
      <c r="S33" s="158" t="s">
        <v>166</v>
      </c>
      <c r="T33" s="165">
        <f>S2/1.235</f>
        <v>0.36437246963562753</v>
      </c>
      <c r="U33" s="158" t="s">
        <v>166</v>
      </c>
      <c r="V33" s="165">
        <f>U2/1.235</f>
        <v>0.40485829959514169</v>
      </c>
      <c r="W33" s="158" t="s">
        <v>166</v>
      </c>
      <c r="X33" s="165">
        <f>W2/1.235</f>
        <v>0.44534412955465585</v>
      </c>
      <c r="Y33" s="158" t="s">
        <v>166</v>
      </c>
      <c r="Z33" s="165">
        <f>Y2/1.235</f>
        <v>0.48582995951416996</v>
      </c>
      <c r="AA33" s="170">
        <v>5</v>
      </c>
      <c r="AB33" s="169">
        <f>$AB$3*$AF$3*AB18</f>
        <v>1.8463199999999999E-2</v>
      </c>
      <c r="AC33" s="169">
        <f t="shared" si="1"/>
        <v>2.1100799999999999E-2</v>
      </c>
      <c r="AD33" s="169">
        <f t="shared" si="1"/>
        <v>2.3738399999999996E-2</v>
      </c>
      <c r="AE33" s="169">
        <f t="shared" si="1"/>
        <v>2.6376E-2</v>
      </c>
      <c r="AF33" s="183">
        <f t="shared" si="1"/>
        <v>2.9013600000000001E-2</v>
      </c>
      <c r="AG33" s="169">
        <f t="shared" si="1"/>
        <v>3.1651199999999997E-2</v>
      </c>
      <c r="AI33" s="170">
        <v>5</v>
      </c>
      <c r="AJ33" s="184">
        <f>$P$77/AB33</f>
        <v>15.349495738366002</v>
      </c>
      <c r="AK33" s="184">
        <f>$R$77/AC33</f>
        <v>15.349495738366004</v>
      </c>
      <c r="AL33" s="184">
        <f>$T$77/AD33</f>
        <v>15.349495738366006</v>
      </c>
      <c r="AM33" s="184">
        <f>$V$77/AE33</f>
        <v>15.349495738366002</v>
      </c>
      <c r="AN33" s="184">
        <f>$X$77/AF33</f>
        <v>15.349495738366002</v>
      </c>
      <c r="AO33" s="184">
        <f>$Z$77/AG33</f>
        <v>15.349495738366002</v>
      </c>
    </row>
    <row r="34" spans="1:41" ht="9" customHeight="1" thickBot="1">
      <c r="A34" s="485"/>
      <c r="B34" s="158" t="s">
        <v>168</v>
      </c>
      <c r="C34" s="165">
        <f>2.2*C32</f>
        <v>0.23333333333333331</v>
      </c>
      <c r="D34" s="158" t="s">
        <v>168</v>
      </c>
      <c r="E34" s="165">
        <f>2.2*E32</f>
        <v>0.26666666666666666</v>
      </c>
      <c r="F34" s="158" t="s">
        <v>168</v>
      </c>
      <c r="G34" s="165">
        <f>2.2*G32</f>
        <v>0.3</v>
      </c>
      <c r="H34" s="158" t="s">
        <v>168</v>
      </c>
      <c r="I34" s="165">
        <f>2.2*I32</f>
        <v>0.33333333333333331</v>
      </c>
      <c r="J34" s="158" t="s">
        <v>168</v>
      </c>
      <c r="K34" s="165">
        <f>2.2*K32</f>
        <v>0.3666666666666667</v>
      </c>
      <c r="L34" s="158" t="s">
        <v>168</v>
      </c>
      <c r="M34" s="165">
        <f>2.2*M32</f>
        <v>0.39999999999999997</v>
      </c>
      <c r="N34" s="485"/>
      <c r="O34" s="158" t="s">
        <v>168</v>
      </c>
      <c r="P34" s="165">
        <f>2.2*P32</f>
        <v>0.13999999999999999</v>
      </c>
      <c r="Q34" s="158" t="s">
        <v>168</v>
      </c>
      <c r="R34" s="165">
        <f>2.2*R32</f>
        <v>0.16</v>
      </c>
      <c r="S34" s="158" t="s">
        <v>168</v>
      </c>
      <c r="T34" s="165">
        <f>2.2*T32</f>
        <v>0.18</v>
      </c>
      <c r="U34" s="158" t="s">
        <v>168</v>
      </c>
      <c r="V34" s="165">
        <f>2.2*V32</f>
        <v>0.2</v>
      </c>
      <c r="W34" s="158" t="s">
        <v>168</v>
      </c>
      <c r="X34" s="165">
        <f>2.2*X32</f>
        <v>0.22000000000000003</v>
      </c>
      <c r="Y34" s="158" t="s">
        <v>168</v>
      </c>
      <c r="Z34" s="165">
        <f>2.2*Z32</f>
        <v>0.23999999999999996</v>
      </c>
      <c r="AA34" s="181"/>
      <c r="AI34" s="181"/>
    </row>
    <row r="35" spans="1:41" ht="9" customHeight="1">
      <c r="A35" s="485"/>
      <c r="B35" s="158" t="s">
        <v>169</v>
      </c>
      <c r="C35" s="165">
        <f>0.2*C32</f>
        <v>2.121212121212121E-2</v>
      </c>
      <c r="D35" s="158" t="s">
        <v>169</v>
      </c>
      <c r="E35" s="165">
        <f>0.2*E32</f>
        <v>2.4242424242424242E-2</v>
      </c>
      <c r="F35" s="158" t="s">
        <v>169</v>
      </c>
      <c r="G35" s="165">
        <f>0.2*G32</f>
        <v>2.7272727272727271E-2</v>
      </c>
      <c r="H35" s="158" t="s">
        <v>169</v>
      </c>
      <c r="I35" s="165">
        <f>0.2*I32</f>
        <v>3.03030303030303E-2</v>
      </c>
      <c r="J35" s="158" t="s">
        <v>169</v>
      </c>
      <c r="K35" s="165">
        <f>0.2*K32</f>
        <v>3.3333333333333333E-2</v>
      </c>
      <c r="L35" s="158" t="s">
        <v>169</v>
      </c>
      <c r="M35" s="165">
        <f>0.2*M32</f>
        <v>3.6363636363636362E-2</v>
      </c>
      <c r="N35" s="485"/>
      <c r="O35" s="158" t="s">
        <v>169</v>
      </c>
      <c r="P35" s="165">
        <f>0.2*P32</f>
        <v>1.2727272727272726E-2</v>
      </c>
      <c r="Q35" s="158" t="s">
        <v>169</v>
      </c>
      <c r="R35" s="165">
        <f>0.2*R32</f>
        <v>1.4545454545454545E-2</v>
      </c>
      <c r="S35" s="158" t="s">
        <v>169</v>
      </c>
      <c r="T35" s="165">
        <f>0.2*T32</f>
        <v>1.6363636363636361E-2</v>
      </c>
      <c r="U35" s="158" t="s">
        <v>169</v>
      </c>
      <c r="V35" s="165">
        <f>0.2*V32</f>
        <v>1.8181818181818184E-2</v>
      </c>
      <c r="W35" s="158" t="s">
        <v>169</v>
      </c>
      <c r="X35" s="165">
        <f>0.2*X32</f>
        <v>2.0000000000000004E-2</v>
      </c>
      <c r="Y35" s="158" t="s">
        <v>169</v>
      </c>
      <c r="Z35" s="165">
        <f>0.2*Z32</f>
        <v>2.1818181818181816E-2</v>
      </c>
      <c r="AA35" s="487" t="s">
        <v>159</v>
      </c>
      <c r="AB35" s="483" t="s">
        <v>183</v>
      </c>
      <c r="AC35" s="483"/>
      <c r="AD35" s="483"/>
      <c r="AE35" s="483"/>
      <c r="AF35" s="483"/>
      <c r="AG35" s="483"/>
      <c r="AI35" s="487" t="s">
        <v>159</v>
      </c>
      <c r="AJ35" s="483" t="s">
        <v>184</v>
      </c>
      <c r="AK35" s="483"/>
      <c r="AL35" s="483"/>
      <c r="AM35" s="483"/>
      <c r="AN35" s="483"/>
      <c r="AO35" s="483"/>
    </row>
    <row r="36" spans="1:41" ht="9" customHeight="1" thickBot="1">
      <c r="A36" s="485"/>
      <c r="B36" s="158" t="s">
        <v>170</v>
      </c>
      <c r="C36" s="165">
        <f>0.05*C32</f>
        <v>5.3030303030303025E-3</v>
      </c>
      <c r="D36" s="158" t="s">
        <v>170</v>
      </c>
      <c r="E36" s="165">
        <f>0.05*E32</f>
        <v>6.0606060606060606E-3</v>
      </c>
      <c r="F36" s="158" t="s">
        <v>170</v>
      </c>
      <c r="G36" s="165">
        <f>0.05*G32</f>
        <v>6.8181818181818179E-3</v>
      </c>
      <c r="H36" s="158" t="s">
        <v>170</v>
      </c>
      <c r="I36" s="165">
        <f>0.05*I32</f>
        <v>7.5757575757575751E-3</v>
      </c>
      <c r="J36" s="158" t="s">
        <v>170</v>
      </c>
      <c r="K36" s="165">
        <f>0.05*K32</f>
        <v>8.3333333333333332E-3</v>
      </c>
      <c r="L36" s="158" t="s">
        <v>170</v>
      </c>
      <c r="M36" s="165">
        <f>0.05*M32</f>
        <v>9.0909090909090905E-3</v>
      </c>
      <c r="N36" s="485"/>
      <c r="O36" s="158" t="s">
        <v>170</v>
      </c>
      <c r="P36" s="165">
        <f>0.05*P32</f>
        <v>3.1818181818181815E-3</v>
      </c>
      <c r="Q36" s="158" t="s">
        <v>170</v>
      </c>
      <c r="R36" s="165">
        <f>0.05*R32</f>
        <v>3.6363636363636364E-3</v>
      </c>
      <c r="S36" s="158" t="s">
        <v>170</v>
      </c>
      <c r="T36" s="165">
        <f>0.05*T32</f>
        <v>4.0909090909090904E-3</v>
      </c>
      <c r="U36" s="158" t="s">
        <v>170</v>
      </c>
      <c r="V36" s="165">
        <f>0.05*V32</f>
        <v>4.5454545454545461E-3</v>
      </c>
      <c r="W36" s="158" t="s">
        <v>170</v>
      </c>
      <c r="X36" s="165">
        <f>0.05*X32</f>
        <v>5.000000000000001E-3</v>
      </c>
      <c r="Y36" s="158" t="s">
        <v>170</v>
      </c>
      <c r="Z36" s="165">
        <f>0.05*Z32</f>
        <v>5.4545454545454541E-3</v>
      </c>
      <c r="AA36" s="488"/>
      <c r="AB36" s="166">
        <v>0.35</v>
      </c>
      <c r="AC36" s="167">
        <v>0.4</v>
      </c>
      <c r="AD36" s="167">
        <v>0.45</v>
      </c>
      <c r="AE36" s="167">
        <v>0.5</v>
      </c>
      <c r="AF36" s="167">
        <v>0.55000000000000004</v>
      </c>
      <c r="AG36" s="167">
        <v>0.6</v>
      </c>
      <c r="AI36" s="488"/>
      <c r="AJ36" s="166">
        <v>0.35</v>
      </c>
      <c r="AK36" s="167">
        <v>0.4</v>
      </c>
      <c r="AL36" s="167">
        <v>0.45</v>
      </c>
      <c r="AM36" s="167">
        <v>0.5</v>
      </c>
      <c r="AN36" s="167">
        <v>0.55000000000000004</v>
      </c>
      <c r="AO36" s="167">
        <v>0.6</v>
      </c>
    </row>
    <row r="37" spans="1:41" ht="9" customHeight="1">
      <c r="A37" s="485"/>
      <c r="B37" s="171" t="s">
        <v>171</v>
      </c>
      <c r="C37" s="172">
        <f>0.6*C32</f>
        <v>6.3636363636363616E-2</v>
      </c>
      <c r="D37" s="171" t="s">
        <v>171</v>
      </c>
      <c r="E37" s="172">
        <f>0.6*E32</f>
        <v>7.2727272727272724E-2</v>
      </c>
      <c r="F37" s="171" t="s">
        <v>171</v>
      </c>
      <c r="G37" s="172">
        <f>0.6*G32</f>
        <v>8.1818181818181804E-2</v>
      </c>
      <c r="H37" s="171" t="s">
        <v>171</v>
      </c>
      <c r="I37" s="172">
        <f>0.6*I32</f>
        <v>9.0909090909090898E-2</v>
      </c>
      <c r="J37" s="171" t="s">
        <v>171</v>
      </c>
      <c r="K37" s="172">
        <f>0.6*K32</f>
        <v>9.9999999999999992E-2</v>
      </c>
      <c r="L37" s="171" t="s">
        <v>171</v>
      </c>
      <c r="M37" s="172">
        <f>0.6*M32</f>
        <v>0.10909090909090907</v>
      </c>
      <c r="N37" s="485"/>
      <c r="O37" s="171" t="s">
        <v>171</v>
      </c>
      <c r="P37" s="172">
        <f>0.6*P32</f>
        <v>3.8181818181818178E-2</v>
      </c>
      <c r="Q37" s="171" t="s">
        <v>171</v>
      </c>
      <c r="R37" s="172">
        <f>0.6*R32</f>
        <v>4.3636363636363633E-2</v>
      </c>
      <c r="S37" s="171" t="s">
        <v>171</v>
      </c>
      <c r="T37" s="172">
        <f>0.6*T32</f>
        <v>4.9090909090909081E-2</v>
      </c>
      <c r="U37" s="171" t="s">
        <v>171</v>
      </c>
      <c r="V37" s="172">
        <f>0.6*V32</f>
        <v>5.4545454545454543E-2</v>
      </c>
      <c r="W37" s="171" t="s">
        <v>171</v>
      </c>
      <c r="X37" s="172">
        <f>0.6*X32</f>
        <v>0.06</v>
      </c>
      <c r="Y37" s="171" t="s">
        <v>171</v>
      </c>
      <c r="Z37" s="172">
        <f>0.6*Z32</f>
        <v>6.5454545454545446E-2</v>
      </c>
      <c r="AA37" s="168">
        <v>1</v>
      </c>
      <c r="AB37" s="169">
        <f>$AC$3*$AF$3*AB7</f>
        <v>0.17294263636363633</v>
      </c>
      <c r="AC37" s="169">
        <f>$AC$3*$AF$3*AC7</f>
        <v>0.19764872727272728</v>
      </c>
      <c r="AD37" s="169">
        <f t="shared" ref="AD37:AG37" si="2">$AC$3*$AF$3*AD7</f>
        <v>0.22235481818181815</v>
      </c>
      <c r="AE37" s="169">
        <f t="shared" si="2"/>
        <v>0.24706090909090905</v>
      </c>
      <c r="AF37" s="169">
        <f t="shared" si="2"/>
        <v>0.27176699999999998</v>
      </c>
      <c r="AG37" s="169">
        <f t="shared" si="2"/>
        <v>0.29647309090909091</v>
      </c>
      <c r="AI37" s="168">
        <v>1</v>
      </c>
      <c r="AJ37" s="169">
        <f>$C$5/AB37</f>
        <v>1.6386983318602182</v>
      </c>
      <c r="AK37" s="169">
        <f>$E$5/AC37</f>
        <v>1.638698331860218</v>
      </c>
      <c r="AL37" s="169">
        <f>$G$5/AD37</f>
        <v>1.6386983318602182</v>
      </c>
      <c r="AM37" s="169">
        <f>$I$5/AE37</f>
        <v>1.6386983318602182</v>
      </c>
      <c r="AN37" s="169">
        <f>$K$5/AF37</f>
        <v>1.6386983318602182</v>
      </c>
      <c r="AO37" s="169">
        <f>$M$5/AG37</f>
        <v>1.6386983318602177</v>
      </c>
    </row>
    <row r="38" spans="1:41" ht="9" customHeight="1">
      <c r="A38" s="485"/>
      <c r="B38" s="171" t="s">
        <v>172</v>
      </c>
      <c r="C38" s="173">
        <f>C33/C37</f>
        <v>4.4534412955465594</v>
      </c>
      <c r="D38" s="171" t="s">
        <v>172</v>
      </c>
      <c r="E38" s="173">
        <f>E33/E37</f>
        <v>4.4534412955465585</v>
      </c>
      <c r="F38" s="158" t="s">
        <v>172</v>
      </c>
      <c r="G38" s="173">
        <f>G33/G37</f>
        <v>4.4534412955465594</v>
      </c>
      <c r="H38" s="171" t="s">
        <v>172</v>
      </c>
      <c r="I38" s="173">
        <f>I33/I37</f>
        <v>4.4534412955465594</v>
      </c>
      <c r="J38" s="171" t="s">
        <v>172</v>
      </c>
      <c r="K38" s="173">
        <f>K33/K37</f>
        <v>4.4534412955465585</v>
      </c>
      <c r="L38" s="171" t="s">
        <v>172</v>
      </c>
      <c r="M38" s="173">
        <f>M33/M37</f>
        <v>4.4534412955465585</v>
      </c>
      <c r="N38" s="485"/>
      <c r="O38" s="171" t="s">
        <v>172</v>
      </c>
      <c r="P38" s="173">
        <f>P33/P37</f>
        <v>7.4224021592442639</v>
      </c>
      <c r="Q38" s="171" t="s">
        <v>172</v>
      </c>
      <c r="R38" s="173">
        <f>R33/R37</f>
        <v>7.4224021592442648</v>
      </c>
      <c r="S38" s="171" t="s">
        <v>172</v>
      </c>
      <c r="T38" s="173">
        <f>T33/T37</f>
        <v>7.4224021592442657</v>
      </c>
      <c r="U38" s="171" t="s">
        <v>172</v>
      </c>
      <c r="V38" s="173">
        <f>V33/V37</f>
        <v>7.4224021592442648</v>
      </c>
      <c r="W38" s="171" t="s">
        <v>172</v>
      </c>
      <c r="X38" s="173">
        <f>X33/X37</f>
        <v>7.4224021592442648</v>
      </c>
      <c r="Y38" s="171" t="s">
        <v>172</v>
      </c>
      <c r="Z38" s="173">
        <f>Z33/Z37</f>
        <v>7.4224021592442639</v>
      </c>
      <c r="AA38" s="170">
        <v>1.2</v>
      </c>
      <c r="AB38" s="169">
        <f t="shared" ref="AB38:AG48" si="3">$AC$3*$AF$3*AB8</f>
        <v>0.14411886363636364</v>
      </c>
      <c r="AC38" s="169">
        <f t="shared" si="3"/>
        <v>0.16470727272727273</v>
      </c>
      <c r="AD38" s="169">
        <f t="shared" si="3"/>
        <v>0.18529568181818179</v>
      </c>
      <c r="AE38" s="169">
        <f t="shared" si="3"/>
        <v>0.20588409090909091</v>
      </c>
      <c r="AF38" s="169">
        <f t="shared" si="3"/>
        <v>0.22647249999999999</v>
      </c>
      <c r="AG38" s="169">
        <f t="shared" si="3"/>
        <v>0.24706090909090905</v>
      </c>
      <c r="AI38" s="170">
        <v>1.2</v>
      </c>
      <c r="AJ38" s="169">
        <f>$C$19/AB38</f>
        <v>1.9664379982322613</v>
      </c>
      <c r="AK38" s="169">
        <f>$E$19/AC38</f>
        <v>1.9664379982322615</v>
      </c>
      <c r="AL38" s="169">
        <f>$G$19/AD38</f>
        <v>1.966437998232262</v>
      </c>
      <c r="AM38" s="169">
        <f>$I$19/AE38</f>
        <v>1.9664379982322615</v>
      </c>
      <c r="AN38" s="169">
        <f>$K$19/AF38</f>
        <v>1.9664379982322615</v>
      </c>
      <c r="AO38" s="169">
        <f>$M$19/AG38</f>
        <v>1.9664379982322615</v>
      </c>
    </row>
    <row r="39" spans="1:41" ht="9" customHeight="1">
      <c r="A39" s="485"/>
      <c r="B39" s="158" t="s">
        <v>173</v>
      </c>
      <c r="C39" s="165">
        <f>(C32-C35)/2</f>
        <v>4.2424242424242413E-2</v>
      </c>
      <c r="D39" s="158" t="s">
        <v>173</v>
      </c>
      <c r="E39" s="165">
        <f>(E32-E35)/2</f>
        <v>4.8484848484848478E-2</v>
      </c>
      <c r="F39" s="158" t="s">
        <v>173</v>
      </c>
      <c r="G39" s="165">
        <f>(G32-G35)/2</f>
        <v>5.4545454545454543E-2</v>
      </c>
      <c r="H39" s="158" t="s">
        <v>173</v>
      </c>
      <c r="I39" s="165">
        <f>(I32-I35)/2</f>
        <v>6.0606060606060594E-2</v>
      </c>
      <c r="J39" s="158" t="s">
        <v>173</v>
      </c>
      <c r="K39" s="165">
        <f>(K32-K35)/2</f>
        <v>6.6666666666666666E-2</v>
      </c>
      <c r="L39" s="158" t="s">
        <v>173</v>
      </c>
      <c r="M39" s="165">
        <f>(M32-M35)/2</f>
        <v>7.2727272727272724E-2</v>
      </c>
      <c r="N39" s="485"/>
      <c r="O39" s="158" t="s">
        <v>173</v>
      </c>
      <c r="P39" s="165">
        <f>(P32-P35)/2</f>
        <v>2.5454545454545452E-2</v>
      </c>
      <c r="Q39" s="158" t="s">
        <v>173</v>
      </c>
      <c r="R39" s="165">
        <f>(R32-R35)/2</f>
        <v>2.9090909090909091E-2</v>
      </c>
      <c r="S39" s="158" t="s">
        <v>173</v>
      </c>
      <c r="T39" s="165">
        <f>(T32-T35)/2</f>
        <v>3.2727272727272723E-2</v>
      </c>
      <c r="U39" s="158" t="s">
        <v>173</v>
      </c>
      <c r="V39" s="165">
        <f>(V32-V35)/2</f>
        <v>3.6363636363636362E-2</v>
      </c>
      <c r="W39" s="158" t="s">
        <v>173</v>
      </c>
      <c r="X39" s="165">
        <f>(X32-X35)/2</f>
        <v>0.04</v>
      </c>
      <c r="Y39" s="158" t="s">
        <v>173</v>
      </c>
      <c r="Z39" s="165">
        <f>(Z32-Z35)/2</f>
        <v>4.3636363636363626E-2</v>
      </c>
      <c r="AA39" s="170">
        <v>1.5</v>
      </c>
      <c r="AB39" s="169">
        <f t="shared" si="3"/>
        <v>0.11529509090909089</v>
      </c>
      <c r="AC39" s="169">
        <f t="shared" si="3"/>
        <v>0.13176581818181818</v>
      </c>
      <c r="AD39" s="169">
        <f t="shared" si="3"/>
        <v>0.14823654545454545</v>
      </c>
      <c r="AE39" s="169">
        <f t="shared" si="3"/>
        <v>0.1647072727272727</v>
      </c>
      <c r="AF39" s="169">
        <f>$AC$3*$AF$3*AF9</f>
        <v>0.18117799999999998</v>
      </c>
      <c r="AG39" s="169">
        <f t="shared" si="3"/>
        <v>0.19764872727272723</v>
      </c>
      <c r="AI39" s="170">
        <v>1.5</v>
      </c>
      <c r="AJ39" s="169">
        <f>$C$33/AB39</f>
        <v>2.4580474977903273</v>
      </c>
      <c r="AK39" s="169">
        <f>$E$33/AC39</f>
        <v>2.4580474977903273</v>
      </c>
      <c r="AL39" s="169">
        <f>$G$33/AD39</f>
        <v>2.4580474977903268</v>
      </c>
      <c r="AM39" s="169">
        <f>$I$33/AE39</f>
        <v>2.4580474977903273</v>
      </c>
      <c r="AN39" s="169">
        <f>$K$33/AF39</f>
        <v>2.4580474977903273</v>
      </c>
      <c r="AO39" s="169">
        <f>$M$33/AG39</f>
        <v>2.4580474977903273</v>
      </c>
    </row>
    <row r="40" spans="1:41" ht="9" customHeight="1">
      <c r="A40" s="485"/>
      <c r="B40" s="158" t="s">
        <v>58</v>
      </c>
      <c r="C40" s="158">
        <f>C31/2</f>
        <v>0.11666666666666665</v>
      </c>
      <c r="D40" s="158" t="s">
        <v>58</v>
      </c>
      <c r="E40" s="158">
        <f>E31/2</f>
        <v>0.13333333333333333</v>
      </c>
      <c r="F40" s="158" t="s">
        <v>58</v>
      </c>
      <c r="G40" s="158">
        <f>G31/2</f>
        <v>0.15</v>
      </c>
      <c r="H40" s="158" t="s">
        <v>58</v>
      </c>
      <c r="I40" s="158">
        <f>I31/2</f>
        <v>0.16666666666666666</v>
      </c>
      <c r="J40" s="158" t="s">
        <v>58</v>
      </c>
      <c r="K40" s="158">
        <f>K31/2</f>
        <v>0.18333333333333335</v>
      </c>
      <c r="L40" s="158" t="s">
        <v>58</v>
      </c>
      <c r="M40" s="158">
        <f>M31/2</f>
        <v>0.19999999999999998</v>
      </c>
      <c r="N40" s="485"/>
      <c r="O40" s="158" t="s">
        <v>58</v>
      </c>
      <c r="P40" s="158">
        <f>P31/2</f>
        <v>6.9999999999999993E-2</v>
      </c>
      <c r="Q40" s="158" t="s">
        <v>58</v>
      </c>
      <c r="R40" s="158">
        <f>R31/2</f>
        <v>0.08</v>
      </c>
      <c r="S40" s="158" t="s">
        <v>58</v>
      </c>
      <c r="T40" s="158">
        <f>T31/2</f>
        <v>0.09</v>
      </c>
      <c r="U40" s="158" t="s">
        <v>58</v>
      </c>
      <c r="V40" s="158">
        <f>V31/2</f>
        <v>0.1</v>
      </c>
      <c r="W40" s="158" t="s">
        <v>58</v>
      </c>
      <c r="X40" s="158">
        <f>X31/2</f>
        <v>0.11000000000000001</v>
      </c>
      <c r="Y40" s="158" t="s">
        <v>58</v>
      </c>
      <c r="Z40" s="158">
        <f>Z31/2</f>
        <v>0.12</v>
      </c>
      <c r="AA40" s="170">
        <v>1.8</v>
      </c>
      <c r="AB40" s="169">
        <f t="shared" si="3"/>
        <v>9.6079242424242414E-2</v>
      </c>
      <c r="AC40" s="169">
        <f t="shared" si="3"/>
        <v>0.10980484848484849</v>
      </c>
      <c r="AD40" s="169">
        <f t="shared" si="3"/>
        <v>0.12353045454545453</v>
      </c>
      <c r="AE40" s="169">
        <f t="shared" si="3"/>
        <v>0.1372560606060606</v>
      </c>
      <c r="AF40" s="169">
        <f t="shared" si="3"/>
        <v>0.15098166666666668</v>
      </c>
      <c r="AG40" s="169">
        <f t="shared" si="3"/>
        <v>0.1647072727272727</v>
      </c>
      <c r="AI40" s="170">
        <v>1.8</v>
      </c>
      <c r="AJ40" s="169">
        <f>$P$5/AB40</f>
        <v>2.9496569973483924</v>
      </c>
      <c r="AK40" s="169">
        <f>$R$5/AC40</f>
        <v>2.9496569973483924</v>
      </c>
      <c r="AL40" s="169">
        <f>$T$5/AD40</f>
        <v>2.9496569973483928</v>
      </c>
      <c r="AM40" s="169">
        <f>$V$5/AE40</f>
        <v>2.9496569973483924</v>
      </c>
      <c r="AN40" s="169">
        <f>$X$5/AF40</f>
        <v>2.9496569973483919</v>
      </c>
      <c r="AO40" s="169">
        <f>$Z$5/AG40</f>
        <v>2.9496569973483924</v>
      </c>
    </row>
    <row r="41" spans="1:41" ht="9" customHeight="1">
      <c r="A41" s="485"/>
      <c r="B41" s="158" t="s">
        <v>174</v>
      </c>
      <c r="C41" s="174">
        <f>$AF$3*(C40^2)*B2</f>
        <v>1.4958611111111108E-2</v>
      </c>
      <c r="D41" s="158" t="s">
        <v>174</v>
      </c>
      <c r="E41" s="174">
        <f>$AF$3*(E40^2)*D2</f>
        <v>2.2328888888888891E-2</v>
      </c>
      <c r="F41" s="158" t="s">
        <v>174</v>
      </c>
      <c r="G41" s="174">
        <f>$AF$3*(G40^2)*F2</f>
        <v>3.1792500000000001E-2</v>
      </c>
      <c r="H41" s="158" t="s">
        <v>174</v>
      </c>
      <c r="I41" s="174">
        <f>$AF$3*(I40^2)*H2</f>
        <v>4.3611111111111107E-2</v>
      </c>
      <c r="J41" s="158" t="s">
        <v>174</v>
      </c>
      <c r="K41" s="174">
        <f>$AF$3*(K40^2)*J2</f>
        <v>5.8046388888888911E-2</v>
      </c>
      <c r="L41" s="158" t="s">
        <v>174</v>
      </c>
      <c r="M41" s="174">
        <f>$AF$3*(M40^2)*L2</f>
        <v>7.5359999999999996E-2</v>
      </c>
      <c r="N41" s="485"/>
      <c r="O41" s="158" t="s">
        <v>174</v>
      </c>
      <c r="P41" s="187">
        <f>$AF$3*(P40^2)*O2</f>
        <v>5.3850999999999986E-3</v>
      </c>
      <c r="Q41" s="158" t="s">
        <v>174</v>
      </c>
      <c r="R41" s="188">
        <f>$AF$3*(R40^2)*Q2</f>
        <v>8.0384000000000011E-3</v>
      </c>
      <c r="S41" s="158" t="s">
        <v>174</v>
      </c>
      <c r="T41" s="188">
        <f>$AF$3*(T40^2)*S2</f>
        <v>1.14453E-2</v>
      </c>
      <c r="U41" s="158" t="s">
        <v>174</v>
      </c>
      <c r="V41" s="188">
        <f>$AF$3*(V40^2)*U2</f>
        <v>1.5700000000000002E-2</v>
      </c>
      <c r="W41" s="158" t="s">
        <v>174</v>
      </c>
      <c r="X41" s="188">
        <f>$AF$3*(X40^2)*W2</f>
        <v>2.0896700000000008E-2</v>
      </c>
      <c r="Y41" s="158" t="s">
        <v>174</v>
      </c>
      <c r="Z41" s="188">
        <f>$AF$3*(Z40^2)*Y2</f>
        <v>2.71296E-2</v>
      </c>
      <c r="AA41" s="170">
        <v>2</v>
      </c>
      <c r="AB41" s="169">
        <f t="shared" si="3"/>
        <v>8.6471318181818163E-2</v>
      </c>
      <c r="AC41" s="169">
        <f t="shared" si="3"/>
        <v>9.8824363636363641E-2</v>
      </c>
      <c r="AD41" s="169">
        <f t="shared" si="3"/>
        <v>0.11117740909090908</v>
      </c>
      <c r="AE41" s="169">
        <f t="shared" si="3"/>
        <v>0.12353045454545453</v>
      </c>
      <c r="AF41" s="169">
        <f t="shared" si="3"/>
        <v>0.13588349999999999</v>
      </c>
      <c r="AG41" s="169">
        <f t="shared" si="3"/>
        <v>0.14823654545454545</v>
      </c>
      <c r="AI41" s="170">
        <v>2</v>
      </c>
      <c r="AJ41" s="169">
        <f>$P$19/AB41</f>
        <v>3.2773966637204364</v>
      </c>
      <c r="AK41" s="169">
        <f>$R$19/AC41</f>
        <v>3.2773966637204359</v>
      </c>
      <c r="AL41" s="169">
        <f>$T$19/AD41</f>
        <v>3.2773966637204364</v>
      </c>
      <c r="AM41" s="169">
        <f>$V$19/AE41</f>
        <v>3.2773966637204364</v>
      </c>
      <c r="AN41" s="169">
        <f>$X$19/AF41</f>
        <v>3.2773966637204364</v>
      </c>
      <c r="AO41" s="169">
        <f>$Z$19/AG41</f>
        <v>3.2773966637204355</v>
      </c>
    </row>
    <row r="42" spans="1:41" ht="9" customHeight="1">
      <c r="A42" s="485"/>
      <c r="B42" s="158" t="s">
        <v>175</v>
      </c>
      <c r="C42" s="165">
        <f>0.7*C41</f>
        <v>1.0471027777777775E-2</v>
      </c>
      <c r="D42" s="158" t="s">
        <v>175</v>
      </c>
      <c r="E42" s="165">
        <f>0.7*E41</f>
        <v>1.5630222222222222E-2</v>
      </c>
      <c r="F42" s="158" t="s">
        <v>175</v>
      </c>
      <c r="G42" s="165">
        <f>0.7*G41</f>
        <v>2.225475E-2</v>
      </c>
      <c r="H42" s="158" t="s">
        <v>175</v>
      </c>
      <c r="I42" s="165">
        <f>0.7*I41</f>
        <v>3.0527777777777772E-2</v>
      </c>
      <c r="J42" s="158" t="s">
        <v>175</v>
      </c>
      <c r="K42" s="165">
        <f>0.7*K41</f>
        <v>4.0632472222222236E-2</v>
      </c>
      <c r="L42" s="158" t="s">
        <v>175</v>
      </c>
      <c r="M42" s="165">
        <f>0.7*M41</f>
        <v>5.2751999999999993E-2</v>
      </c>
      <c r="N42" s="485"/>
      <c r="O42" s="158" t="s">
        <v>175</v>
      </c>
      <c r="P42" s="165">
        <f>0.7*P41</f>
        <v>3.7695699999999986E-3</v>
      </c>
      <c r="Q42" s="158" t="s">
        <v>175</v>
      </c>
      <c r="R42" s="165">
        <f>0.7*R41</f>
        <v>5.6268800000000008E-3</v>
      </c>
      <c r="S42" s="158" t="s">
        <v>175</v>
      </c>
      <c r="T42" s="165">
        <f>0.7*T41</f>
        <v>8.01171E-3</v>
      </c>
      <c r="U42" s="158" t="s">
        <v>175</v>
      </c>
      <c r="V42" s="165">
        <f>0.7*V41</f>
        <v>1.0990000000000002E-2</v>
      </c>
      <c r="W42" s="158" t="s">
        <v>175</v>
      </c>
      <c r="X42" s="165">
        <f>0.7*X41</f>
        <v>1.4627690000000004E-2</v>
      </c>
      <c r="Y42" s="158" t="s">
        <v>175</v>
      </c>
      <c r="Z42" s="165">
        <f>0.7*Z41</f>
        <v>1.8990719999999999E-2</v>
      </c>
      <c r="AA42" s="170">
        <v>2.5</v>
      </c>
      <c r="AB42" s="183">
        <f t="shared" si="3"/>
        <v>6.917705454545453E-2</v>
      </c>
      <c r="AC42" s="169">
        <f t="shared" si="3"/>
        <v>7.9059490909090896E-2</v>
      </c>
      <c r="AD42" s="169">
        <f>$AC$3*$AF$3*AD12</f>
        <v>8.8941927272727248E-2</v>
      </c>
      <c r="AE42" s="169">
        <f t="shared" si="3"/>
        <v>9.8824363636363641E-2</v>
      </c>
      <c r="AF42" s="169">
        <f t="shared" si="3"/>
        <v>0.10870680000000001</v>
      </c>
      <c r="AG42" s="169">
        <f t="shared" si="3"/>
        <v>0.11858923636363634</v>
      </c>
      <c r="AI42" s="170">
        <v>2.5</v>
      </c>
      <c r="AJ42" s="182">
        <f>$P$33/AB42</f>
        <v>4.096745829650545</v>
      </c>
      <c r="AK42" s="169">
        <f>$R$33/AC42</f>
        <v>4.0967458296505459</v>
      </c>
      <c r="AL42" s="169">
        <f>$T$33/AD42</f>
        <v>4.0967458296505459</v>
      </c>
      <c r="AM42" s="169">
        <f>$V$33/AE42</f>
        <v>4.096745829650545</v>
      </c>
      <c r="AN42" s="169">
        <f>$X$33/AF42</f>
        <v>4.096745829650545</v>
      </c>
      <c r="AO42" s="169">
        <f>$Z$33/AG42</f>
        <v>4.096745829650545</v>
      </c>
    </row>
    <row r="43" spans="1:41" ht="15.75" customHeight="1" thickBot="1">
      <c r="A43" s="486"/>
      <c r="B43" s="176" t="s">
        <v>176</v>
      </c>
      <c r="C43" s="177">
        <v>148</v>
      </c>
      <c r="D43" s="177" t="s">
        <v>176</v>
      </c>
      <c r="E43" s="177">
        <v>179</v>
      </c>
      <c r="F43" s="177" t="s">
        <v>176</v>
      </c>
      <c r="G43" s="177">
        <v>195</v>
      </c>
      <c r="H43" s="177" t="s">
        <v>176</v>
      </c>
      <c r="I43" s="177">
        <v>223</v>
      </c>
      <c r="J43" s="177" t="s">
        <v>176</v>
      </c>
      <c r="K43" s="177">
        <v>243</v>
      </c>
      <c r="L43" s="177" t="s">
        <v>176</v>
      </c>
      <c r="M43" s="178">
        <v>264</v>
      </c>
      <c r="N43" s="485"/>
      <c r="O43" s="176" t="s">
        <v>176</v>
      </c>
      <c r="P43" s="177">
        <v>97.3</v>
      </c>
      <c r="Q43" s="177" t="s">
        <v>176</v>
      </c>
      <c r="R43" s="177">
        <v>111.7</v>
      </c>
      <c r="S43" s="177" t="s">
        <v>176</v>
      </c>
      <c r="T43" s="177">
        <v>118.5</v>
      </c>
      <c r="U43" s="177" t="s">
        <v>176</v>
      </c>
      <c r="V43" s="177">
        <v>132</v>
      </c>
      <c r="W43" s="177" t="s">
        <v>176</v>
      </c>
      <c r="X43" s="177">
        <v>148.30000000000001</v>
      </c>
      <c r="Y43" s="177" t="s">
        <v>176</v>
      </c>
      <c r="Z43" s="177">
        <v>158.30000000000001</v>
      </c>
      <c r="AA43" s="170">
        <v>3</v>
      </c>
      <c r="AB43" s="169">
        <f t="shared" si="3"/>
        <v>5.7647545454545444E-2</v>
      </c>
      <c r="AC43" s="169">
        <f t="shared" si="3"/>
        <v>6.5882909090909089E-2</v>
      </c>
      <c r="AD43" s="169">
        <f t="shared" si="3"/>
        <v>7.4118272727272727E-2</v>
      </c>
      <c r="AE43" s="169">
        <f t="shared" si="3"/>
        <v>8.2353636363636351E-2</v>
      </c>
      <c r="AF43" s="169">
        <f t="shared" si="3"/>
        <v>9.0588999999999989E-2</v>
      </c>
      <c r="AG43" s="169">
        <f t="shared" si="3"/>
        <v>9.8824363636363613E-2</v>
      </c>
      <c r="AI43" s="170">
        <v>3</v>
      </c>
      <c r="AJ43" s="189">
        <f>$C$49/AB43</f>
        <v>4.9160949955806545</v>
      </c>
      <c r="AK43" s="189">
        <f>$E$49/AC43</f>
        <v>4.9160949955806545</v>
      </c>
      <c r="AL43" s="189">
        <f>$G$49/AD43</f>
        <v>4.9160949955806537</v>
      </c>
      <c r="AM43" s="189">
        <f>$I$49/AE43</f>
        <v>4.9160949955806545</v>
      </c>
      <c r="AN43" s="189">
        <f>$K$49/AF43</f>
        <v>4.9160949955806545</v>
      </c>
      <c r="AO43" s="189">
        <f>$M$49/AG43</f>
        <v>4.9160949955806545</v>
      </c>
    </row>
    <row r="44" spans="1:41" ht="9" customHeight="1" thickTop="1">
      <c r="AA44" s="175">
        <v>3.5</v>
      </c>
      <c r="AB44" s="169">
        <f t="shared" si="3"/>
        <v>4.9412181818181806E-2</v>
      </c>
      <c r="AC44" s="169">
        <f t="shared" si="3"/>
        <v>5.6471064935064937E-2</v>
      </c>
      <c r="AD44" s="169">
        <f t="shared" si="3"/>
        <v>6.352994805194806E-2</v>
      </c>
      <c r="AE44" s="169">
        <f t="shared" si="3"/>
        <v>7.0588831168831162E-2</v>
      </c>
      <c r="AF44" s="169">
        <f t="shared" si="3"/>
        <v>7.7647714285714292E-2</v>
      </c>
      <c r="AG44" s="169">
        <f t="shared" si="3"/>
        <v>8.4706597402597408E-2</v>
      </c>
      <c r="AI44" s="175">
        <v>3.5</v>
      </c>
      <c r="AJ44" s="189">
        <f>$C$63/AB44</f>
        <v>5.7354441615107632</v>
      </c>
      <c r="AK44" s="189">
        <f>$E$63/AC44</f>
        <v>5.7354441615107632</v>
      </c>
      <c r="AL44" s="189">
        <f>$G$63/AD44</f>
        <v>5.7354441615107623</v>
      </c>
      <c r="AM44" s="189">
        <f>$I$63/AE44</f>
        <v>5.7354441615107632</v>
      </c>
      <c r="AN44" s="189">
        <f>$K$63/AF44</f>
        <v>5.7354441615107623</v>
      </c>
      <c r="AO44" s="189">
        <f>$M$63/AG44</f>
        <v>5.7354441615107614</v>
      </c>
    </row>
    <row r="45" spans="1:41" ht="9" customHeight="1">
      <c r="B45" s="479" t="s">
        <v>158</v>
      </c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O45" s="479" t="s">
        <v>158</v>
      </c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170">
        <v>4</v>
      </c>
      <c r="AB45" s="169">
        <f t="shared" si="3"/>
        <v>4.3235659090909082E-2</v>
      </c>
      <c r="AC45" s="169">
        <f t="shared" si="3"/>
        <v>4.941218181818182E-2</v>
      </c>
      <c r="AD45" s="183">
        <f t="shared" si="3"/>
        <v>5.5588704545454538E-2</v>
      </c>
      <c r="AE45" s="169">
        <f t="shared" si="3"/>
        <v>6.1765227272727263E-2</v>
      </c>
      <c r="AF45" s="169">
        <f t="shared" si="3"/>
        <v>6.7941749999999995E-2</v>
      </c>
      <c r="AG45" s="169">
        <f t="shared" si="3"/>
        <v>7.4118272727272727E-2</v>
      </c>
      <c r="AI45" s="170">
        <v>4</v>
      </c>
      <c r="AJ45" s="189">
        <f>$C$77/AB45</f>
        <v>6.5547933274408727</v>
      </c>
      <c r="AK45" s="189">
        <f>$E$77/AC45</f>
        <v>6.5547933274408718</v>
      </c>
      <c r="AL45" s="184">
        <f>$G$77/AD45</f>
        <v>6.5547933274408727</v>
      </c>
      <c r="AM45" s="189">
        <f>$I$77/AE45</f>
        <v>6.5547933274408727</v>
      </c>
      <c r="AN45" s="189">
        <f>$K$77/AF45</f>
        <v>6.5547933274408727</v>
      </c>
      <c r="AO45" s="189">
        <f>$M$77/AG45</f>
        <v>6.554793327440871</v>
      </c>
    </row>
    <row r="46" spans="1:41" ht="9" customHeight="1" thickBot="1">
      <c r="A46" s="160" t="s">
        <v>159</v>
      </c>
      <c r="B46" s="480">
        <v>0.35</v>
      </c>
      <c r="C46" s="480"/>
      <c r="D46" s="480">
        <v>0.4</v>
      </c>
      <c r="E46" s="480"/>
      <c r="F46" s="480">
        <v>0.45</v>
      </c>
      <c r="G46" s="480"/>
      <c r="H46" s="480">
        <v>0.5</v>
      </c>
      <c r="I46" s="480"/>
      <c r="J46" s="480">
        <v>0.55000000000000004</v>
      </c>
      <c r="K46" s="480"/>
      <c r="L46" s="480">
        <v>0.6</v>
      </c>
      <c r="M46" s="480"/>
      <c r="N46" s="160" t="s">
        <v>159</v>
      </c>
      <c r="O46" s="480">
        <v>0.35</v>
      </c>
      <c r="P46" s="480"/>
      <c r="Q46" s="480">
        <v>0.4</v>
      </c>
      <c r="R46" s="480"/>
      <c r="S46" s="480">
        <v>0.45</v>
      </c>
      <c r="T46" s="480"/>
      <c r="U46" s="480">
        <v>0.5</v>
      </c>
      <c r="V46" s="480"/>
      <c r="W46" s="480">
        <v>0.55000000000000004</v>
      </c>
      <c r="X46" s="480"/>
      <c r="Y46" s="480">
        <v>0.6</v>
      </c>
      <c r="Z46" s="480"/>
      <c r="AA46" s="170">
        <v>4.3</v>
      </c>
      <c r="AB46" s="169">
        <f t="shared" si="3"/>
        <v>4.0219217758985196E-2</v>
      </c>
      <c r="AC46" s="169">
        <f t="shared" si="3"/>
        <v>4.5964820295983082E-2</v>
      </c>
      <c r="AD46" s="169">
        <f t="shared" si="3"/>
        <v>5.1710422832980968E-2</v>
      </c>
      <c r="AE46" s="183">
        <f t="shared" si="3"/>
        <v>5.7456025369978854E-2</v>
      </c>
      <c r="AF46" s="169">
        <f t="shared" si="3"/>
        <v>6.320162790697674E-2</v>
      </c>
      <c r="AG46" s="169">
        <f t="shared" si="3"/>
        <v>6.8947230443974633E-2</v>
      </c>
      <c r="AI46" s="170">
        <v>4.3</v>
      </c>
      <c r="AJ46" s="189">
        <f>$P$49/AB46</f>
        <v>7.0464028269989374</v>
      </c>
      <c r="AK46" s="189">
        <f>$R$49/AC46</f>
        <v>7.0464028269989383</v>
      </c>
      <c r="AL46" s="189">
        <f>$T$49/AD46</f>
        <v>7.0464028269989383</v>
      </c>
      <c r="AM46" s="184">
        <f>$V$49/AE46</f>
        <v>7.0464028269989383</v>
      </c>
      <c r="AN46" s="189">
        <f>$X$49/AF46</f>
        <v>7.0464028269989374</v>
      </c>
      <c r="AO46" s="189">
        <f>$Z$49/AG46</f>
        <v>7.0464028269989356</v>
      </c>
    </row>
    <row r="47" spans="1:41" ht="9" customHeight="1">
      <c r="A47" s="489" t="s">
        <v>185</v>
      </c>
      <c r="B47" s="163" t="s">
        <v>163</v>
      </c>
      <c r="C47" s="164">
        <f>B46/$A$47</f>
        <v>0.11666666666666665</v>
      </c>
      <c r="D47" s="163" t="s">
        <v>163</v>
      </c>
      <c r="E47" s="164">
        <f>D46/$A$47</f>
        <v>0.13333333333333333</v>
      </c>
      <c r="F47" s="163" t="s">
        <v>163</v>
      </c>
      <c r="G47" s="164">
        <f>F46/$A$47</f>
        <v>0.15</v>
      </c>
      <c r="H47" s="163" t="s">
        <v>163</v>
      </c>
      <c r="I47" s="164">
        <f>H46/$A$47</f>
        <v>0.16666666666666666</v>
      </c>
      <c r="J47" s="163" t="s">
        <v>163</v>
      </c>
      <c r="K47" s="164">
        <f>J46/$A$47</f>
        <v>0.18333333333333335</v>
      </c>
      <c r="L47" s="163" t="s">
        <v>163</v>
      </c>
      <c r="M47" s="164">
        <f>L46/$A$47</f>
        <v>0.19999999999999998</v>
      </c>
      <c r="N47" s="489" t="s">
        <v>186</v>
      </c>
      <c r="O47" s="163" t="s">
        <v>163</v>
      </c>
      <c r="P47" s="164">
        <f>O46/$N$47</f>
        <v>8.1395348837209294E-2</v>
      </c>
      <c r="Q47" s="163" t="s">
        <v>163</v>
      </c>
      <c r="R47" s="164">
        <f>Q46/$N$47</f>
        <v>9.3023255813953501E-2</v>
      </c>
      <c r="S47" s="163" t="s">
        <v>163</v>
      </c>
      <c r="T47" s="164">
        <f>S46/$N$47</f>
        <v>0.10465116279069768</v>
      </c>
      <c r="U47" s="163" t="s">
        <v>163</v>
      </c>
      <c r="V47" s="164">
        <f>U46/$N$47</f>
        <v>0.11627906976744186</v>
      </c>
      <c r="W47" s="163" t="s">
        <v>163</v>
      </c>
      <c r="X47" s="164">
        <f>W46/$N$47</f>
        <v>0.12790697674418605</v>
      </c>
      <c r="Y47" s="163" t="s">
        <v>163</v>
      </c>
      <c r="Z47" s="164">
        <f>Y46/$N$47</f>
        <v>0.13953488372093023</v>
      </c>
      <c r="AA47" s="170">
        <v>4.5999999999999996</v>
      </c>
      <c r="AB47" s="169">
        <f t="shared" si="3"/>
        <v>3.7596225296442687E-2</v>
      </c>
      <c r="AC47" s="169">
        <f t="shared" si="3"/>
        <v>4.2967114624505934E-2</v>
      </c>
      <c r="AD47" s="169">
        <f t="shared" si="3"/>
        <v>4.8338003952569167E-2</v>
      </c>
      <c r="AE47" s="190">
        <f>$AC$3*$AF$3*AE17</f>
        <v>5.3708893280632407E-2</v>
      </c>
      <c r="AF47" s="169">
        <f t="shared" si="3"/>
        <v>5.9079782608695661E-2</v>
      </c>
      <c r="AG47" s="169">
        <f t="shared" si="3"/>
        <v>6.445067193675888E-2</v>
      </c>
      <c r="AI47" s="170">
        <v>4.5999999999999996</v>
      </c>
      <c r="AJ47" s="189">
        <f>$P$63/AB47</f>
        <v>7.538012326557002</v>
      </c>
      <c r="AK47" s="189">
        <f>$R$63/AC47</f>
        <v>7.538012326557002</v>
      </c>
      <c r="AL47" s="189">
        <f>$T$63/AD47</f>
        <v>7.5380123265570029</v>
      </c>
      <c r="AM47" s="184">
        <f>$V$63/AE47</f>
        <v>7.5380123265570029</v>
      </c>
      <c r="AN47" s="189">
        <f>$X$63/AF47</f>
        <v>7.5380123265570012</v>
      </c>
      <c r="AO47" s="189">
        <f>$Z$63/AG47</f>
        <v>7.5380123265570029</v>
      </c>
    </row>
    <row r="48" spans="1:41" ht="9" customHeight="1">
      <c r="A48" s="485"/>
      <c r="B48" s="158" t="s">
        <v>165</v>
      </c>
      <c r="C48" s="165">
        <f>C47/2.2</f>
        <v>5.3030303030303018E-2</v>
      </c>
      <c r="D48" s="158" t="s">
        <v>165</v>
      </c>
      <c r="E48" s="165">
        <f>E47/2.2</f>
        <v>6.0606060606060601E-2</v>
      </c>
      <c r="F48" s="158" t="s">
        <v>165</v>
      </c>
      <c r="G48" s="165">
        <f>G47/2.2</f>
        <v>6.8181818181818177E-2</v>
      </c>
      <c r="H48" s="158" t="s">
        <v>165</v>
      </c>
      <c r="I48" s="165">
        <f>I47/2.2</f>
        <v>7.5757575757575746E-2</v>
      </c>
      <c r="J48" s="158" t="s">
        <v>165</v>
      </c>
      <c r="K48" s="165">
        <f>K47/2.2</f>
        <v>8.3333333333333329E-2</v>
      </c>
      <c r="L48" s="158" t="s">
        <v>165</v>
      </c>
      <c r="M48" s="165">
        <f>M47/2.2</f>
        <v>9.0909090909090898E-2</v>
      </c>
      <c r="N48" s="485"/>
      <c r="O48" s="158" t="s">
        <v>165</v>
      </c>
      <c r="P48" s="165">
        <f>P47/2.2</f>
        <v>3.6997885835095133E-2</v>
      </c>
      <c r="Q48" s="158" t="s">
        <v>165</v>
      </c>
      <c r="R48" s="165">
        <f>R47/2.2</f>
        <v>4.2283298097251586E-2</v>
      </c>
      <c r="S48" s="158" t="s">
        <v>165</v>
      </c>
      <c r="T48" s="165">
        <f>T47/2.2</f>
        <v>4.7568710359408031E-2</v>
      </c>
      <c r="U48" s="158" t="s">
        <v>165</v>
      </c>
      <c r="V48" s="165">
        <f>V47/2.2</f>
        <v>5.2854122621564477E-2</v>
      </c>
      <c r="W48" s="158" t="s">
        <v>165</v>
      </c>
      <c r="X48" s="165">
        <f>X47/2.2</f>
        <v>5.8139534883720929E-2</v>
      </c>
      <c r="Y48" s="158" t="s">
        <v>165</v>
      </c>
      <c r="Z48" s="165">
        <f>Z47/2.2</f>
        <v>6.3424947145877375E-2</v>
      </c>
      <c r="AA48" s="170">
        <v>5</v>
      </c>
      <c r="AB48" s="169">
        <f t="shared" si="3"/>
        <v>3.4588527272727265E-2</v>
      </c>
      <c r="AC48" s="169">
        <f t="shared" si="3"/>
        <v>3.9529745454545448E-2</v>
      </c>
      <c r="AD48" s="169">
        <f t="shared" si="3"/>
        <v>4.4470963636363624E-2</v>
      </c>
      <c r="AE48" s="169">
        <f t="shared" si="3"/>
        <v>4.941218181818182E-2</v>
      </c>
      <c r="AF48" s="190">
        <f t="shared" si="3"/>
        <v>5.4353400000000003E-2</v>
      </c>
      <c r="AG48" s="169">
        <f t="shared" si="3"/>
        <v>5.9294618181818172E-2</v>
      </c>
      <c r="AI48" s="170">
        <v>5</v>
      </c>
      <c r="AJ48" s="189">
        <f>$P$77/AB48</f>
        <v>8.19349165930109</v>
      </c>
      <c r="AK48" s="189">
        <f>$R$77/AC48</f>
        <v>8.1934916593010918</v>
      </c>
      <c r="AL48" s="189">
        <f>$T$77/AD48</f>
        <v>8.1934916593010918</v>
      </c>
      <c r="AM48" s="184">
        <f>$V$77/AE48</f>
        <v>8.19349165930109</v>
      </c>
      <c r="AN48" s="189">
        <f>$X$77/AF48</f>
        <v>8.19349165930109</v>
      </c>
      <c r="AO48" s="189">
        <f>$Z$77/AG48</f>
        <v>8.19349165930109</v>
      </c>
    </row>
    <row r="49" spans="1:41" ht="9" customHeight="1" thickBot="1">
      <c r="A49" s="485"/>
      <c r="B49" s="158" t="s">
        <v>166</v>
      </c>
      <c r="C49" s="165">
        <f>B46/1.235</f>
        <v>0.28340080971659914</v>
      </c>
      <c r="D49" s="158" t="s">
        <v>166</v>
      </c>
      <c r="E49" s="165">
        <f>D46/1.235</f>
        <v>0.32388663967611336</v>
      </c>
      <c r="F49" s="158" t="s">
        <v>166</v>
      </c>
      <c r="G49" s="165">
        <f>F46/1.235</f>
        <v>0.36437246963562753</v>
      </c>
      <c r="H49" s="158" t="s">
        <v>166</v>
      </c>
      <c r="I49" s="165">
        <f>H46/1.235</f>
        <v>0.40485829959514169</v>
      </c>
      <c r="J49" s="158" t="s">
        <v>166</v>
      </c>
      <c r="K49" s="165">
        <f>J46/1.235</f>
        <v>0.44534412955465585</v>
      </c>
      <c r="L49" s="158" t="s">
        <v>166</v>
      </c>
      <c r="M49" s="165">
        <f>L46/1.235</f>
        <v>0.48582995951416996</v>
      </c>
      <c r="N49" s="485"/>
      <c r="O49" s="158" t="s">
        <v>166</v>
      </c>
      <c r="P49" s="165">
        <f>O46/1.235</f>
        <v>0.28340080971659914</v>
      </c>
      <c r="Q49" s="158" t="s">
        <v>166</v>
      </c>
      <c r="R49" s="165">
        <f>Q46/1.235</f>
        <v>0.32388663967611336</v>
      </c>
      <c r="S49" s="158" t="s">
        <v>166</v>
      </c>
      <c r="T49" s="165">
        <f>S46/1.235</f>
        <v>0.36437246963562753</v>
      </c>
      <c r="U49" s="158" t="s">
        <v>166</v>
      </c>
      <c r="V49" s="165">
        <f>U46/1.235</f>
        <v>0.40485829959514169</v>
      </c>
      <c r="W49" s="158" t="s">
        <v>166</v>
      </c>
      <c r="X49" s="165">
        <f>W46/1.235</f>
        <v>0.44534412955465585</v>
      </c>
      <c r="Y49" s="158" t="s">
        <v>166</v>
      </c>
      <c r="Z49" s="165">
        <f>Y46/1.235</f>
        <v>0.48582995951416996</v>
      </c>
    </row>
    <row r="50" spans="1:41" ht="9" customHeight="1">
      <c r="A50" s="485"/>
      <c r="B50" s="158" t="s">
        <v>168</v>
      </c>
      <c r="C50" s="165">
        <f>2.2*C48</f>
        <v>0.11666666666666665</v>
      </c>
      <c r="D50" s="158" t="s">
        <v>168</v>
      </c>
      <c r="E50" s="165">
        <f>2.2*E48</f>
        <v>0.13333333333333333</v>
      </c>
      <c r="F50" s="158" t="s">
        <v>168</v>
      </c>
      <c r="G50" s="165">
        <f>2.2*G48</f>
        <v>0.15</v>
      </c>
      <c r="H50" s="158" t="s">
        <v>168</v>
      </c>
      <c r="I50" s="165">
        <f>2.2*I48</f>
        <v>0.16666666666666666</v>
      </c>
      <c r="J50" s="158" t="s">
        <v>168</v>
      </c>
      <c r="K50" s="165">
        <f>2.2*K48</f>
        <v>0.18333333333333335</v>
      </c>
      <c r="L50" s="158" t="s">
        <v>168</v>
      </c>
      <c r="M50" s="165">
        <f>2.2*M48</f>
        <v>0.19999999999999998</v>
      </c>
      <c r="N50" s="485"/>
      <c r="O50" s="158" t="s">
        <v>168</v>
      </c>
      <c r="P50" s="165">
        <f>2.2*P48</f>
        <v>8.1395348837209294E-2</v>
      </c>
      <c r="Q50" s="158" t="s">
        <v>168</v>
      </c>
      <c r="R50" s="165">
        <f>2.2*R48</f>
        <v>9.3023255813953501E-2</v>
      </c>
      <c r="S50" s="158" t="s">
        <v>168</v>
      </c>
      <c r="T50" s="165">
        <f>2.2*T48</f>
        <v>0.10465116279069768</v>
      </c>
      <c r="U50" s="158" t="s">
        <v>168</v>
      </c>
      <c r="V50" s="165">
        <f>2.2*V48</f>
        <v>0.11627906976744186</v>
      </c>
      <c r="W50" s="158" t="s">
        <v>168</v>
      </c>
      <c r="X50" s="165">
        <f>2.2*X48</f>
        <v>0.12790697674418605</v>
      </c>
      <c r="Y50" s="158" t="s">
        <v>168</v>
      </c>
      <c r="Z50" s="165">
        <f>2.2*Z48</f>
        <v>0.13953488372093023</v>
      </c>
      <c r="AA50" s="487" t="s">
        <v>159</v>
      </c>
      <c r="AB50" s="483" t="s">
        <v>187</v>
      </c>
      <c r="AC50" s="483"/>
      <c r="AD50" s="483"/>
      <c r="AE50" s="483"/>
      <c r="AF50" s="483"/>
      <c r="AG50" s="483"/>
      <c r="AI50" s="487" t="s">
        <v>159</v>
      </c>
      <c r="AJ50" s="483" t="s">
        <v>188</v>
      </c>
      <c r="AK50" s="483"/>
      <c r="AL50" s="483"/>
      <c r="AM50" s="483"/>
      <c r="AN50" s="483"/>
      <c r="AO50" s="483"/>
    </row>
    <row r="51" spans="1:41" ht="9" customHeight="1" thickBot="1">
      <c r="A51" s="485"/>
      <c r="B51" s="158" t="s">
        <v>169</v>
      </c>
      <c r="C51" s="165">
        <f>0.2*C48</f>
        <v>1.0606060606060605E-2</v>
      </c>
      <c r="D51" s="158" t="s">
        <v>169</v>
      </c>
      <c r="E51" s="165">
        <f>0.2*E48</f>
        <v>1.2121212121212121E-2</v>
      </c>
      <c r="F51" s="158" t="s">
        <v>169</v>
      </c>
      <c r="G51" s="165">
        <f>0.2*G48</f>
        <v>1.3636363636363636E-2</v>
      </c>
      <c r="H51" s="158" t="s">
        <v>169</v>
      </c>
      <c r="I51" s="165">
        <f>0.2*I48</f>
        <v>1.515151515151515E-2</v>
      </c>
      <c r="J51" s="158" t="s">
        <v>169</v>
      </c>
      <c r="K51" s="165">
        <f>0.2*K48</f>
        <v>1.6666666666666666E-2</v>
      </c>
      <c r="L51" s="158" t="s">
        <v>169</v>
      </c>
      <c r="M51" s="165">
        <f>0.2*M48</f>
        <v>1.8181818181818181E-2</v>
      </c>
      <c r="N51" s="485"/>
      <c r="O51" s="158" t="s">
        <v>169</v>
      </c>
      <c r="P51" s="165">
        <f>0.2*P48</f>
        <v>7.3995771670190271E-3</v>
      </c>
      <c r="Q51" s="158" t="s">
        <v>169</v>
      </c>
      <c r="R51" s="165">
        <f>0.2*R48</f>
        <v>8.4566596194503175E-3</v>
      </c>
      <c r="S51" s="158" t="s">
        <v>169</v>
      </c>
      <c r="T51" s="165">
        <f>0.2*T48</f>
        <v>9.5137420718816069E-3</v>
      </c>
      <c r="U51" s="158" t="s">
        <v>169</v>
      </c>
      <c r="V51" s="165">
        <f>0.2*V48</f>
        <v>1.0570824524312896E-2</v>
      </c>
      <c r="W51" s="158" t="s">
        <v>169</v>
      </c>
      <c r="X51" s="165">
        <f>0.2*X48</f>
        <v>1.1627906976744186E-2</v>
      </c>
      <c r="Y51" s="158" t="s">
        <v>169</v>
      </c>
      <c r="Z51" s="165">
        <f>0.2*Z48</f>
        <v>1.2684989429175475E-2</v>
      </c>
      <c r="AA51" s="488"/>
      <c r="AB51" s="166">
        <v>0.35</v>
      </c>
      <c r="AC51" s="167">
        <v>0.4</v>
      </c>
      <c r="AD51" s="167">
        <v>0.45</v>
      </c>
      <c r="AE51" s="167">
        <v>0.5</v>
      </c>
      <c r="AF51" s="167">
        <v>0.55000000000000004</v>
      </c>
      <c r="AG51" s="167">
        <v>0.6</v>
      </c>
      <c r="AI51" s="488"/>
      <c r="AJ51" s="166">
        <v>0.35</v>
      </c>
      <c r="AK51" s="167">
        <v>0.4</v>
      </c>
      <c r="AL51" s="167">
        <v>0.45</v>
      </c>
      <c r="AM51" s="167">
        <v>0.5</v>
      </c>
      <c r="AN51" s="167">
        <v>0.55000000000000004</v>
      </c>
      <c r="AO51" s="167">
        <v>0.6</v>
      </c>
    </row>
    <row r="52" spans="1:41" ht="9" customHeight="1">
      <c r="A52" s="485"/>
      <c r="B52" s="158" t="s">
        <v>170</v>
      </c>
      <c r="C52" s="165">
        <f>0.05*C48</f>
        <v>2.6515151515151512E-3</v>
      </c>
      <c r="D52" s="158" t="s">
        <v>170</v>
      </c>
      <c r="E52" s="165">
        <f>0.05*E48</f>
        <v>3.0303030303030303E-3</v>
      </c>
      <c r="F52" s="158" t="s">
        <v>170</v>
      </c>
      <c r="G52" s="165">
        <f>0.05*G48</f>
        <v>3.4090909090909089E-3</v>
      </c>
      <c r="H52" s="158" t="s">
        <v>170</v>
      </c>
      <c r="I52" s="165">
        <f>0.05*I48</f>
        <v>3.7878787878787876E-3</v>
      </c>
      <c r="J52" s="158" t="s">
        <v>170</v>
      </c>
      <c r="K52" s="165">
        <f>0.05*K48</f>
        <v>4.1666666666666666E-3</v>
      </c>
      <c r="L52" s="158" t="s">
        <v>170</v>
      </c>
      <c r="M52" s="165">
        <f>0.05*M48</f>
        <v>4.5454545454545452E-3</v>
      </c>
      <c r="N52" s="485"/>
      <c r="O52" s="158" t="s">
        <v>170</v>
      </c>
      <c r="P52" s="165">
        <f>0.05*P48</f>
        <v>1.8498942917547568E-3</v>
      </c>
      <c r="Q52" s="158" t="s">
        <v>170</v>
      </c>
      <c r="R52" s="165">
        <f>0.05*R48</f>
        <v>2.1141649048625794E-3</v>
      </c>
      <c r="S52" s="158" t="s">
        <v>170</v>
      </c>
      <c r="T52" s="165">
        <f>0.05*T48</f>
        <v>2.3784355179704017E-3</v>
      </c>
      <c r="U52" s="158" t="s">
        <v>170</v>
      </c>
      <c r="V52" s="165">
        <f>0.05*V48</f>
        <v>2.6427061310782241E-3</v>
      </c>
      <c r="W52" s="158" t="s">
        <v>170</v>
      </c>
      <c r="X52" s="165">
        <f>0.05*X48</f>
        <v>2.9069767441860465E-3</v>
      </c>
      <c r="Y52" s="158" t="s">
        <v>170</v>
      </c>
      <c r="Z52" s="165">
        <f>0.05*Z48</f>
        <v>3.1712473572938688E-3</v>
      </c>
      <c r="AA52" s="168">
        <v>1</v>
      </c>
      <c r="AB52" s="169">
        <f>$AD$3*$AF$3*AB7</f>
        <v>0.29972727272727268</v>
      </c>
      <c r="AC52" s="169">
        <f t="shared" ref="AC52:AG52" si="4">$AD$3*$AF$3*AC7</f>
        <v>0.3425454545454546</v>
      </c>
      <c r="AD52" s="169">
        <f t="shared" si="4"/>
        <v>0.38536363636363635</v>
      </c>
      <c r="AE52" s="169">
        <f t="shared" si="4"/>
        <v>0.42818181818181816</v>
      </c>
      <c r="AF52" s="169">
        <f t="shared" si="4"/>
        <v>0.47099999999999997</v>
      </c>
      <c r="AG52" s="169">
        <f t="shared" si="4"/>
        <v>0.51381818181818184</v>
      </c>
      <c r="AI52" s="168">
        <v>1</v>
      </c>
      <c r="AJ52" s="169">
        <f>$C$5/AB52</f>
        <v>0.94552893748334577</v>
      </c>
      <c r="AK52" s="169">
        <f>$E$5/AC52</f>
        <v>0.94552893748334566</v>
      </c>
      <c r="AL52" s="169">
        <f>$G$5/AD52</f>
        <v>0.94552893748334577</v>
      </c>
      <c r="AM52" s="169">
        <f>$I$5/AE52</f>
        <v>0.94552893748334577</v>
      </c>
      <c r="AN52" s="169">
        <f>$K$5/AF52</f>
        <v>0.94552893748334577</v>
      </c>
      <c r="AO52" s="169">
        <f>$M$5/AG52</f>
        <v>0.94552893748334566</v>
      </c>
    </row>
    <row r="53" spans="1:41" ht="9" customHeight="1">
      <c r="A53" s="485"/>
      <c r="B53" s="171" t="s">
        <v>171</v>
      </c>
      <c r="C53" s="172">
        <f>0.6*C48</f>
        <v>3.1818181818181808E-2</v>
      </c>
      <c r="D53" s="171" t="s">
        <v>171</v>
      </c>
      <c r="E53" s="172">
        <f>0.6*E48</f>
        <v>3.6363636363636362E-2</v>
      </c>
      <c r="F53" s="171" t="s">
        <v>171</v>
      </c>
      <c r="G53" s="172">
        <f>0.6*G48</f>
        <v>4.0909090909090902E-2</v>
      </c>
      <c r="H53" s="171" t="s">
        <v>171</v>
      </c>
      <c r="I53" s="172">
        <f>0.6*I48</f>
        <v>4.5454545454545449E-2</v>
      </c>
      <c r="J53" s="171" t="s">
        <v>171</v>
      </c>
      <c r="K53" s="172">
        <f>0.6*K48</f>
        <v>4.9999999999999996E-2</v>
      </c>
      <c r="L53" s="171" t="s">
        <v>171</v>
      </c>
      <c r="M53" s="172">
        <f>0.6*M48</f>
        <v>5.4545454545454536E-2</v>
      </c>
      <c r="N53" s="485"/>
      <c r="O53" s="171" t="s">
        <v>171</v>
      </c>
      <c r="P53" s="171">
        <f>0.6*P48</f>
        <v>2.2198731501057081E-2</v>
      </c>
      <c r="Q53" s="171" t="s">
        <v>171</v>
      </c>
      <c r="R53" s="171">
        <f>0.6*R48</f>
        <v>2.5369978858350951E-2</v>
      </c>
      <c r="S53" s="171" t="s">
        <v>171</v>
      </c>
      <c r="T53" s="171">
        <f>0.6*T48</f>
        <v>2.8541226215644817E-2</v>
      </c>
      <c r="U53" s="171" t="s">
        <v>171</v>
      </c>
      <c r="V53" s="171">
        <f>0.6*V48</f>
        <v>3.1712473572938688E-2</v>
      </c>
      <c r="W53" s="171" t="s">
        <v>171</v>
      </c>
      <c r="X53" s="171">
        <f>0.6*X48</f>
        <v>3.4883720930232558E-2</v>
      </c>
      <c r="Y53" s="171" t="s">
        <v>171</v>
      </c>
      <c r="Z53" s="171">
        <f>0.6*Z48</f>
        <v>3.8054968287526421E-2</v>
      </c>
      <c r="AA53" s="170">
        <v>1.2</v>
      </c>
      <c r="AB53" s="169">
        <f t="shared" ref="AB53:AG63" si="5">$AD$3*$AF$3*AB8</f>
        <v>0.24977272727272729</v>
      </c>
      <c r="AC53" s="169">
        <f t="shared" si="5"/>
        <v>0.28545454545454546</v>
      </c>
      <c r="AD53" s="169">
        <f t="shared" si="5"/>
        <v>0.32113636363636361</v>
      </c>
      <c r="AE53" s="169">
        <f t="shared" si="5"/>
        <v>0.35681818181818181</v>
      </c>
      <c r="AF53" s="169">
        <f t="shared" si="5"/>
        <v>0.39250000000000002</v>
      </c>
      <c r="AG53" s="169">
        <f t="shared" si="5"/>
        <v>0.42818181818181816</v>
      </c>
      <c r="AI53" s="170">
        <v>1.2</v>
      </c>
      <c r="AJ53" s="169">
        <f>$C$19/AB53</f>
        <v>1.1346347249800146</v>
      </c>
      <c r="AK53" s="169">
        <f>$E$19/AC53</f>
        <v>1.1346347249800151</v>
      </c>
      <c r="AL53" s="169">
        <f>$G$19/AD53</f>
        <v>1.1346347249800151</v>
      </c>
      <c r="AM53" s="169">
        <f>$I$19/AE53</f>
        <v>1.1346347249800151</v>
      </c>
      <c r="AN53" s="169">
        <f>$K$19/AF53</f>
        <v>1.1346347249800148</v>
      </c>
      <c r="AO53" s="169">
        <f>$M$19/AG53</f>
        <v>1.1346347249800148</v>
      </c>
    </row>
    <row r="54" spans="1:41" ht="9" customHeight="1">
      <c r="A54" s="485"/>
      <c r="B54" s="171" t="s">
        <v>172</v>
      </c>
      <c r="C54" s="173">
        <f>C49/C53</f>
        <v>8.9068825910931189</v>
      </c>
      <c r="D54" s="171" t="s">
        <v>172</v>
      </c>
      <c r="E54" s="173">
        <f>E49/E53</f>
        <v>8.9068825910931171</v>
      </c>
      <c r="F54" s="171" t="s">
        <v>172</v>
      </c>
      <c r="G54" s="173">
        <f>G49/G53</f>
        <v>8.9068825910931189</v>
      </c>
      <c r="H54" s="171" t="s">
        <v>172</v>
      </c>
      <c r="I54" s="173">
        <f>I49/I53</f>
        <v>8.9068825910931189</v>
      </c>
      <c r="J54" s="171" t="s">
        <v>172</v>
      </c>
      <c r="K54" s="173">
        <f>K49/K53</f>
        <v>8.9068825910931171</v>
      </c>
      <c r="L54" s="171" t="s">
        <v>172</v>
      </c>
      <c r="M54" s="173">
        <f>M49/M53</f>
        <v>8.9068825910931171</v>
      </c>
      <c r="N54" s="485"/>
      <c r="O54" s="171" t="s">
        <v>172</v>
      </c>
      <c r="P54" s="173">
        <f>P49/P53</f>
        <v>12.766531713900134</v>
      </c>
      <c r="Q54" s="171" t="s">
        <v>172</v>
      </c>
      <c r="R54" s="173">
        <f>R49/R53</f>
        <v>12.766531713900136</v>
      </c>
      <c r="S54" s="171" t="s">
        <v>172</v>
      </c>
      <c r="T54" s="173">
        <f>T49/T53</f>
        <v>12.766531713900136</v>
      </c>
      <c r="U54" s="171" t="s">
        <v>172</v>
      </c>
      <c r="V54" s="173">
        <f>V49/V53</f>
        <v>12.766531713900136</v>
      </c>
      <c r="W54" s="171" t="s">
        <v>172</v>
      </c>
      <c r="X54" s="173">
        <f>X49/X53</f>
        <v>12.766531713900134</v>
      </c>
      <c r="Y54" s="171" t="s">
        <v>172</v>
      </c>
      <c r="Z54" s="173">
        <f>Z49/Z53</f>
        <v>12.766531713900134</v>
      </c>
      <c r="AA54" s="170">
        <v>1.5</v>
      </c>
      <c r="AB54" s="169">
        <f t="shared" si="5"/>
        <v>0.19981818181818181</v>
      </c>
      <c r="AC54" s="169">
        <f t="shared" si="5"/>
        <v>0.22836363636363635</v>
      </c>
      <c r="AD54" s="169">
        <f t="shared" si="5"/>
        <v>0.25690909090909092</v>
      </c>
      <c r="AE54" s="169">
        <f t="shared" si="5"/>
        <v>0.28545454545454541</v>
      </c>
      <c r="AF54" s="169">
        <f t="shared" si="5"/>
        <v>0.314</v>
      </c>
      <c r="AG54" s="169">
        <f t="shared" si="5"/>
        <v>0.34254545454545449</v>
      </c>
      <c r="AI54" s="170">
        <v>1.5</v>
      </c>
      <c r="AJ54" s="169">
        <f>$C$33/AB54</f>
        <v>1.4182934062250185</v>
      </c>
      <c r="AK54" s="169">
        <f>$E$33/AC54</f>
        <v>1.4182934062250188</v>
      </c>
      <c r="AL54" s="169">
        <f>$G$33/AD54</f>
        <v>1.4182934062250185</v>
      </c>
      <c r="AM54" s="169">
        <f>$I$33/AE54</f>
        <v>1.418293406225019</v>
      </c>
      <c r="AN54" s="169">
        <f>$K$33/AF54</f>
        <v>1.4182934062250185</v>
      </c>
      <c r="AO54" s="169">
        <f>$M$33/AG54</f>
        <v>1.4182934062250188</v>
      </c>
    </row>
    <row r="55" spans="1:41" ht="9" customHeight="1">
      <c r="A55" s="485"/>
      <c r="B55" s="158" t="s">
        <v>173</v>
      </c>
      <c r="C55" s="165">
        <f>(C48-C51)/2</f>
        <v>2.1212121212121206E-2</v>
      </c>
      <c r="D55" s="158" t="s">
        <v>173</v>
      </c>
      <c r="E55" s="165">
        <f>(E48-E51)/2</f>
        <v>2.4242424242424239E-2</v>
      </c>
      <c r="F55" s="158" t="s">
        <v>173</v>
      </c>
      <c r="G55" s="165">
        <f>(G48-G51)/2</f>
        <v>2.7272727272727271E-2</v>
      </c>
      <c r="H55" s="158" t="s">
        <v>173</v>
      </c>
      <c r="I55" s="165">
        <f>(I48-I51)/2</f>
        <v>3.0303030303030297E-2</v>
      </c>
      <c r="J55" s="158" t="s">
        <v>173</v>
      </c>
      <c r="K55" s="165">
        <f>(K48-K51)/2</f>
        <v>3.3333333333333333E-2</v>
      </c>
      <c r="L55" s="158" t="s">
        <v>173</v>
      </c>
      <c r="M55" s="165">
        <f>(M48-M51)/2</f>
        <v>3.6363636363636362E-2</v>
      </c>
      <c r="N55" s="485"/>
      <c r="O55" s="158" t="s">
        <v>173</v>
      </c>
      <c r="P55" s="165">
        <f>(P48-P51)/2</f>
        <v>1.4799154334038053E-2</v>
      </c>
      <c r="Q55" s="158" t="s">
        <v>173</v>
      </c>
      <c r="R55" s="165">
        <f>(R48-R51)/2</f>
        <v>1.6913319238900635E-2</v>
      </c>
      <c r="S55" s="158" t="s">
        <v>173</v>
      </c>
      <c r="T55" s="165">
        <f>(T48-T51)/2</f>
        <v>1.9027484143763214E-2</v>
      </c>
      <c r="U55" s="158" t="s">
        <v>173</v>
      </c>
      <c r="V55" s="165">
        <f>(V48-V51)/2</f>
        <v>2.1141649048625789E-2</v>
      </c>
      <c r="W55" s="158" t="s">
        <v>173</v>
      </c>
      <c r="X55" s="165">
        <f>(X48-X51)/2</f>
        <v>2.3255813953488372E-2</v>
      </c>
      <c r="Y55" s="158" t="s">
        <v>173</v>
      </c>
      <c r="Z55" s="165">
        <f>(Z48-Z51)/2</f>
        <v>2.5369978858350951E-2</v>
      </c>
      <c r="AA55" s="170">
        <v>1.8</v>
      </c>
      <c r="AB55" s="169">
        <f t="shared" si="5"/>
        <v>0.1665151515151515</v>
      </c>
      <c r="AC55" s="169">
        <f t="shared" si="5"/>
        <v>0.19030303030303031</v>
      </c>
      <c r="AD55" s="169">
        <f t="shared" si="5"/>
        <v>0.21409090909090908</v>
      </c>
      <c r="AE55" s="169">
        <f t="shared" si="5"/>
        <v>0.23787878787878788</v>
      </c>
      <c r="AF55" s="169">
        <f t="shared" si="5"/>
        <v>0.26166666666666671</v>
      </c>
      <c r="AG55" s="169">
        <f t="shared" si="5"/>
        <v>0.28545454545454541</v>
      </c>
      <c r="AI55" s="170">
        <v>1.8</v>
      </c>
      <c r="AJ55" s="169">
        <f>$P$5/AB55</f>
        <v>1.7019520874700222</v>
      </c>
      <c r="AK55" s="169">
        <f>$R$5/AC55</f>
        <v>1.7019520874700225</v>
      </c>
      <c r="AL55" s="169">
        <f>$T$5/AD55</f>
        <v>1.7019520874700225</v>
      </c>
      <c r="AM55" s="169">
        <f>$V$5/AE55</f>
        <v>1.7019520874700225</v>
      </c>
      <c r="AN55" s="169">
        <f>$X$5/AF55</f>
        <v>1.701952087470022</v>
      </c>
      <c r="AO55" s="169">
        <f>$Z$5/AG55</f>
        <v>1.7019520874700225</v>
      </c>
    </row>
    <row r="56" spans="1:41" ht="9" customHeight="1">
      <c r="A56" s="485"/>
      <c r="B56" s="158" t="s">
        <v>58</v>
      </c>
      <c r="C56" s="165">
        <f>C47/2</f>
        <v>5.8333333333333327E-2</v>
      </c>
      <c r="D56" s="158" t="s">
        <v>58</v>
      </c>
      <c r="E56" s="165">
        <f>E47/2</f>
        <v>6.6666666666666666E-2</v>
      </c>
      <c r="F56" s="158" t="s">
        <v>58</v>
      </c>
      <c r="G56" s="165">
        <f>G47/2</f>
        <v>7.4999999999999997E-2</v>
      </c>
      <c r="H56" s="158" t="s">
        <v>58</v>
      </c>
      <c r="I56" s="165">
        <f>I47/2</f>
        <v>8.3333333333333329E-2</v>
      </c>
      <c r="J56" s="158" t="s">
        <v>58</v>
      </c>
      <c r="K56" s="165">
        <f>K47/2</f>
        <v>9.1666666666666674E-2</v>
      </c>
      <c r="L56" s="158" t="s">
        <v>58</v>
      </c>
      <c r="M56" s="165">
        <f>M47/2</f>
        <v>9.9999999999999992E-2</v>
      </c>
      <c r="N56" s="485"/>
      <c r="O56" s="158" t="s">
        <v>58</v>
      </c>
      <c r="P56" s="165">
        <f>P47/2</f>
        <v>4.0697674418604647E-2</v>
      </c>
      <c r="Q56" s="158" t="s">
        <v>58</v>
      </c>
      <c r="R56" s="165">
        <f>R47/2</f>
        <v>4.651162790697675E-2</v>
      </c>
      <c r="S56" s="158" t="s">
        <v>58</v>
      </c>
      <c r="T56" s="165">
        <f>T47/2</f>
        <v>5.232558139534884E-2</v>
      </c>
      <c r="U56" s="158" t="s">
        <v>58</v>
      </c>
      <c r="V56" s="165">
        <f>V47/2</f>
        <v>5.8139534883720929E-2</v>
      </c>
      <c r="W56" s="158" t="s">
        <v>58</v>
      </c>
      <c r="X56" s="165">
        <f>X47/2</f>
        <v>6.3953488372093026E-2</v>
      </c>
      <c r="Y56" s="158" t="s">
        <v>58</v>
      </c>
      <c r="Z56" s="165">
        <f>Z47/2</f>
        <v>6.9767441860465115E-2</v>
      </c>
      <c r="AA56" s="170">
        <v>2</v>
      </c>
      <c r="AB56" s="169">
        <f t="shared" si="5"/>
        <v>0.14986363636363634</v>
      </c>
      <c r="AC56" s="169">
        <f t="shared" si="5"/>
        <v>0.1712727272727273</v>
      </c>
      <c r="AD56" s="169">
        <f t="shared" si="5"/>
        <v>0.19268181818181818</v>
      </c>
      <c r="AE56" s="169">
        <f t="shared" si="5"/>
        <v>0.21409090909090908</v>
      </c>
      <c r="AF56" s="169">
        <f t="shared" si="5"/>
        <v>0.23549999999999999</v>
      </c>
      <c r="AG56" s="169">
        <f t="shared" si="5"/>
        <v>0.25690909090909092</v>
      </c>
      <c r="AI56" s="170">
        <v>2</v>
      </c>
      <c r="AJ56" s="169">
        <f>$P$19/AB56</f>
        <v>1.8910578749666915</v>
      </c>
      <c r="AK56" s="169">
        <f>$R$19/AC56</f>
        <v>1.8910578749666913</v>
      </c>
      <c r="AL56" s="169">
        <f>$T$19/AD56</f>
        <v>1.8910578749666915</v>
      </c>
      <c r="AM56" s="169">
        <f>$V$19/AE56</f>
        <v>1.8910578749666915</v>
      </c>
      <c r="AN56" s="169">
        <f>$X$19/AF56</f>
        <v>1.8910578749666915</v>
      </c>
      <c r="AO56" s="169">
        <f>$Z$19/AG56</f>
        <v>1.8910578749666913</v>
      </c>
    </row>
    <row r="57" spans="1:41" ht="9" customHeight="1">
      <c r="A57" s="485"/>
      <c r="B57" s="158" t="s">
        <v>174</v>
      </c>
      <c r="C57" s="191">
        <f>$AF$3*(C56^2)*B46</f>
        <v>3.7396527777777771E-3</v>
      </c>
      <c r="D57" s="158" t="s">
        <v>174</v>
      </c>
      <c r="E57" s="187">
        <f>$AF$3*(E56^2)*D46</f>
        <v>5.5822222222222228E-3</v>
      </c>
      <c r="F57" s="158" t="s">
        <v>174</v>
      </c>
      <c r="G57" s="174">
        <f>$AF$3*(G56^2)*F46</f>
        <v>7.9481250000000003E-3</v>
      </c>
      <c r="H57" s="158" t="s">
        <v>174</v>
      </c>
      <c r="I57" s="174">
        <f>$AF$3*(I56^2)*H46</f>
        <v>1.0902777777777777E-2</v>
      </c>
      <c r="J57" s="158" t="s">
        <v>174</v>
      </c>
      <c r="K57" s="174">
        <f>$AF$3*(K56^2)*J46</f>
        <v>1.4511597222222228E-2</v>
      </c>
      <c r="L57" s="158" t="s">
        <v>174</v>
      </c>
      <c r="M57" s="174">
        <f>$AF$3*(M56^2)*L46</f>
        <v>1.8839999999999999E-2</v>
      </c>
      <c r="N57" s="485"/>
      <c r="O57" s="158" t="s">
        <v>174</v>
      </c>
      <c r="P57" s="191">
        <f>$AF$3*(P56^2)*O46</f>
        <v>1.8202744726879389E-3</v>
      </c>
      <c r="Q57" s="158" t="s">
        <v>174</v>
      </c>
      <c r="R57" s="191">
        <f>$AF$3*(R56^2)*Q46</f>
        <v>2.7171444023796655E-3</v>
      </c>
      <c r="S57" s="158" t="s">
        <v>174</v>
      </c>
      <c r="T57" s="191">
        <f>$AF$3*(T56^2)*S46</f>
        <v>3.8687466197944841E-3</v>
      </c>
      <c r="U57" s="158" t="s">
        <v>174</v>
      </c>
      <c r="V57" s="192">
        <f>$AF$3*(V56^2)*U46</f>
        <v>5.3069226608977822E-3</v>
      </c>
      <c r="W57" s="158" t="s">
        <v>174</v>
      </c>
      <c r="X57" s="174">
        <f>$AF$3*(X56^2)*W46</f>
        <v>7.0635140616549501E-3</v>
      </c>
      <c r="Y57" s="158" t="s">
        <v>174</v>
      </c>
      <c r="Z57" s="174">
        <f>$AF$3*(Z56^2)*Y46</f>
        <v>9.1703623580313681E-3</v>
      </c>
      <c r="AA57" s="170">
        <v>2.5</v>
      </c>
      <c r="AB57" s="183">
        <f t="shared" si="5"/>
        <v>0.11989090909090909</v>
      </c>
      <c r="AC57" s="169">
        <f t="shared" si="5"/>
        <v>0.13701818181818182</v>
      </c>
      <c r="AD57" s="169">
        <f t="shared" si="5"/>
        <v>0.15414545454545453</v>
      </c>
      <c r="AE57" s="169">
        <f>$AD$3*$AF$3*AE12</f>
        <v>0.1712727272727273</v>
      </c>
      <c r="AF57" s="169">
        <f t="shared" si="5"/>
        <v>0.18840000000000001</v>
      </c>
      <c r="AG57" s="169">
        <f t="shared" si="5"/>
        <v>0.2055272727272727</v>
      </c>
      <c r="AI57" s="170">
        <v>2.5</v>
      </c>
      <c r="AJ57" s="182">
        <f>$P$33/AB57</f>
        <v>2.3638223437083643</v>
      </c>
      <c r="AK57" s="169">
        <f>$R$33/AC57</f>
        <v>2.3638223437083647</v>
      </c>
      <c r="AL57" s="169">
        <f>$T$33/AD57</f>
        <v>2.3638223437083647</v>
      </c>
      <c r="AM57" s="169">
        <f>$V$33/AE57</f>
        <v>2.3638223437083639</v>
      </c>
      <c r="AN57" s="169">
        <f>$X$33/AF57</f>
        <v>2.3638223437083643</v>
      </c>
      <c r="AO57" s="169">
        <f>$Z$33/AG57</f>
        <v>2.3638223437083643</v>
      </c>
    </row>
    <row r="58" spans="1:41" ht="9" customHeight="1">
      <c r="A58" s="485"/>
      <c r="B58" s="158" t="s">
        <v>175</v>
      </c>
      <c r="C58" s="193">
        <f>0.7*C57</f>
        <v>2.6177569444444438E-3</v>
      </c>
      <c r="D58" s="158" t="s">
        <v>175</v>
      </c>
      <c r="E58" s="165">
        <f>0.7*E57</f>
        <v>3.9075555555555556E-3</v>
      </c>
      <c r="F58" s="158" t="s">
        <v>175</v>
      </c>
      <c r="G58" s="165">
        <f>0.7*G57</f>
        <v>5.5636875000000001E-3</v>
      </c>
      <c r="H58" s="158" t="s">
        <v>175</v>
      </c>
      <c r="I58" s="165">
        <f>0.7*I57</f>
        <v>7.6319444444444429E-3</v>
      </c>
      <c r="J58" s="158" t="s">
        <v>175</v>
      </c>
      <c r="K58" s="165">
        <f>0.7*K57</f>
        <v>1.0158118055555559E-2</v>
      </c>
      <c r="L58" s="158" t="s">
        <v>175</v>
      </c>
      <c r="M58" s="165">
        <f>0.7*M57</f>
        <v>1.3187999999999998E-2</v>
      </c>
      <c r="N58" s="485"/>
      <c r="O58" s="158" t="s">
        <v>175</v>
      </c>
      <c r="P58" s="165">
        <f>0.7*P57</f>
        <v>1.2741921308815571E-3</v>
      </c>
      <c r="Q58" s="158" t="s">
        <v>175</v>
      </c>
      <c r="R58" s="165">
        <f>0.7*R57</f>
        <v>1.9020010816657657E-3</v>
      </c>
      <c r="S58" s="158" t="s">
        <v>175</v>
      </c>
      <c r="T58" s="165">
        <f>0.7*T57</f>
        <v>2.7081226338561389E-3</v>
      </c>
      <c r="U58" s="158" t="s">
        <v>175</v>
      </c>
      <c r="V58" s="165">
        <f>0.7*V57</f>
        <v>3.7148458626284474E-3</v>
      </c>
      <c r="W58" s="158" t="s">
        <v>175</v>
      </c>
      <c r="X58" s="165">
        <f>0.7*X57</f>
        <v>4.9444598431584649E-3</v>
      </c>
      <c r="Y58" s="158" t="s">
        <v>175</v>
      </c>
      <c r="Z58" s="165">
        <f>0.7*Z57</f>
        <v>6.4192536506219571E-3</v>
      </c>
      <c r="AA58" s="170">
        <v>3</v>
      </c>
      <c r="AB58" s="169">
        <f t="shared" si="5"/>
        <v>9.9909090909090906E-2</v>
      </c>
      <c r="AC58" s="169">
        <f t="shared" si="5"/>
        <v>0.11418181818181818</v>
      </c>
      <c r="AD58" s="169">
        <f t="shared" si="5"/>
        <v>0.12845454545454546</v>
      </c>
      <c r="AE58" s="169">
        <f t="shared" si="5"/>
        <v>0.1427272727272727</v>
      </c>
      <c r="AF58" s="169">
        <f t="shared" si="5"/>
        <v>0.157</v>
      </c>
      <c r="AG58" s="169">
        <f t="shared" si="5"/>
        <v>0.17127272727272724</v>
      </c>
      <c r="AI58" s="170">
        <v>3</v>
      </c>
      <c r="AJ58" s="189">
        <f>$C$49/AB58</f>
        <v>2.8365868124500371</v>
      </c>
      <c r="AK58" s="189">
        <f>$E$49/AC58</f>
        <v>2.8365868124500375</v>
      </c>
      <c r="AL58" s="189">
        <f>$G$49/AD58</f>
        <v>2.8365868124500371</v>
      </c>
      <c r="AM58" s="189">
        <f>$I$49/AE58</f>
        <v>2.836586812450038</v>
      </c>
      <c r="AN58" s="189">
        <f>$K$49/AF58</f>
        <v>2.8365868124500371</v>
      </c>
      <c r="AO58" s="189">
        <f>$M$49/AG58</f>
        <v>2.8365868124500375</v>
      </c>
    </row>
    <row r="59" spans="1:41" ht="14.25" customHeight="1" thickBot="1">
      <c r="A59" s="485"/>
      <c r="B59" s="176" t="s">
        <v>176</v>
      </c>
      <c r="C59" s="177">
        <v>234</v>
      </c>
      <c r="D59" s="177" t="s">
        <v>176</v>
      </c>
      <c r="E59" s="177">
        <v>262</v>
      </c>
      <c r="F59" s="177" t="s">
        <v>176</v>
      </c>
      <c r="G59" s="177">
        <v>296</v>
      </c>
      <c r="H59" s="177" t="s">
        <v>176</v>
      </c>
      <c r="I59" s="177">
        <v>331</v>
      </c>
      <c r="J59" s="177" t="s">
        <v>176</v>
      </c>
      <c r="K59" s="177">
        <v>361</v>
      </c>
      <c r="L59" s="177" t="s">
        <v>176</v>
      </c>
      <c r="M59" s="178">
        <v>396</v>
      </c>
      <c r="N59" s="485"/>
      <c r="O59" s="176" t="s">
        <v>176</v>
      </c>
      <c r="P59" s="177">
        <v>124</v>
      </c>
      <c r="Q59" s="177" t="s">
        <v>176</v>
      </c>
      <c r="R59" s="177">
        <v>148</v>
      </c>
      <c r="S59" s="177" t="s">
        <v>176</v>
      </c>
      <c r="T59" s="177">
        <v>160</v>
      </c>
      <c r="U59" s="177" t="s">
        <v>176</v>
      </c>
      <c r="V59" s="177">
        <v>181</v>
      </c>
      <c r="W59" s="177" t="s">
        <v>176</v>
      </c>
      <c r="X59" s="177">
        <v>200</v>
      </c>
      <c r="Y59" s="177" t="s">
        <v>176</v>
      </c>
      <c r="Z59" s="177">
        <v>221</v>
      </c>
      <c r="AA59" s="175">
        <v>3.5</v>
      </c>
      <c r="AB59" s="169">
        <f t="shared" si="5"/>
        <v>8.5636363636363622E-2</v>
      </c>
      <c r="AC59" s="169">
        <f t="shared" si="5"/>
        <v>9.7870129870129885E-2</v>
      </c>
      <c r="AD59" s="169">
        <f t="shared" si="5"/>
        <v>0.11010389610389612</v>
      </c>
      <c r="AE59" s="169">
        <f t="shared" si="5"/>
        <v>0.12233766233766234</v>
      </c>
      <c r="AF59" s="169">
        <f t="shared" si="5"/>
        <v>0.13457142857142859</v>
      </c>
      <c r="AG59" s="169">
        <f t="shared" si="5"/>
        <v>0.14680519480519483</v>
      </c>
      <c r="AI59" s="175">
        <v>3.5</v>
      </c>
      <c r="AJ59" s="189">
        <f>$C$63/AB59</f>
        <v>3.3093512811917103</v>
      </c>
      <c r="AK59" s="189">
        <f>$E$63/AC59</f>
        <v>3.3093512811917098</v>
      </c>
      <c r="AL59" s="189">
        <f>$G$63/AD59</f>
        <v>3.3093512811917098</v>
      </c>
      <c r="AM59" s="189">
        <f>$I$63/AE59</f>
        <v>3.3093512811917103</v>
      </c>
      <c r="AN59" s="189">
        <f>$K$63/AF59</f>
        <v>3.3093512811917098</v>
      </c>
      <c r="AO59" s="189">
        <f>$M$63/AG59</f>
        <v>3.3093512811917094</v>
      </c>
    </row>
    <row r="60" spans="1:41" ht="9" customHeight="1" thickTop="1">
      <c r="A60" s="180"/>
      <c r="N60" s="180"/>
      <c r="AA60" s="170">
        <v>4</v>
      </c>
      <c r="AB60" s="169">
        <f t="shared" si="5"/>
        <v>7.4931818181818169E-2</v>
      </c>
      <c r="AC60" s="169">
        <f t="shared" si="5"/>
        <v>8.5636363636363649E-2</v>
      </c>
      <c r="AD60" s="183">
        <f>$AD$3*$AF$3*AD15</f>
        <v>9.6340909090909088E-2</v>
      </c>
      <c r="AE60" s="169">
        <f t="shared" si="5"/>
        <v>0.10704545454545454</v>
      </c>
      <c r="AF60" s="169">
        <f t="shared" si="5"/>
        <v>0.11774999999999999</v>
      </c>
      <c r="AG60" s="169">
        <f t="shared" si="5"/>
        <v>0.12845454545454546</v>
      </c>
      <c r="AI60" s="170">
        <v>4</v>
      </c>
      <c r="AJ60" s="189">
        <f>$C$77/AB60</f>
        <v>3.7821157499333831</v>
      </c>
      <c r="AK60" s="189">
        <f>$E$77/AC60</f>
        <v>3.7821157499333826</v>
      </c>
      <c r="AL60" s="184">
        <f>$G$77/AD60</f>
        <v>3.7821157499333831</v>
      </c>
      <c r="AM60" s="189">
        <f>$I$77/AE60</f>
        <v>3.7821157499333831</v>
      </c>
      <c r="AN60" s="189">
        <f>$K$77/AF60</f>
        <v>3.7821157499333831</v>
      </c>
      <c r="AO60" s="189">
        <f>$M$77/AG60</f>
        <v>3.7821157499333826</v>
      </c>
    </row>
    <row r="61" spans="1:41" ht="9" customHeight="1">
      <c r="A61" s="484" t="s">
        <v>189</v>
      </c>
      <c r="B61" s="163" t="s">
        <v>163</v>
      </c>
      <c r="C61" s="164">
        <f>B46/$A$61</f>
        <v>9.9999999999999992E-2</v>
      </c>
      <c r="D61" s="163" t="s">
        <v>163</v>
      </c>
      <c r="E61" s="164">
        <f>D46/$A$61</f>
        <v>0.1142857142857143</v>
      </c>
      <c r="F61" s="163" t="s">
        <v>163</v>
      </c>
      <c r="G61" s="164">
        <f>F46/$A$61</f>
        <v>0.12857142857142859</v>
      </c>
      <c r="H61" s="163" t="s">
        <v>163</v>
      </c>
      <c r="I61" s="164">
        <f>H46/$A$61</f>
        <v>0.14285714285714285</v>
      </c>
      <c r="J61" s="163" t="s">
        <v>163</v>
      </c>
      <c r="K61" s="164">
        <f>J46/$A$61</f>
        <v>0.15714285714285717</v>
      </c>
      <c r="L61" s="163" t="s">
        <v>163</v>
      </c>
      <c r="M61" s="164">
        <f>L46/$A$61</f>
        <v>0.17142857142857143</v>
      </c>
      <c r="N61" s="485" t="s">
        <v>190</v>
      </c>
      <c r="O61" s="163" t="s">
        <v>163</v>
      </c>
      <c r="P61" s="164">
        <f>O46/$N$61</f>
        <v>7.6086956521739135E-2</v>
      </c>
      <c r="Q61" s="163" t="s">
        <v>163</v>
      </c>
      <c r="R61" s="164">
        <f>Q46/$N$61</f>
        <v>8.6956521739130446E-2</v>
      </c>
      <c r="S61" s="163" t="s">
        <v>163</v>
      </c>
      <c r="T61" s="164">
        <f>S46/$N$61</f>
        <v>9.7826086956521743E-2</v>
      </c>
      <c r="U61" s="163" t="s">
        <v>163</v>
      </c>
      <c r="V61" s="164">
        <f>U46/$N$61</f>
        <v>0.10869565217391305</v>
      </c>
      <c r="W61" s="163" t="s">
        <v>163</v>
      </c>
      <c r="X61" s="164">
        <f>W46/$N$61</f>
        <v>0.11956521739130437</v>
      </c>
      <c r="Y61" s="163" t="s">
        <v>163</v>
      </c>
      <c r="Z61" s="164">
        <f>Y46/$N$61</f>
        <v>0.13043478260869565</v>
      </c>
      <c r="AA61" s="170">
        <v>4.3</v>
      </c>
      <c r="AB61" s="169">
        <f t="shared" si="5"/>
        <v>6.9704016913319233E-2</v>
      </c>
      <c r="AC61" s="169">
        <f t="shared" si="5"/>
        <v>7.9661733615221983E-2</v>
      </c>
      <c r="AD61" s="169">
        <f t="shared" si="5"/>
        <v>8.9619450317124733E-2</v>
      </c>
      <c r="AE61" s="183">
        <f t="shared" si="5"/>
        <v>9.9577167019027482E-2</v>
      </c>
      <c r="AF61" s="169">
        <f t="shared" si="5"/>
        <v>0.10953488372093023</v>
      </c>
      <c r="AG61" s="169">
        <f t="shared" si="5"/>
        <v>0.11949260042283298</v>
      </c>
      <c r="AI61" s="170">
        <v>4.3</v>
      </c>
      <c r="AJ61" s="189">
        <f>$P$49/AB61</f>
        <v>4.0657744311783865</v>
      </c>
      <c r="AK61" s="189">
        <f>$R$49/AC61</f>
        <v>4.0657744311783874</v>
      </c>
      <c r="AL61" s="189">
        <f>$T$49/AD61</f>
        <v>4.0657744311783874</v>
      </c>
      <c r="AM61" s="184">
        <f>$V$49/AE61</f>
        <v>4.0657744311783865</v>
      </c>
      <c r="AN61" s="189">
        <f>$X$49/AF61</f>
        <v>4.0657744311783865</v>
      </c>
      <c r="AO61" s="189">
        <f>$Z$49/AG61</f>
        <v>4.0657744311783865</v>
      </c>
    </row>
    <row r="62" spans="1:41" ht="9" customHeight="1">
      <c r="A62" s="485"/>
      <c r="B62" s="158" t="s">
        <v>165</v>
      </c>
      <c r="C62" s="165">
        <f>C61/2.2</f>
        <v>4.5454545454545449E-2</v>
      </c>
      <c r="D62" s="158" t="s">
        <v>165</v>
      </c>
      <c r="E62" s="165">
        <f>E61/2.2</f>
        <v>5.1948051948051951E-2</v>
      </c>
      <c r="F62" s="158" t="s">
        <v>165</v>
      </c>
      <c r="G62" s="165">
        <f>G61/2.2</f>
        <v>5.8441558441558447E-2</v>
      </c>
      <c r="H62" s="158" t="s">
        <v>165</v>
      </c>
      <c r="I62" s="165">
        <f>I61/2.2</f>
        <v>6.4935064935064929E-2</v>
      </c>
      <c r="J62" s="158" t="s">
        <v>165</v>
      </c>
      <c r="K62" s="165">
        <f>K61/2.2</f>
        <v>7.1428571428571438E-2</v>
      </c>
      <c r="L62" s="158" t="s">
        <v>165</v>
      </c>
      <c r="M62" s="165">
        <f>M61/2.2</f>
        <v>7.792207792207792E-2</v>
      </c>
      <c r="N62" s="485"/>
      <c r="O62" s="158" t="s">
        <v>165</v>
      </c>
      <c r="P62" s="165">
        <f>P61/2.2</f>
        <v>3.4584980237154152E-2</v>
      </c>
      <c r="Q62" s="158" t="s">
        <v>165</v>
      </c>
      <c r="R62" s="165">
        <f>R61/2.2</f>
        <v>3.9525691699604744E-2</v>
      </c>
      <c r="S62" s="158" t="s">
        <v>165</v>
      </c>
      <c r="T62" s="165">
        <f>T61/2.2</f>
        <v>4.4466403162055336E-2</v>
      </c>
      <c r="U62" s="158" t="s">
        <v>165</v>
      </c>
      <c r="V62" s="165">
        <f>V61/2.2</f>
        <v>4.9407114624505928E-2</v>
      </c>
      <c r="W62" s="158" t="s">
        <v>165</v>
      </c>
      <c r="X62" s="165">
        <f>X61/2.2</f>
        <v>5.4347826086956527E-2</v>
      </c>
      <c r="Y62" s="158" t="s">
        <v>165</v>
      </c>
      <c r="Z62" s="165">
        <f>Z61/2.2</f>
        <v>5.9288537549407105E-2</v>
      </c>
      <c r="AA62" s="170">
        <v>4.5999999999999996</v>
      </c>
      <c r="AB62" s="169">
        <f t="shared" si="5"/>
        <v>6.5158102766798426E-2</v>
      </c>
      <c r="AC62" s="169">
        <f t="shared" si="5"/>
        <v>7.4466403162055342E-2</v>
      </c>
      <c r="AD62" s="169">
        <f t="shared" si="5"/>
        <v>8.3774703557312258E-2</v>
      </c>
      <c r="AE62" s="183">
        <f t="shared" si="5"/>
        <v>9.3083003952569174E-2</v>
      </c>
      <c r="AF62" s="169">
        <f t="shared" si="5"/>
        <v>0.1023913043478261</v>
      </c>
      <c r="AG62" s="169">
        <f t="shared" si="5"/>
        <v>0.11169960474308299</v>
      </c>
      <c r="AI62" s="170">
        <v>4.5999999999999996</v>
      </c>
      <c r="AJ62" s="189">
        <f>$P$63/AB62</f>
        <v>4.3494331124233891</v>
      </c>
      <c r="AK62" s="189">
        <f>$R$63/AC62</f>
        <v>4.34943311242339</v>
      </c>
      <c r="AL62" s="189">
        <f>$T$63/AD62</f>
        <v>4.34943311242339</v>
      </c>
      <c r="AM62" s="184">
        <f>$V$63/AE62</f>
        <v>4.34943311242339</v>
      </c>
      <c r="AN62" s="189">
        <f>$X$63/AF62</f>
        <v>4.34943311242339</v>
      </c>
      <c r="AO62" s="189">
        <f>$Z$63/AG62</f>
        <v>4.34943311242339</v>
      </c>
    </row>
    <row r="63" spans="1:41" ht="9" customHeight="1">
      <c r="A63" s="485"/>
      <c r="B63" s="158" t="s">
        <v>166</v>
      </c>
      <c r="C63" s="165">
        <f>B46/1.235</f>
        <v>0.28340080971659914</v>
      </c>
      <c r="D63" s="158" t="s">
        <v>166</v>
      </c>
      <c r="E63" s="165">
        <f>D46/1.235</f>
        <v>0.32388663967611336</v>
      </c>
      <c r="F63" s="158" t="s">
        <v>166</v>
      </c>
      <c r="G63" s="165">
        <f>F46/1.235</f>
        <v>0.36437246963562753</v>
      </c>
      <c r="H63" s="158" t="s">
        <v>166</v>
      </c>
      <c r="I63" s="165">
        <f>H46/1.235</f>
        <v>0.40485829959514169</v>
      </c>
      <c r="J63" s="158" t="s">
        <v>166</v>
      </c>
      <c r="K63" s="165">
        <f>J46/1.235</f>
        <v>0.44534412955465585</v>
      </c>
      <c r="L63" s="158" t="s">
        <v>166</v>
      </c>
      <c r="M63" s="165">
        <f>L46/1.235</f>
        <v>0.48582995951416996</v>
      </c>
      <c r="N63" s="485"/>
      <c r="O63" s="158" t="s">
        <v>166</v>
      </c>
      <c r="P63" s="165">
        <f>O46/1.235</f>
        <v>0.28340080971659914</v>
      </c>
      <c r="Q63" s="158" t="s">
        <v>166</v>
      </c>
      <c r="R63" s="165">
        <f>Q46/1.235</f>
        <v>0.32388663967611336</v>
      </c>
      <c r="S63" s="158" t="s">
        <v>166</v>
      </c>
      <c r="T63" s="165">
        <f>S46/1.235</f>
        <v>0.36437246963562753</v>
      </c>
      <c r="U63" s="158" t="s">
        <v>166</v>
      </c>
      <c r="V63" s="194">
        <f>U46/1.235</f>
        <v>0.40485829959514169</v>
      </c>
      <c r="W63" s="158" t="s">
        <v>166</v>
      </c>
      <c r="X63" s="165">
        <f>W46/1.235</f>
        <v>0.44534412955465585</v>
      </c>
      <c r="Y63" s="158" t="s">
        <v>166</v>
      </c>
      <c r="Z63" s="165">
        <f>Y46/1.235</f>
        <v>0.48582995951416996</v>
      </c>
      <c r="AA63" s="170">
        <v>5</v>
      </c>
      <c r="AB63" s="169">
        <f t="shared" si="5"/>
        <v>5.9945454545454545E-2</v>
      </c>
      <c r="AC63" s="169">
        <f t="shared" si="5"/>
        <v>6.8509090909090908E-2</v>
      </c>
      <c r="AD63" s="169">
        <f t="shared" si="5"/>
        <v>7.7072727272727265E-2</v>
      </c>
      <c r="AE63" s="169">
        <f t="shared" si="5"/>
        <v>8.5636363636363649E-2</v>
      </c>
      <c r="AF63" s="183">
        <f t="shared" si="5"/>
        <v>9.4200000000000006E-2</v>
      </c>
      <c r="AG63" s="169">
        <f t="shared" si="5"/>
        <v>0.10276363636363635</v>
      </c>
      <c r="AI63" s="170">
        <v>5</v>
      </c>
      <c r="AJ63" s="189">
        <f>$P$77/AB63</f>
        <v>4.7276446874167286</v>
      </c>
      <c r="AK63" s="189">
        <f>$R$77/AC63</f>
        <v>4.7276446874167295</v>
      </c>
      <c r="AL63" s="189">
        <f>$T$77/AD63</f>
        <v>4.7276446874167295</v>
      </c>
      <c r="AM63" s="189">
        <f>$V$77/AE63</f>
        <v>4.7276446874167277</v>
      </c>
      <c r="AN63" s="184">
        <f>$X$77/AF63</f>
        <v>4.7276446874167286</v>
      </c>
      <c r="AO63" s="189">
        <f>$Z$77/AG63</f>
        <v>4.7276446874167286</v>
      </c>
    </row>
    <row r="64" spans="1:41" ht="9" customHeight="1" thickBot="1">
      <c r="A64" s="485"/>
      <c r="B64" s="158" t="s">
        <v>168</v>
      </c>
      <c r="C64" s="165">
        <f>2.2*C62</f>
        <v>9.9999999999999992E-2</v>
      </c>
      <c r="D64" s="158" t="s">
        <v>168</v>
      </c>
      <c r="E64" s="165">
        <f>2.2*E62</f>
        <v>0.1142857142857143</v>
      </c>
      <c r="F64" s="158" t="s">
        <v>168</v>
      </c>
      <c r="G64" s="165">
        <f>2.2*G62</f>
        <v>0.12857142857142859</v>
      </c>
      <c r="H64" s="158" t="s">
        <v>168</v>
      </c>
      <c r="I64" s="165">
        <f>2.2*I62</f>
        <v>0.14285714285714285</v>
      </c>
      <c r="J64" s="158" t="s">
        <v>168</v>
      </c>
      <c r="K64" s="165">
        <f>2.2*K62</f>
        <v>0.15714285714285717</v>
      </c>
      <c r="L64" s="158" t="s">
        <v>168</v>
      </c>
      <c r="M64" s="165">
        <f>2.2*M62</f>
        <v>0.17142857142857143</v>
      </c>
      <c r="N64" s="485"/>
      <c r="O64" s="158" t="s">
        <v>168</v>
      </c>
      <c r="P64" s="165">
        <f>2.2*P62</f>
        <v>7.6086956521739135E-2</v>
      </c>
      <c r="Q64" s="158" t="s">
        <v>168</v>
      </c>
      <c r="R64" s="165">
        <f>2.2*R62</f>
        <v>8.6956521739130446E-2</v>
      </c>
      <c r="S64" s="158" t="s">
        <v>168</v>
      </c>
      <c r="T64" s="165">
        <f>2.2*T62</f>
        <v>9.7826086956521743E-2</v>
      </c>
      <c r="U64" s="158" t="s">
        <v>168</v>
      </c>
      <c r="V64" s="165">
        <f>2.2*V62</f>
        <v>0.10869565217391305</v>
      </c>
      <c r="W64" s="158" t="s">
        <v>168</v>
      </c>
      <c r="X64" s="165">
        <f>2.2*X62</f>
        <v>0.11956521739130437</v>
      </c>
      <c r="Y64" s="158" t="s">
        <v>168</v>
      </c>
      <c r="Z64" s="165">
        <f>2.2*Z62</f>
        <v>0.13043478260869565</v>
      </c>
    </row>
    <row r="65" spans="1:41" ht="9" customHeight="1">
      <c r="A65" s="485"/>
      <c r="B65" s="158" t="s">
        <v>169</v>
      </c>
      <c r="C65" s="165">
        <f>0.2*C62</f>
        <v>9.0909090909090905E-3</v>
      </c>
      <c r="D65" s="158" t="s">
        <v>169</v>
      </c>
      <c r="E65" s="165">
        <f>0.2*E62</f>
        <v>1.0389610389610391E-2</v>
      </c>
      <c r="F65" s="158" t="s">
        <v>169</v>
      </c>
      <c r="G65" s="165">
        <f>0.2*G62</f>
        <v>1.168831168831169E-2</v>
      </c>
      <c r="H65" s="158" t="s">
        <v>169</v>
      </c>
      <c r="I65" s="165">
        <f>0.2*I62</f>
        <v>1.2987012987012986E-2</v>
      </c>
      <c r="J65" s="158" t="s">
        <v>169</v>
      </c>
      <c r="K65" s="165">
        <f>0.2*K62</f>
        <v>1.4285714285714289E-2</v>
      </c>
      <c r="L65" s="158" t="s">
        <v>169</v>
      </c>
      <c r="M65" s="165">
        <f>0.2*M62</f>
        <v>1.5584415584415584E-2</v>
      </c>
      <c r="N65" s="485"/>
      <c r="O65" s="158" t="s">
        <v>169</v>
      </c>
      <c r="P65" s="165">
        <f>0.2*P62</f>
        <v>6.9169960474308309E-3</v>
      </c>
      <c r="Q65" s="158" t="s">
        <v>169</v>
      </c>
      <c r="R65" s="165">
        <f>0.2*R62</f>
        <v>7.9051383399209498E-3</v>
      </c>
      <c r="S65" s="158" t="s">
        <v>169</v>
      </c>
      <c r="T65" s="165">
        <f>0.2*T62</f>
        <v>8.8932806324110679E-3</v>
      </c>
      <c r="U65" s="158" t="s">
        <v>169</v>
      </c>
      <c r="V65" s="165">
        <f>0.2*V62</f>
        <v>9.881422924901186E-3</v>
      </c>
      <c r="W65" s="158" t="s">
        <v>169</v>
      </c>
      <c r="X65" s="165">
        <f>0.2*X62</f>
        <v>1.0869565217391306E-2</v>
      </c>
      <c r="Y65" s="158" t="s">
        <v>169</v>
      </c>
      <c r="Z65" s="165">
        <f>0.2*Z62</f>
        <v>1.1857707509881422E-2</v>
      </c>
      <c r="AA65" s="487" t="s">
        <v>159</v>
      </c>
      <c r="AB65" s="483" t="s">
        <v>191</v>
      </c>
      <c r="AC65" s="483"/>
      <c r="AD65" s="483"/>
      <c r="AE65" s="483"/>
      <c r="AF65" s="483"/>
      <c r="AG65" s="483"/>
      <c r="AI65" s="487" t="s">
        <v>159</v>
      </c>
      <c r="AJ65" s="483" t="s">
        <v>192</v>
      </c>
      <c r="AK65" s="483"/>
      <c r="AL65" s="483"/>
      <c r="AM65" s="483"/>
      <c r="AN65" s="483"/>
      <c r="AO65" s="483"/>
    </row>
    <row r="66" spans="1:41" ht="9" customHeight="1" thickBot="1">
      <c r="A66" s="485"/>
      <c r="B66" s="158" t="s">
        <v>170</v>
      </c>
      <c r="C66" s="165">
        <f>0.05*C62</f>
        <v>2.2727272727272726E-3</v>
      </c>
      <c r="D66" s="158" t="s">
        <v>170</v>
      </c>
      <c r="E66" s="165">
        <f>0.05*E62</f>
        <v>2.5974025974025978E-3</v>
      </c>
      <c r="F66" s="158" t="s">
        <v>170</v>
      </c>
      <c r="G66" s="165">
        <f>0.05*G62</f>
        <v>2.9220779220779226E-3</v>
      </c>
      <c r="H66" s="158" t="s">
        <v>170</v>
      </c>
      <c r="I66" s="165">
        <f>0.05*I62</f>
        <v>3.2467532467532465E-3</v>
      </c>
      <c r="J66" s="158" t="s">
        <v>170</v>
      </c>
      <c r="K66" s="165">
        <f>0.05*K62</f>
        <v>3.5714285714285722E-3</v>
      </c>
      <c r="L66" s="158" t="s">
        <v>170</v>
      </c>
      <c r="M66" s="165">
        <f>0.05*M62</f>
        <v>3.8961038961038961E-3</v>
      </c>
      <c r="N66" s="485"/>
      <c r="O66" s="158" t="s">
        <v>170</v>
      </c>
      <c r="P66" s="165">
        <f>0.05*P62</f>
        <v>1.7292490118577077E-3</v>
      </c>
      <c r="Q66" s="158" t="s">
        <v>170</v>
      </c>
      <c r="R66" s="165">
        <f>0.05*R62</f>
        <v>1.9762845849802375E-3</v>
      </c>
      <c r="S66" s="158" t="s">
        <v>170</v>
      </c>
      <c r="T66" s="165">
        <f>0.05*T62</f>
        <v>2.223320158102767E-3</v>
      </c>
      <c r="U66" s="158" t="s">
        <v>170</v>
      </c>
      <c r="V66" s="165">
        <f>0.05*V62</f>
        <v>2.4703557312252965E-3</v>
      </c>
      <c r="W66" s="158" t="s">
        <v>170</v>
      </c>
      <c r="X66" s="165">
        <f>0.05*X62</f>
        <v>2.7173913043478264E-3</v>
      </c>
      <c r="Y66" s="158" t="s">
        <v>170</v>
      </c>
      <c r="Z66" s="165">
        <f>0.05*Z62</f>
        <v>2.9644268774703555E-3</v>
      </c>
      <c r="AA66" s="488"/>
      <c r="AB66" s="166">
        <v>0.35</v>
      </c>
      <c r="AC66" s="167">
        <v>0.4</v>
      </c>
      <c r="AD66" s="167">
        <v>0.45</v>
      </c>
      <c r="AE66" s="167">
        <v>0.5</v>
      </c>
      <c r="AF66" s="167">
        <v>0.55000000000000004</v>
      </c>
      <c r="AG66" s="167">
        <v>0.6</v>
      </c>
      <c r="AI66" s="488"/>
      <c r="AJ66" s="166">
        <v>0.35</v>
      </c>
      <c r="AK66" s="167">
        <v>0.4</v>
      </c>
      <c r="AL66" s="167">
        <v>0.45</v>
      </c>
      <c r="AM66" s="167">
        <v>0.5</v>
      </c>
      <c r="AN66" s="167">
        <v>0.55000000000000004</v>
      </c>
      <c r="AO66" s="167">
        <v>0.6</v>
      </c>
    </row>
    <row r="67" spans="1:41" ht="9" customHeight="1">
      <c r="A67" s="485"/>
      <c r="B67" s="171" t="s">
        <v>171</v>
      </c>
      <c r="C67" s="172">
        <f>0.6*C62</f>
        <v>2.7272727272727268E-2</v>
      </c>
      <c r="D67" s="171" t="s">
        <v>171</v>
      </c>
      <c r="E67" s="172">
        <f>0.6*E62</f>
        <v>3.1168831168831169E-2</v>
      </c>
      <c r="F67" s="171" t="s">
        <v>171</v>
      </c>
      <c r="G67" s="172">
        <f>0.6*G62</f>
        <v>3.506493506493507E-2</v>
      </c>
      <c r="H67" s="171" t="s">
        <v>171</v>
      </c>
      <c r="I67" s="172">
        <f>0.6*I62</f>
        <v>3.8961038961038953E-2</v>
      </c>
      <c r="J67" s="171" t="s">
        <v>171</v>
      </c>
      <c r="K67" s="172">
        <f>0.6*K62</f>
        <v>4.2857142857142864E-2</v>
      </c>
      <c r="L67" s="171" t="s">
        <v>171</v>
      </c>
      <c r="M67" s="172">
        <f>0.6*M62</f>
        <v>4.6753246753246748E-2</v>
      </c>
      <c r="N67" s="485"/>
      <c r="O67" s="171" t="s">
        <v>171</v>
      </c>
      <c r="P67" s="172">
        <f>0.6*P62</f>
        <v>2.0750988142292492E-2</v>
      </c>
      <c r="Q67" s="171" t="s">
        <v>171</v>
      </c>
      <c r="R67" s="172">
        <f>0.6*R62</f>
        <v>2.3715415019762844E-2</v>
      </c>
      <c r="S67" s="171" t="s">
        <v>171</v>
      </c>
      <c r="T67" s="172">
        <f>0.6*T62</f>
        <v>2.66798418972332E-2</v>
      </c>
      <c r="U67" s="171" t="s">
        <v>171</v>
      </c>
      <c r="V67" s="172">
        <f>0.6*V62</f>
        <v>2.9644268774703556E-2</v>
      </c>
      <c r="W67" s="171" t="s">
        <v>171</v>
      </c>
      <c r="X67" s="172">
        <f>0.6*X62</f>
        <v>3.2608695652173912E-2</v>
      </c>
      <c r="Y67" s="171" t="s">
        <v>171</v>
      </c>
      <c r="Z67" s="172">
        <f>0.6*Z62</f>
        <v>3.5573122529644265E-2</v>
      </c>
      <c r="AA67" s="168">
        <v>1</v>
      </c>
      <c r="AB67" s="169">
        <f>$AE$3*$AF$3*AB7</f>
        <v>0.51912763636363624</v>
      </c>
      <c r="AC67" s="169">
        <f t="shared" ref="AC67:AG67" si="6">$AE$3*$AF$3*AC7</f>
        <v>0.5932887272727273</v>
      </c>
      <c r="AD67" s="169">
        <f t="shared" si="6"/>
        <v>0.66744981818181814</v>
      </c>
      <c r="AE67" s="169">
        <f t="shared" si="6"/>
        <v>0.7416109090909091</v>
      </c>
      <c r="AF67" s="169">
        <f t="shared" si="6"/>
        <v>0.81577200000000005</v>
      </c>
      <c r="AG67" s="169">
        <f t="shared" si="6"/>
        <v>0.8899330909090909</v>
      </c>
      <c r="AI67" s="168">
        <v>1</v>
      </c>
      <c r="AJ67" s="169">
        <f>$C$5/AB67</f>
        <v>0.54591740039454151</v>
      </c>
      <c r="AK67" s="169">
        <f>$E$5/AC67</f>
        <v>0.5459174003945414</v>
      </c>
      <c r="AL67" s="169">
        <f>$G$5/AD67</f>
        <v>0.54591740039454151</v>
      </c>
      <c r="AM67" s="169">
        <f>$I$5/AE67</f>
        <v>0.5459174003945414</v>
      </c>
      <c r="AN67" s="169">
        <f>$K$5/AF67</f>
        <v>0.5459174003945414</v>
      </c>
      <c r="AO67" s="169">
        <f>$M$5/AG67</f>
        <v>0.5459174003945414</v>
      </c>
    </row>
    <row r="68" spans="1:41" ht="9" customHeight="1">
      <c r="A68" s="485"/>
      <c r="B68" s="171" t="s">
        <v>172</v>
      </c>
      <c r="C68" s="172">
        <f>C63/C67</f>
        <v>10.39136302294197</v>
      </c>
      <c r="D68" s="171" t="s">
        <v>172</v>
      </c>
      <c r="E68" s="172">
        <f>E63/E67</f>
        <v>10.39136302294197</v>
      </c>
      <c r="F68" s="171" t="s">
        <v>172</v>
      </c>
      <c r="G68" s="172">
        <f>G63/G67</f>
        <v>10.391363022941968</v>
      </c>
      <c r="H68" s="171" t="s">
        <v>172</v>
      </c>
      <c r="I68" s="172">
        <f>I63/I67</f>
        <v>10.391363022941972</v>
      </c>
      <c r="J68" s="171" t="s">
        <v>172</v>
      </c>
      <c r="K68" s="172">
        <f>K63/K67</f>
        <v>10.391363022941968</v>
      </c>
      <c r="L68" s="171" t="s">
        <v>172</v>
      </c>
      <c r="M68" s="172">
        <f>M63/M67</f>
        <v>10.39136302294197</v>
      </c>
      <c r="N68" s="485"/>
      <c r="O68" s="171" t="s">
        <v>172</v>
      </c>
      <c r="P68" s="172">
        <f>P63/P67</f>
        <v>13.657219973009443</v>
      </c>
      <c r="Q68" s="171" t="s">
        <v>172</v>
      </c>
      <c r="R68" s="172">
        <f>R63/R67</f>
        <v>13.657219973009449</v>
      </c>
      <c r="S68" s="171" t="s">
        <v>172</v>
      </c>
      <c r="T68" s="172">
        <f>T63/T67</f>
        <v>13.657219973009447</v>
      </c>
      <c r="U68" s="171" t="s">
        <v>172</v>
      </c>
      <c r="V68" s="172">
        <f>V63/V67</f>
        <v>13.657219973009447</v>
      </c>
      <c r="W68" s="171" t="s">
        <v>172</v>
      </c>
      <c r="X68" s="172">
        <f>X63/X67</f>
        <v>13.657219973009447</v>
      </c>
      <c r="Y68" s="171" t="s">
        <v>172</v>
      </c>
      <c r="Z68" s="172">
        <f>Z63/Z67</f>
        <v>13.657219973009447</v>
      </c>
      <c r="AA68" s="170">
        <v>1.2</v>
      </c>
      <c r="AB68" s="169">
        <f t="shared" ref="AB68:AG78" si="7">$AE$3*$AF$3*AB8</f>
        <v>0.43260636363636362</v>
      </c>
      <c r="AC68" s="169">
        <f t="shared" si="7"/>
        <v>0.49440727272727275</v>
      </c>
      <c r="AD68" s="169">
        <f t="shared" si="7"/>
        <v>0.55620818181818177</v>
      </c>
      <c r="AE68" s="169">
        <f t="shared" si="7"/>
        <v>0.61800909090909095</v>
      </c>
      <c r="AF68" s="169">
        <f t="shared" si="7"/>
        <v>0.67981000000000003</v>
      </c>
      <c r="AG68" s="169">
        <f t="shared" si="7"/>
        <v>0.7416109090909091</v>
      </c>
      <c r="AI68" s="170">
        <v>1.2</v>
      </c>
      <c r="AJ68" s="169">
        <f>$C$19/AB68</f>
        <v>0.65510088047344961</v>
      </c>
      <c r="AK68" s="169">
        <f>$E$19/AC68</f>
        <v>0.65510088047344972</v>
      </c>
      <c r="AL68" s="169">
        <f>$G$19/AD68</f>
        <v>0.65510088047344983</v>
      </c>
      <c r="AM68" s="169">
        <f>$I$19/AE68</f>
        <v>0.65510088047344972</v>
      </c>
      <c r="AN68" s="169">
        <f>$K$19/AF68</f>
        <v>0.65510088047344972</v>
      </c>
      <c r="AO68" s="169">
        <f>$M$19/AG68</f>
        <v>0.65510088047344961</v>
      </c>
    </row>
    <row r="69" spans="1:41" ht="9" customHeight="1">
      <c r="A69" s="485"/>
      <c r="B69" s="158" t="s">
        <v>173</v>
      </c>
      <c r="C69" s="165">
        <f>(C62-C65)/2</f>
        <v>1.8181818181818181E-2</v>
      </c>
      <c r="D69" s="158" t="s">
        <v>173</v>
      </c>
      <c r="E69" s="165">
        <f>(E62-E65)/2</f>
        <v>2.0779220779220779E-2</v>
      </c>
      <c r="F69" s="158" t="s">
        <v>173</v>
      </c>
      <c r="G69" s="165">
        <f>(G62-G65)/2</f>
        <v>2.3376623376623377E-2</v>
      </c>
      <c r="H69" s="158" t="s">
        <v>173</v>
      </c>
      <c r="I69" s="165">
        <f>(I62-I65)/2</f>
        <v>2.5974025974025972E-2</v>
      </c>
      <c r="J69" s="158" t="s">
        <v>173</v>
      </c>
      <c r="K69" s="165">
        <f>(K62-K65)/2</f>
        <v>2.8571428571428574E-2</v>
      </c>
      <c r="L69" s="158" t="s">
        <v>173</v>
      </c>
      <c r="M69" s="165">
        <f>(M62-M65)/2</f>
        <v>3.1168831168831169E-2</v>
      </c>
      <c r="N69" s="485"/>
      <c r="O69" s="158" t="s">
        <v>173</v>
      </c>
      <c r="P69" s="165">
        <f>(P62-P65)/2</f>
        <v>1.383399209486166E-2</v>
      </c>
      <c r="Q69" s="158" t="s">
        <v>173</v>
      </c>
      <c r="R69" s="165">
        <f>(R62-R65)/2</f>
        <v>1.5810276679841896E-2</v>
      </c>
      <c r="S69" s="158" t="s">
        <v>173</v>
      </c>
      <c r="T69" s="165">
        <f>(T62-T65)/2</f>
        <v>1.7786561264822136E-2</v>
      </c>
      <c r="U69" s="158" t="s">
        <v>173</v>
      </c>
      <c r="V69" s="165">
        <f>(V62-V65)/2</f>
        <v>1.9762845849802372E-2</v>
      </c>
      <c r="W69" s="158" t="s">
        <v>173</v>
      </c>
      <c r="X69" s="165">
        <f>(X62-X65)/2</f>
        <v>2.1739130434782612E-2</v>
      </c>
      <c r="Y69" s="158" t="s">
        <v>173</v>
      </c>
      <c r="Z69" s="165">
        <f>(Z62-Z65)/2</f>
        <v>2.3715415019762841E-2</v>
      </c>
      <c r="AA69" s="170">
        <v>1.5</v>
      </c>
      <c r="AB69" s="169">
        <f t="shared" si="7"/>
        <v>0.3460850909090909</v>
      </c>
      <c r="AC69" s="169">
        <f t="shared" si="7"/>
        <v>0.3955258181818182</v>
      </c>
      <c r="AD69" s="169">
        <f t="shared" si="7"/>
        <v>0.44496654545454545</v>
      </c>
      <c r="AE69" s="169">
        <f t="shared" si="7"/>
        <v>0.4944072727272727</v>
      </c>
      <c r="AF69" s="169">
        <f t="shared" si="7"/>
        <v>0.543848</v>
      </c>
      <c r="AG69" s="169">
        <f t="shared" si="7"/>
        <v>0.59328872727272719</v>
      </c>
      <c r="AI69" s="170">
        <v>1.5</v>
      </c>
      <c r="AJ69" s="169">
        <f>$C$33/AB69</f>
        <v>0.81887610059181204</v>
      </c>
      <c r="AK69" s="169">
        <f>$E$33/AC69</f>
        <v>0.81887610059181215</v>
      </c>
      <c r="AL69" s="169">
        <f>$G$33/AD69</f>
        <v>0.81887610059181215</v>
      </c>
      <c r="AM69" s="169">
        <f>$I$33/AE69</f>
        <v>0.81887610059181226</v>
      </c>
      <c r="AN69" s="169">
        <f>$K$33/AF69</f>
        <v>0.81887610059181215</v>
      </c>
      <c r="AO69" s="169">
        <f>$M$33/AG69</f>
        <v>0.81887610059181215</v>
      </c>
    </row>
    <row r="70" spans="1:41" ht="9" customHeight="1">
      <c r="A70" s="485"/>
      <c r="B70" s="158" t="s">
        <v>58</v>
      </c>
      <c r="C70" s="165">
        <f>C61/2</f>
        <v>4.9999999999999996E-2</v>
      </c>
      <c r="D70" s="158" t="s">
        <v>58</v>
      </c>
      <c r="E70" s="165">
        <f>E61/2</f>
        <v>5.7142857142857148E-2</v>
      </c>
      <c r="F70" s="158" t="s">
        <v>58</v>
      </c>
      <c r="G70" s="165">
        <f>G61/2</f>
        <v>6.4285714285714293E-2</v>
      </c>
      <c r="H70" s="158" t="s">
        <v>58</v>
      </c>
      <c r="I70" s="165">
        <f>I61/2</f>
        <v>7.1428571428571425E-2</v>
      </c>
      <c r="J70" s="158" t="s">
        <v>58</v>
      </c>
      <c r="K70" s="165">
        <f>K61/2</f>
        <v>7.8571428571428584E-2</v>
      </c>
      <c r="L70" s="158" t="s">
        <v>58</v>
      </c>
      <c r="M70" s="165">
        <f>M61/2</f>
        <v>8.5714285714285715E-2</v>
      </c>
      <c r="N70" s="485"/>
      <c r="O70" s="158" t="s">
        <v>58</v>
      </c>
      <c r="P70" s="165">
        <f>P61/2</f>
        <v>3.8043478260869568E-2</v>
      </c>
      <c r="Q70" s="158" t="s">
        <v>58</v>
      </c>
      <c r="R70" s="165">
        <f>R61/2</f>
        <v>4.3478260869565223E-2</v>
      </c>
      <c r="S70" s="158" t="s">
        <v>58</v>
      </c>
      <c r="T70" s="165">
        <f>T61/2</f>
        <v>4.8913043478260872E-2</v>
      </c>
      <c r="U70" s="158" t="s">
        <v>58</v>
      </c>
      <c r="V70" s="195">
        <f>V61/2</f>
        <v>5.4347826086956527E-2</v>
      </c>
      <c r="W70" s="158" t="s">
        <v>58</v>
      </c>
      <c r="X70" s="165">
        <f>X61/2</f>
        <v>5.9782608695652183E-2</v>
      </c>
      <c r="Y70" s="158" t="s">
        <v>58</v>
      </c>
      <c r="Z70" s="165">
        <f>Z61/2</f>
        <v>6.5217391304347824E-2</v>
      </c>
      <c r="AA70" s="170">
        <v>1.8</v>
      </c>
      <c r="AB70" s="169">
        <f t="shared" si="7"/>
        <v>0.2884042424242424</v>
      </c>
      <c r="AC70" s="169">
        <f t="shared" si="7"/>
        <v>0.3296048484848485</v>
      </c>
      <c r="AD70" s="169">
        <f t="shared" si="7"/>
        <v>0.37080545454545455</v>
      </c>
      <c r="AE70" s="169">
        <f t="shared" si="7"/>
        <v>0.41200606060606065</v>
      </c>
      <c r="AF70" s="169">
        <f t="shared" si="7"/>
        <v>0.45320666666666676</v>
      </c>
      <c r="AG70" s="169">
        <f t="shared" si="7"/>
        <v>0.4944072727272727</v>
      </c>
      <c r="AI70" s="170">
        <v>1.8</v>
      </c>
      <c r="AJ70" s="169">
        <f>$P$5/AB70</f>
        <v>0.98265132071017458</v>
      </c>
      <c r="AK70" s="169">
        <f>$R$5/AC70</f>
        <v>0.98265132071017458</v>
      </c>
      <c r="AL70" s="169">
        <f>$T$5/AD70</f>
        <v>0.98265132071017458</v>
      </c>
      <c r="AM70" s="169">
        <f>$V$5/AE70</f>
        <v>0.98265132071017447</v>
      </c>
      <c r="AN70" s="169">
        <f>$X$5/AF70</f>
        <v>0.98265132071017436</v>
      </c>
      <c r="AO70" s="169">
        <f>$Z$5/AG70</f>
        <v>0.98265132071017447</v>
      </c>
    </row>
    <row r="71" spans="1:41" ht="9" customHeight="1">
      <c r="A71" s="485"/>
      <c r="B71" s="158" t="s">
        <v>174</v>
      </c>
      <c r="C71" s="196">
        <f>$AF$3*(C70^2)*B46</f>
        <v>2.7474999999999995E-3</v>
      </c>
      <c r="D71" s="158" t="s">
        <v>174</v>
      </c>
      <c r="E71" s="196">
        <f>$AF$3*(E70^2)*D46</f>
        <v>4.1012244897959188E-3</v>
      </c>
      <c r="F71" s="158" t="s">
        <v>174</v>
      </c>
      <c r="G71" s="187">
        <f>$AF$3*(G70^2)*F46</f>
        <v>5.8394387755102061E-3</v>
      </c>
      <c r="H71" s="158" t="s">
        <v>174</v>
      </c>
      <c r="I71" s="174">
        <f>$AF$3*(I70^2)*H46</f>
        <v>8.010204081632652E-3</v>
      </c>
      <c r="J71" s="158" t="s">
        <v>174</v>
      </c>
      <c r="K71" s="174">
        <f>$AF$3*(K70^2)*J46</f>
        <v>1.0661581632653065E-2</v>
      </c>
      <c r="L71" s="158" t="s">
        <v>174</v>
      </c>
      <c r="M71" s="174">
        <f>$AF$3*(M70^2)*L46</f>
        <v>1.3841632653061226E-2</v>
      </c>
      <c r="N71" s="485"/>
      <c r="O71" s="158" t="s">
        <v>174</v>
      </c>
      <c r="P71" s="191">
        <f>$AF$3*(P70^2)*O46</f>
        <v>1.5905895557655958E-3</v>
      </c>
      <c r="Q71" s="158" t="s">
        <v>174</v>
      </c>
      <c r="R71" s="191">
        <f>$AF$3*(R70^2)*Q46</f>
        <v>2.3742911153119099E-3</v>
      </c>
      <c r="S71" s="158" t="s">
        <v>174</v>
      </c>
      <c r="T71" s="191">
        <f>$AF$3*(T70^2)*S46</f>
        <v>3.3805824669187151E-3</v>
      </c>
      <c r="U71" s="158" t="s">
        <v>174</v>
      </c>
      <c r="V71" s="197">
        <f>$AF$3*(V70^2)*U46</f>
        <v>4.6372873345935737E-3</v>
      </c>
      <c r="W71" s="158" t="s">
        <v>174</v>
      </c>
      <c r="X71" s="198">
        <f>$AF$3*(X70^2)*W46</f>
        <v>6.1722294423440481E-3</v>
      </c>
      <c r="Y71" s="158" t="s">
        <v>174</v>
      </c>
      <c r="Z71" s="174">
        <f>$AF$3*(Z70^2)*Y46</f>
        <v>8.0132325141776938E-3</v>
      </c>
      <c r="AA71" s="170">
        <v>2</v>
      </c>
      <c r="AB71" s="169">
        <f t="shared" si="7"/>
        <v>0.25956381818181812</v>
      </c>
      <c r="AC71" s="169">
        <f t="shared" si="7"/>
        <v>0.29664436363636365</v>
      </c>
      <c r="AD71" s="169">
        <f t="shared" si="7"/>
        <v>0.33372490909090907</v>
      </c>
      <c r="AE71" s="169">
        <f t="shared" si="7"/>
        <v>0.37080545454545455</v>
      </c>
      <c r="AF71" s="169">
        <f t="shared" si="7"/>
        <v>0.40788600000000003</v>
      </c>
      <c r="AG71" s="169">
        <f t="shared" si="7"/>
        <v>0.44496654545454545</v>
      </c>
      <c r="AI71" s="170">
        <v>2</v>
      </c>
      <c r="AJ71" s="169">
        <f>$P$19/AB71</f>
        <v>1.091834800789083</v>
      </c>
      <c r="AK71" s="169">
        <f>$R$19/AC71</f>
        <v>1.0918348007890828</v>
      </c>
      <c r="AL71" s="169">
        <f>$T$19/AD71</f>
        <v>1.091834800789083</v>
      </c>
      <c r="AM71" s="169">
        <f>$V$19/AE71</f>
        <v>1.0918348007890828</v>
      </c>
      <c r="AN71" s="169">
        <f>$X$19/AF71</f>
        <v>1.0918348007890828</v>
      </c>
      <c r="AO71" s="169">
        <f>$Z$19/AG71</f>
        <v>1.0918348007890828</v>
      </c>
    </row>
    <row r="72" spans="1:41" ht="9" customHeight="1">
      <c r="A72" s="485"/>
      <c r="B72" s="158" t="s">
        <v>175</v>
      </c>
      <c r="C72" s="165">
        <f>0.7*C71</f>
        <v>1.9232499999999996E-3</v>
      </c>
      <c r="D72" s="158" t="s">
        <v>175</v>
      </c>
      <c r="E72" s="165">
        <f>0.7*E71</f>
        <v>2.8708571428571429E-3</v>
      </c>
      <c r="F72" s="158" t="s">
        <v>175</v>
      </c>
      <c r="G72" s="165">
        <f>0.7*G71</f>
        <v>4.0876071428571437E-3</v>
      </c>
      <c r="H72" s="158" t="s">
        <v>175</v>
      </c>
      <c r="I72" s="165">
        <f>0.7*I71</f>
        <v>5.6071428571428557E-3</v>
      </c>
      <c r="J72" s="158" t="s">
        <v>175</v>
      </c>
      <c r="K72" s="165">
        <f>0.7*K71</f>
        <v>7.4631071428571455E-3</v>
      </c>
      <c r="L72" s="158" t="s">
        <v>175</v>
      </c>
      <c r="M72" s="165">
        <f>0.7*M71</f>
        <v>9.689142857142858E-3</v>
      </c>
      <c r="N72" s="485"/>
      <c r="O72" s="158" t="s">
        <v>175</v>
      </c>
      <c r="P72" s="193">
        <f>0.7*P71</f>
        <v>1.1134126890359169E-3</v>
      </c>
      <c r="Q72" s="158" t="s">
        <v>175</v>
      </c>
      <c r="R72" s="193">
        <f>0.7*R71</f>
        <v>1.6620037807183368E-3</v>
      </c>
      <c r="S72" s="158" t="s">
        <v>175</v>
      </c>
      <c r="T72" s="193">
        <f>0.7*T71</f>
        <v>2.3664077268431005E-3</v>
      </c>
      <c r="U72" s="158" t="s">
        <v>175</v>
      </c>
      <c r="V72" s="199">
        <f>0.7*V71</f>
        <v>3.2461011342155015E-3</v>
      </c>
      <c r="W72" s="158" t="s">
        <v>175</v>
      </c>
      <c r="X72" s="165">
        <f>0.7*X71</f>
        <v>4.3205606096408337E-3</v>
      </c>
      <c r="Y72" s="158" t="s">
        <v>175</v>
      </c>
      <c r="Z72" s="165">
        <f>0.7*Z71</f>
        <v>5.609262759924385E-3</v>
      </c>
      <c r="AA72" s="170">
        <v>2.5</v>
      </c>
      <c r="AB72" s="183">
        <f>$AE$3*$AF$3*AB12</f>
        <v>0.20765105454545454</v>
      </c>
      <c r="AC72" s="169">
        <f t="shared" si="7"/>
        <v>0.2373154909090909</v>
      </c>
      <c r="AD72" s="169">
        <f t="shared" si="7"/>
        <v>0.26697992727272724</v>
      </c>
      <c r="AE72" s="169">
        <f t="shared" si="7"/>
        <v>0.29664436363636365</v>
      </c>
      <c r="AF72" s="169">
        <f t="shared" si="7"/>
        <v>0.32630880000000007</v>
      </c>
      <c r="AG72" s="169">
        <f t="shared" si="7"/>
        <v>0.35597323636363631</v>
      </c>
      <c r="AI72" s="170">
        <v>2.5</v>
      </c>
      <c r="AJ72" s="182">
        <f>$P$33/AB72</f>
        <v>1.3647935009863534</v>
      </c>
      <c r="AK72" s="169">
        <f>$R$33/AC72</f>
        <v>1.3647935009863537</v>
      </c>
      <c r="AL72" s="169">
        <f>$T$33/AD72</f>
        <v>1.3647935009863539</v>
      </c>
      <c r="AM72" s="169">
        <f>$V$33/AE72</f>
        <v>1.3647935009863534</v>
      </c>
      <c r="AN72" s="169">
        <f>$X$33/AF72</f>
        <v>1.3647935009863532</v>
      </c>
      <c r="AO72" s="169">
        <f>$Z$33/AG72</f>
        <v>1.3647935009863537</v>
      </c>
    </row>
    <row r="73" spans="1:41" ht="12" customHeight="1" thickBot="1">
      <c r="A73" s="485"/>
      <c r="B73" s="176" t="s">
        <v>176</v>
      </c>
      <c r="C73" s="177">
        <v>188</v>
      </c>
      <c r="D73" s="177" t="s">
        <v>176</v>
      </c>
      <c r="E73" s="177">
        <v>216</v>
      </c>
      <c r="F73" s="177" t="s">
        <v>176</v>
      </c>
      <c r="G73" s="177">
        <v>248</v>
      </c>
      <c r="H73" s="177" t="s">
        <v>176</v>
      </c>
      <c r="I73" s="177">
        <v>276</v>
      </c>
      <c r="J73" s="177" t="s">
        <v>176</v>
      </c>
      <c r="K73" s="177">
        <v>300</v>
      </c>
      <c r="L73" s="177" t="s">
        <v>176</v>
      </c>
      <c r="M73" s="178">
        <v>328</v>
      </c>
      <c r="N73" s="485"/>
      <c r="O73" s="176" t="s">
        <v>176</v>
      </c>
      <c r="P73" s="177">
        <v>50</v>
      </c>
      <c r="Q73" s="177" t="s">
        <v>176</v>
      </c>
      <c r="R73" s="177">
        <v>58.4</v>
      </c>
      <c r="S73" s="177" t="s">
        <v>176</v>
      </c>
      <c r="T73" s="177">
        <v>65.2</v>
      </c>
      <c r="U73" s="177" t="s">
        <v>176</v>
      </c>
      <c r="V73" s="177">
        <v>71.599999999999994</v>
      </c>
      <c r="W73" s="177" t="s">
        <v>176</v>
      </c>
      <c r="X73" s="177">
        <v>73.5</v>
      </c>
      <c r="Y73" s="177" t="s">
        <v>176</v>
      </c>
      <c r="Z73" s="177">
        <v>91.6</v>
      </c>
      <c r="AA73" s="170">
        <v>3</v>
      </c>
      <c r="AB73" s="169">
        <f t="shared" si="7"/>
        <v>0.17304254545454545</v>
      </c>
      <c r="AC73" s="169">
        <f t="shared" si="7"/>
        <v>0.1977629090909091</v>
      </c>
      <c r="AD73" s="169">
        <f t="shared" si="7"/>
        <v>0.22248327272727272</v>
      </c>
      <c r="AE73" s="169">
        <f t="shared" si="7"/>
        <v>0.24720363636363635</v>
      </c>
      <c r="AF73" s="169">
        <f t="shared" si="7"/>
        <v>0.271924</v>
      </c>
      <c r="AG73" s="169">
        <f t="shared" si="7"/>
        <v>0.29664436363636359</v>
      </c>
      <c r="AI73" s="170">
        <v>3</v>
      </c>
      <c r="AJ73" s="189">
        <f>$C$49/AB73</f>
        <v>1.6377522011836241</v>
      </c>
      <c r="AK73" s="189">
        <f>$E$49/AC73</f>
        <v>1.6377522011836243</v>
      </c>
      <c r="AL73" s="189">
        <f>$G$49/AD73</f>
        <v>1.6377522011836243</v>
      </c>
      <c r="AM73" s="189">
        <f>$I$49/AE73</f>
        <v>1.6377522011836245</v>
      </c>
      <c r="AN73" s="189">
        <f>$K$49/AF73</f>
        <v>1.6377522011836243</v>
      </c>
      <c r="AO73" s="189">
        <f>$M$49/AG73</f>
        <v>1.6377522011836243</v>
      </c>
    </row>
    <row r="74" spans="1:41" ht="9" customHeight="1" thickTop="1">
      <c r="A74" s="180"/>
      <c r="N74" s="180"/>
      <c r="AA74" s="175">
        <v>3.5</v>
      </c>
      <c r="AB74" s="169">
        <f t="shared" si="7"/>
        <v>0.1483221818181818</v>
      </c>
      <c r="AC74" s="169">
        <f t="shared" si="7"/>
        <v>0.16951106493506496</v>
      </c>
      <c r="AD74" s="169">
        <f t="shared" si="7"/>
        <v>0.19069994805194809</v>
      </c>
      <c r="AE74" s="169">
        <f t="shared" si="7"/>
        <v>0.21188883116883117</v>
      </c>
      <c r="AF74" s="169">
        <f t="shared" si="7"/>
        <v>0.23307771428571433</v>
      </c>
      <c r="AG74" s="169">
        <f t="shared" si="7"/>
        <v>0.25426659740259744</v>
      </c>
      <c r="AI74" s="175">
        <v>3.5</v>
      </c>
      <c r="AJ74" s="189">
        <f>$C$63/AB74</f>
        <v>1.9107109013808949</v>
      </c>
      <c r="AK74" s="189">
        <f>$E$63/AC74</f>
        <v>1.9107109013808949</v>
      </c>
      <c r="AL74" s="189">
        <f>$G$63/AD74</f>
        <v>1.9107109013808947</v>
      </c>
      <c r="AM74" s="189">
        <f>$I$63/AE74</f>
        <v>1.9107109013808949</v>
      </c>
      <c r="AN74" s="189">
        <f>$K$63/AF74</f>
        <v>1.9107109013808947</v>
      </c>
      <c r="AO74" s="189">
        <f>$M$63/AG74</f>
        <v>1.9107109013808945</v>
      </c>
    </row>
    <row r="75" spans="1:41" ht="9" customHeight="1">
      <c r="A75" s="484" t="s">
        <v>193</v>
      </c>
      <c r="B75" s="163" t="s">
        <v>163</v>
      </c>
      <c r="C75" s="164">
        <f>B46/$A$75</f>
        <v>8.7499999999999994E-2</v>
      </c>
      <c r="D75" s="163" t="s">
        <v>163</v>
      </c>
      <c r="E75" s="164">
        <f>D46/$A$75</f>
        <v>0.1</v>
      </c>
      <c r="F75" s="163" t="s">
        <v>163</v>
      </c>
      <c r="G75" s="164">
        <f>F46/$A$75</f>
        <v>0.1125</v>
      </c>
      <c r="H75" s="163" t="s">
        <v>163</v>
      </c>
      <c r="I75" s="164">
        <f>H46/$A$75</f>
        <v>0.125</v>
      </c>
      <c r="J75" s="163" t="s">
        <v>163</v>
      </c>
      <c r="K75" s="164">
        <f>J46/$A$75</f>
        <v>0.13750000000000001</v>
      </c>
      <c r="L75" s="163" t="s">
        <v>163</v>
      </c>
      <c r="M75" s="164">
        <f>L46/$A$75</f>
        <v>0.15</v>
      </c>
      <c r="N75" s="485" t="s">
        <v>194</v>
      </c>
      <c r="O75" s="163" t="s">
        <v>163</v>
      </c>
      <c r="P75" s="164">
        <f>O46/$N$75</f>
        <v>6.9999999999999993E-2</v>
      </c>
      <c r="Q75" s="163" t="s">
        <v>163</v>
      </c>
      <c r="R75" s="164">
        <f>Q46/$N$75</f>
        <v>0.08</v>
      </c>
      <c r="S75" s="163" t="s">
        <v>163</v>
      </c>
      <c r="T75" s="164">
        <f>S46/$N$75</f>
        <v>0.09</v>
      </c>
      <c r="U75" s="163" t="s">
        <v>163</v>
      </c>
      <c r="V75" s="164">
        <f>U46/$N$75</f>
        <v>0.1</v>
      </c>
      <c r="W75" s="163" t="s">
        <v>163</v>
      </c>
      <c r="X75" s="164">
        <f>W46/$N$75</f>
        <v>0.11000000000000001</v>
      </c>
      <c r="Y75" s="163" t="s">
        <v>163</v>
      </c>
      <c r="Z75" s="164">
        <f>Y46/$N$75</f>
        <v>0.12</v>
      </c>
      <c r="AA75" s="170">
        <v>4</v>
      </c>
      <c r="AB75" s="169">
        <f t="shared" si="7"/>
        <v>0.12978190909090906</v>
      </c>
      <c r="AC75" s="169">
        <f t="shared" si="7"/>
        <v>0.14832218181818183</v>
      </c>
      <c r="AD75" s="183">
        <f t="shared" si="7"/>
        <v>0.16686245454545454</v>
      </c>
      <c r="AE75" s="169">
        <f t="shared" si="7"/>
        <v>0.18540272727272727</v>
      </c>
      <c r="AF75" s="169">
        <f t="shared" si="7"/>
        <v>0.20394300000000001</v>
      </c>
      <c r="AG75" s="169">
        <f t="shared" si="7"/>
        <v>0.22248327272727272</v>
      </c>
      <c r="AI75" s="170">
        <v>4</v>
      </c>
      <c r="AJ75" s="189">
        <f>$C$77/AB75</f>
        <v>2.183669601578166</v>
      </c>
      <c r="AK75" s="189">
        <f>$E$77/AC75</f>
        <v>2.1836696015781656</v>
      </c>
      <c r="AL75" s="184">
        <f>$G$77/AD75</f>
        <v>2.183669601578166</v>
      </c>
      <c r="AM75" s="189">
        <f>$I$77/AE75</f>
        <v>2.1836696015781656</v>
      </c>
      <c r="AN75" s="189">
        <f>$K$77/AF75</f>
        <v>2.1836696015781656</v>
      </c>
      <c r="AO75" s="189">
        <f>$M$77/AG75</f>
        <v>2.1836696015781656</v>
      </c>
    </row>
    <row r="76" spans="1:41" ht="9" customHeight="1">
      <c r="A76" s="485"/>
      <c r="B76" s="158" t="s">
        <v>165</v>
      </c>
      <c r="C76" s="165">
        <f>C75/2.2</f>
        <v>3.9772727272727265E-2</v>
      </c>
      <c r="D76" s="158" t="s">
        <v>165</v>
      </c>
      <c r="E76" s="165">
        <f>E75/2.2</f>
        <v>4.5454545454545456E-2</v>
      </c>
      <c r="F76" s="158" t="s">
        <v>165</v>
      </c>
      <c r="G76" s="165">
        <f>G75/2.2</f>
        <v>5.1136363636363633E-2</v>
      </c>
      <c r="H76" s="158" t="s">
        <v>165</v>
      </c>
      <c r="I76" s="165">
        <f>I75/2.2</f>
        <v>5.6818181818181816E-2</v>
      </c>
      <c r="J76" s="158" t="s">
        <v>165</v>
      </c>
      <c r="K76" s="165">
        <f>K75/2.2</f>
        <v>6.25E-2</v>
      </c>
      <c r="L76" s="158" t="s">
        <v>165</v>
      </c>
      <c r="M76" s="165">
        <f>M75/2.2</f>
        <v>6.8181818181818177E-2</v>
      </c>
      <c r="N76" s="485"/>
      <c r="O76" s="158" t="s">
        <v>165</v>
      </c>
      <c r="P76" s="165">
        <f>P75/2.2</f>
        <v>3.1818181818181815E-2</v>
      </c>
      <c r="Q76" s="158" t="s">
        <v>165</v>
      </c>
      <c r="R76" s="165">
        <f>R75/2.2</f>
        <v>3.6363636363636362E-2</v>
      </c>
      <c r="S76" s="158" t="s">
        <v>165</v>
      </c>
      <c r="T76" s="165">
        <f>T75/2.2</f>
        <v>4.0909090909090902E-2</v>
      </c>
      <c r="U76" s="158" t="s">
        <v>165</v>
      </c>
      <c r="V76" s="165">
        <f>V75/2.2</f>
        <v>4.5454545454545456E-2</v>
      </c>
      <c r="W76" s="158" t="s">
        <v>165</v>
      </c>
      <c r="X76" s="165">
        <f>X75/2.2</f>
        <v>0.05</v>
      </c>
      <c r="Y76" s="158" t="s">
        <v>165</v>
      </c>
      <c r="Z76" s="165">
        <f>Z75/2.2</f>
        <v>5.4545454545454536E-2</v>
      </c>
      <c r="AA76" s="170">
        <v>4.3</v>
      </c>
      <c r="AB76" s="169">
        <f t="shared" si="7"/>
        <v>0.12072735729386892</v>
      </c>
      <c r="AC76" s="169">
        <f t="shared" si="7"/>
        <v>0.13797412262156447</v>
      </c>
      <c r="AD76" s="169">
        <f t="shared" si="7"/>
        <v>0.15522088794926003</v>
      </c>
      <c r="AE76" s="183">
        <f t="shared" si="7"/>
        <v>0.1724676532769556</v>
      </c>
      <c r="AF76" s="169">
        <f t="shared" si="7"/>
        <v>0.18971441860465116</v>
      </c>
      <c r="AG76" s="169">
        <f t="shared" si="7"/>
        <v>0.20696118393234675</v>
      </c>
      <c r="AI76" s="170">
        <v>4.3</v>
      </c>
      <c r="AJ76" s="189">
        <f>$P$49/AB76</f>
        <v>2.347444821696528</v>
      </c>
      <c r="AK76" s="189">
        <f>$R$49/AC76</f>
        <v>2.3474448216965285</v>
      </c>
      <c r="AL76" s="189">
        <f>$T$49/AD76</f>
        <v>2.3474448216965285</v>
      </c>
      <c r="AM76" s="184">
        <f>$V$49/AE76</f>
        <v>2.3474448216965285</v>
      </c>
      <c r="AN76" s="189">
        <f>$X$49/AF76</f>
        <v>2.347444821696528</v>
      </c>
      <c r="AO76" s="189">
        <f>$Z$49/AG76</f>
        <v>2.3474448216965276</v>
      </c>
    </row>
    <row r="77" spans="1:41" ht="9" customHeight="1">
      <c r="A77" s="485"/>
      <c r="B77" s="158" t="s">
        <v>166</v>
      </c>
      <c r="C77" s="165">
        <f>B46/1.235</f>
        <v>0.28340080971659914</v>
      </c>
      <c r="D77" s="158" t="s">
        <v>166</v>
      </c>
      <c r="E77" s="165">
        <f>D46/1.235</f>
        <v>0.32388663967611336</v>
      </c>
      <c r="F77" s="158" t="s">
        <v>166</v>
      </c>
      <c r="G77" s="194">
        <f>F46/1.235</f>
        <v>0.36437246963562753</v>
      </c>
      <c r="H77" s="158" t="s">
        <v>166</v>
      </c>
      <c r="I77" s="165">
        <f>H46/1.235</f>
        <v>0.40485829959514169</v>
      </c>
      <c r="J77" s="158" t="s">
        <v>166</v>
      </c>
      <c r="K77" s="165">
        <f>J46/1.235</f>
        <v>0.44534412955465585</v>
      </c>
      <c r="L77" s="158" t="s">
        <v>166</v>
      </c>
      <c r="M77" s="165">
        <f>L46/1.235</f>
        <v>0.48582995951416996</v>
      </c>
      <c r="N77" s="485"/>
      <c r="O77" s="158" t="s">
        <v>166</v>
      </c>
      <c r="P77" s="165">
        <f>O46/1.235</f>
        <v>0.28340080971659914</v>
      </c>
      <c r="Q77" s="158" t="s">
        <v>166</v>
      </c>
      <c r="R77" s="165">
        <f>Q46/1.235</f>
        <v>0.32388663967611336</v>
      </c>
      <c r="S77" s="158" t="s">
        <v>166</v>
      </c>
      <c r="T77" s="165">
        <f>S46/1.235</f>
        <v>0.36437246963562753</v>
      </c>
      <c r="U77" s="158" t="s">
        <v>166</v>
      </c>
      <c r="V77" s="165">
        <f>U46/1.235</f>
        <v>0.40485829959514169</v>
      </c>
      <c r="W77" s="158" t="s">
        <v>166</v>
      </c>
      <c r="X77" s="165">
        <f>W46/1.235</f>
        <v>0.44534412955465585</v>
      </c>
      <c r="Y77" s="158" t="s">
        <v>166</v>
      </c>
      <c r="Z77" s="165">
        <f>Y46/1.235</f>
        <v>0.48582995951416996</v>
      </c>
      <c r="AA77" s="170">
        <v>4.5999999999999996</v>
      </c>
      <c r="AB77" s="169">
        <f t="shared" si="7"/>
        <v>0.11285383399209488</v>
      </c>
      <c r="AC77" s="169">
        <f t="shared" si="7"/>
        <v>0.12897581027667987</v>
      </c>
      <c r="AD77" s="169">
        <f t="shared" si="7"/>
        <v>0.14509778656126482</v>
      </c>
      <c r="AE77" s="183">
        <f t="shared" si="7"/>
        <v>0.1612197628458498</v>
      </c>
      <c r="AF77" s="169">
        <f t="shared" si="7"/>
        <v>0.17734173913043483</v>
      </c>
      <c r="AG77" s="169">
        <f t="shared" si="7"/>
        <v>0.19346371541501975</v>
      </c>
      <c r="AI77" s="170">
        <v>4.5999999999999996</v>
      </c>
      <c r="AJ77" s="189">
        <f>$P$63/AB77</f>
        <v>2.51122004181489</v>
      </c>
      <c r="AK77" s="189">
        <f>$R$63/AC77</f>
        <v>2.51122004181489</v>
      </c>
      <c r="AL77" s="189">
        <f>$T$63/AD77</f>
        <v>2.5112200418148909</v>
      </c>
      <c r="AM77" s="184">
        <f>$V$63/AE77</f>
        <v>2.5112200418148909</v>
      </c>
      <c r="AN77" s="189">
        <f>$X$63/AF77</f>
        <v>2.51122004181489</v>
      </c>
      <c r="AO77" s="189">
        <f>$Z$63/AG77</f>
        <v>2.5112200418148904</v>
      </c>
    </row>
    <row r="78" spans="1:41" ht="9" customHeight="1">
      <c r="A78" s="485"/>
      <c r="B78" s="158" t="s">
        <v>168</v>
      </c>
      <c r="C78" s="165">
        <f>2.2*C76</f>
        <v>8.7499999999999994E-2</v>
      </c>
      <c r="D78" s="158" t="s">
        <v>168</v>
      </c>
      <c r="E78" s="165">
        <f>2.2*E76</f>
        <v>0.1</v>
      </c>
      <c r="F78" s="158" t="s">
        <v>168</v>
      </c>
      <c r="G78" s="165">
        <f>2.2*G76</f>
        <v>0.1125</v>
      </c>
      <c r="H78" s="158" t="s">
        <v>168</v>
      </c>
      <c r="I78" s="165">
        <f>2.2*I76</f>
        <v>0.125</v>
      </c>
      <c r="J78" s="158" t="s">
        <v>168</v>
      </c>
      <c r="K78" s="165">
        <f>2.2*K76</f>
        <v>0.13750000000000001</v>
      </c>
      <c r="L78" s="158" t="s">
        <v>168</v>
      </c>
      <c r="M78" s="165">
        <f>2.2*M76</f>
        <v>0.15</v>
      </c>
      <c r="N78" s="485"/>
      <c r="O78" s="158" t="s">
        <v>168</v>
      </c>
      <c r="P78" s="165">
        <f>2.2*P76</f>
        <v>6.9999999999999993E-2</v>
      </c>
      <c r="Q78" s="158" t="s">
        <v>168</v>
      </c>
      <c r="R78" s="165">
        <f>2.2*R76</f>
        <v>0.08</v>
      </c>
      <c r="S78" s="158" t="s">
        <v>168</v>
      </c>
      <c r="T78" s="165">
        <f>2.2*T76</f>
        <v>0.09</v>
      </c>
      <c r="U78" s="158" t="s">
        <v>168</v>
      </c>
      <c r="V78" s="165">
        <f>2.2*V76</f>
        <v>0.1</v>
      </c>
      <c r="W78" s="158" t="s">
        <v>168</v>
      </c>
      <c r="X78" s="165">
        <f>2.2*X76</f>
        <v>0.11000000000000001</v>
      </c>
      <c r="Y78" s="158" t="s">
        <v>168</v>
      </c>
      <c r="Z78" s="165">
        <f>2.2*Z76</f>
        <v>0.11999999999999998</v>
      </c>
      <c r="AA78" s="170">
        <v>5</v>
      </c>
      <c r="AB78" s="169">
        <f t="shared" si="7"/>
        <v>0.10382552727272727</v>
      </c>
      <c r="AC78" s="169">
        <f t="shared" si="7"/>
        <v>0.11865774545454545</v>
      </c>
      <c r="AD78" s="169">
        <f t="shared" si="7"/>
        <v>0.13348996363636362</v>
      </c>
      <c r="AE78" s="169">
        <f t="shared" si="7"/>
        <v>0.14832218181818183</v>
      </c>
      <c r="AF78" s="183">
        <f t="shared" si="7"/>
        <v>0.16315440000000003</v>
      </c>
      <c r="AG78" s="169">
        <f t="shared" si="7"/>
        <v>0.17798661818181816</v>
      </c>
      <c r="AI78" s="170">
        <v>5</v>
      </c>
      <c r="AJ78" s="189">
        <f>$P$77/AB78</f>
        <v>2.7295870019727069</v>
      </c>
      <c r="AK78" s="189">
        <f>$R$77/AC78</f>
        <v>2.7295870019727073</v>
      </c>
      <c r="AL78" s="189">
        <f>$T$77/AD78</f>
        <v>2.7295870019727078</v>
      </c>
      <c r="AM78" s="189">
        <f>$V$77/AE78</f>
        <v>2.7295870019727069</v>
      </c>
      <c r="AN78" s="200">
        <f>$X$77/AF78</f>
        <v>2.7295870019727064</v>
      </c>
      <c r="AO78" s="189">
        <f>$Z$77/AG78</f>
        <v>2.7295870019727073</v>
      </c>
    </row>
    <row r="79" spans="1:41" ht="9" customHeight="1">
      <c r="A79" s="485"/>
      <c r="B79" s="158" t="s">
        <v>169</v>
      </c>
      <c r="C79" s="165">
        <f>0.2*C76</f>
        <v>7.9545454545454537E-3</v>
      </c>
      <c r="D79" s="158" t="s">
        <v>169</v>
      </c>
      <c r="E79" s="165">
        <f>0.2*E76</f>
        <v>9.0909090909090922E-3</v>
      </c>
      <c r="F79" s="158" t="s">
        <v>169</v>
      </c>
      <c r="G79" s="165">
        <f>0.2*G76</f>
        <v>1.0227272727272727E-2</v>
      </c>
      <c r="H79" s="158" t="s">
        <v>169</v>
      </c>
      <c r="I79" s="165">
        <f>0.2*I76</f>
        <v>1.1363636363636364E-2</v>
      </c>
      <c r="J79" s="158" t="s">
        <v>169</v>
      </c>
      <c r="K79" s="165">
        <f>0.2*K76</f>
        <v>1.2500000000000001E-2</v>
      </c>
      <c r="L79" s="158" t="s">
        <v>169</v>
      </c>
      <c r="M79" s="165">
        <f>0.2*M76</f>
        <v>1.3636363636363636E-2</v>
      </c>
      <c r="N79" s="485"/>
      <c r="O79" s="158" t="s">
        <v>169</v>
      </c>
      <c r="P79" s="165">
        <f>0.2*P76</f>
        <v>6.363636363636363E-3</v>
      </c>
      <c r="Q79" s="158" t="s">
        <v>169</v>
      </c>
      <c r="R79" s="165">
        <f>0.2*R76</f>
        <v>7.2727272727272727E-3</v>
      </c>
      <c r="S79" s="158" t="s">
        <v>169</v>
      </c>
      <c r="T79" s="165">
        <f>0.2*T76</f>
        <v>8.1818181818181807E-3</v>
      </c>
      <c r="U79" s="158" t="s">
        <v>169</v>
      </c>
      <c r="V79" s="165">
        <f>0.2*V76</f>
        <v>9.0909090909090922E-3</v>
      </c>
      <c r="W79" s="158" t="s">
        <v>169</v>
      </c>
      <c r="X79" s="165">
        <f>0.2*X76</f>
        <v>1.0000000000000002E-2</v>
      </c>
      <c r="Y79" s="158" t="s">
        <v>169</v>
      </c>
      <c r="Z79" s="165">
        <f>0.2*Z76</f>
        <v>1.0909090909090908E-2</v>
      </c>
    </row>
    <row r="80" spans="1:41" ht="9" customHeight="1">
      <c r="A80" s="485"/>
      <c r="B80" s="158" t="s">
        <v>170</v>
      </c>
      <c r="C80" s="165">
        <f>0.05*C76</f>
        <v>1.9886363636363634E-3</v>
      </c>
      <c r="D80" s="158" t="s">
        <v>170</v>
      </c>
      <c r="E80" s="165">
        <f>0.05*E76</f>
        <v>2.2727272727272731E-3</v>
      </c>
      <c r="F80" s="158" t="s">
        <v>170</v>
      </c>
      <c r="G80" s="165">
        <f>0.05*G76</f>
        <v>2.5568181818181818E-3</v>
      </c>
      <c r="H80" s="158" t="s">
        <v>170</v>
      </c>
      <c r="I80" s="165">
        <f>0.05*I76</f>
        <v>2.840909090909091E-3</v>
      </c>
      <c r="J80" s="158" t="s">
        <v>170</v>
      </c>
      <c r="K80" s="165">
        <f>0.05*K76</f>
        <v>3.1250000000000002E-3</v>
      </c>
      <c r="L80" s="158" t="s">
        <v>170</v>
      </c>
      <c r="M80" s="165">
        <f>0.05*M76</f>
        <v>3.4090909090909089E-3</v>
      </c>
      <c r="N80" s="485"/>
      <c r="O80" s="158" t="s">
        <v>170</v>
      </c>
      <c r="P80" s="165">
        <f>0.05*P76</f>
        <v>1.5909090909090907E-3</v>
      </c>
      <c r="Q80" s="158" t="s">
        <v>170</v>
      </c>
      <c r="R80" s="165">
        <f>0.05*R76</f>
        <v>1.8181818181818182E-3</v>
      </c>
      <c r="S80" s="158" t="s">
        <v>170</v>
      </c>
      <c r="T80" s="165">
        <f>0.05*T76</f>
        <v>2.0454545454545452E-3</v>
      </c>
      <c r="U80" s="158" t="s">
        <v>170</v>
      </c>
      <c r="V80" s="165">
        <f>0.05*V76</f>
        <v>2.2727272727272731E-3</v>
      </c>
      <c r="W80" s="158" t="s">
        <v>170</v>
      </c>
      <c r="X80" s="165">
        <f>0.05*X76</f>
        <v>2.5000000000000005E-3</v>
      </c>
      <c r="Y80" s="158" t="s">
        <v>170</v>
      </c>
      <c r="Z80" s="165">
        <f>0.05*Z76</f>
        <v>2.7272727272727271E-3</v>
      </c>
    </row>
    <row r="81" spans="1:26" ht="9" customHeight="1">
      <c r="A81" s="485"/>
      <c r="B81" s="171" t="s">
        <v>171</v>
      </c>
      <c r="C81" s="172">
        <f>0.6*C76</f>
        <v>2.3863636363636358E-2</v>
      </c>
      <c r="D81" s="171" t="s">
        <v>171</v>
      </c>
      <c r="E81" s="172">
        <f>0.6*E76</f>
        <v>2.7272727272727271E-2</v>
      </c>
      <c r="F81" s="171" t="s">
        <v>171</v>
      </c>
      <c r="G81" s="172">
        <f>0.6*G76</f>
        <v>3.0681818181818178E-2</v>
      </c>
      <c r="H81" s="171" t="s">
        <v>171</v>
      </c>
      <c r="I81" s="172">
        <f>0.6*I76</f>
        <v>3.4090909090909088E-2</v>
      </c>
      <c r="J81" s="171" t="s">
        <v>171</v>
      </c>
      <c r="K81" s="172">
        <f>0.6*K76</f>
        <v>3.7499999999999999E-2</v>
      </c>
      <c r="L81" s="171" t="s">
        <v>171</v>
      </c>
      <c r="M81" s="172">
        <f>0.6*M76</f>
        <v>4.0909090909090902E-2</v>
      </c>
      <c r="N81" s="485"/>
      <c r="O81" s="171" t="s">
        <v>171</v>
      </c>
      <c r="P81" s="172">
        <f>0.6*P76</f>
        <v>1.9090909090909089E-2</v>
      </c>
      <c r="Q81" s="171" t="s">
        <v>171</v>
      </c>
      <c r="R81" s="172">
        <f>0.6*R76</f>
        <v>2.1818181818181816E-2</v>
      </c>
      <c r="S81" s="171" t="s">
        <v>171</v>
      </c>
      <c r="T81" s="172">
        <f>0.6*T76</f>
        <v>2.454545454545454E-2</v>
      </c>
      <c r="U81" s="171" t="s">
        <v>171</v>
      </c>
      <c r="V81" s="172">
        <f>0.6*V76</f>
        <v>2.7272727272727271E-2</v>
      </c>
      <c r="W81" s="171" t="s">
        <v>171</v>
      </c>
      <c r="X81" s="172">
        <f>0.6*X76</f>
        <v>0.03</v>
      </c>
      <c r="Y81" s="171" t="s">
        <v>171</v>
      </c>
      <c r="Z81" s="172">
        <f>0.6*Z76</f>
        <v>3.2727272727272723E-2</v>
      </c>
    </row>
    <row r="82" spans="1:26" ht="9" customHeight="1">
      <c r="A82" s="485"/>
      <c r="B82" s="171" t="s">
        <v>172</v>
      </c>
      <c r="C82" s="173">
        <f>C77/C81</f>
        <v>11.875843454790823</v>
      </c>
      <c r="D82" s="171" t="s">
        <v>172</v>
      </c>
      <c r="E82" s="173">
        <f>E77/E81</f>
        <v>11.875843454790823</v>
      </c>
      <c r="F82" s="171" t="s">
        <v>172</v>
      </c>
      <c r="G82" s="173">
        <f>G77/G81</f>
        <v>11.875843454790825</v>
      </c>
      <c r="H82" s="171" t="s">
        <v>172</v>
      </c>
      <c r="I82" s="173">
        <f>I77/I81</f>
        <v>11.875843454790823</v>
      </c>
      <c r="J82" s="171" t="s">
        <v>172</v>
      </c>
      <c r="K82" s="173">
        <f>K77/K81</f>
        <v>11.875843454790823</v>
      </c>
      <c r="L82" s="171" t="s">
        <v>172</v>
      </c>
      <c r="M82" s="173">
        <f>M77/M81</f>
        <v>11.875843454790823</v>
      </c>
      <c r="N82" s="485"/>
      <c r="O82" s="171" t="s">
        <v>172</v>
      </c>
      <c r="P82" s="173">
        <f>P77/P81</f>
        <v>14.844804318488528</v>
      </c>
      <c r="Q82" s="171" t="s">
        <v>172</v>
      </c>
      <c r="R82" s="173">
        <f>R77/R81</f>
        <v>14.84480431848853</v>
      </c>
      <c r="S82" s="171" t="s">
        <v>172</v>
      </c>
      <c r="T82" s="173">
        <f>T77/T81</f>
        <v>14.844804318488531</v>
      </c>
      <c r="U82" s="171" t="s">
        <v>172</v>
      </c>
      <c r="V82" s="173">
        <f>V77/V81</f>
        <v>14.84480431848853</v>
      </c>
      <c r="W82" s="171" t="s">
        <v>172</v>
      </c>
      <c r="X82" s="173">
        <f>X77/X81</f>
        <v>14.84480431848853</v>
      </c>
      <c r="Y82" s="171" t="s">
        <v>172</v>
      </c>
      <c r="Z82" s="173">
        <f>Z77/Z81</f>
        <v>14.844804318488528</v>
      </c>
    </row>
    <row r="83" spans="1:26" ht="9" customHeight="1">
      <c r="A83" s="485"/>
      <c r="B83" s="158" t="s">
        <v>173</v>
      </c>
      <c r="C83" s="165">
        <f>(C76-C79)/2</f>
        <v>1.5909090909090907E-2</v>
      </c>
      <c r="D83" s="158" t="s">
        <v>173</v>
      </c>
      <c r="E83" s="165">
        <f>(E76-E79)/2</f>
        <v>1.8181818181818181E-2</v>
      </c>
      <c r="F83" s="158" t="s">
        <v>173</v>
      </c>
      <c r="G83" s="165">
        <f>(G76-G79)/2</f>
        <v>2.0454545454545454E-2</v>
      </c>
      <c r="H83" s="158" t="s">
        <v>173</v>
      </c>
      <c r="I83" s="165">
        <f>(I76-I79)/2</f>
        <v>2.2727272727272728E-2</v>
      </c>
      <c r="J83" s="158" t="s">
        <v>173</v>
      </c>
      <c r="K83" s="165">
        <f>(K76-K79)/2</f>
        <v>2.5000000000000001E-2</v>
      </c>
      <c r="L83" s="158" t="s">
        <v>173</v>
      </c>
      <c r="M83" s="165">
        <f>(M76-M79)/2</f>
        <v>2.7272727272727271E-2</v>
      </c>
      <c r="N83" s="485"/>
      <c r="O83" s="158" t="s">
        <v>173</v>
      </c>
      <c r="P83" s="165">
        <f>(P76-P79)/2</f>
        <v>1.2727272727272726E-2</v>
      </c>
      <c r="Q83" s="158" t="s">
        <v>173</v>
      </c>
      <c r="R83" s="165">
        <f>(R76-R79)/2</f>
        <v>1.4545454545454545E-2</v>
      </c>
      <c r="S83" s="158" t="s">
        <v>173</v>
      </c>
      <c r="T83" s="165">
        <f>(T76-T79)/2</f>
        <v>1.6363636363636361E-2</v>
      </c>
      <c r="U83" s="158" t="s">
        <v>173</v>
      </c>
      <c r="V83" s="165">
        <f>(V76-V79)/2</f>
        <v>1.8181818181818181E-2</v>
      </c>
      <c r="W83" s="158" t="s">
        <v>173</v>
      </c>
      <c r="X83" s="165">
        <f>(X76-X79)/2</f>
        <v>0.02</v>
      </c>
      <c r="Y83" s="158" t="s">
        <v>173</v>
      </c>
      <c r="Z83" s="165">
        <f>(Z76-Z79)/2</f>
        <v>2.1818181818181813E-2</v>
      </c>
    </row>
    <row r="84" spans="1:26" ht="9" customHeight="1">
      <c r="A84" s="485"/>
      <c r="B84" s="158" t="s">
        <v>58</v>
      </c>
      <c r="C84" s="158">
        <f>C75/2</f>
        <v>4.3749999999999997E-2</v>
      </c>
      <c r="D84" s="158" t="s">
        <v>58</v>
      </c>
      <c r="E84" s="158">
        <f>E75/2</f>
        <v>0.05</v>
      </c>
      <c r="F84" s="158" t="s">
        <v>58</v>
      </c>
      <c r="G84" s="158">
        <f>G75/2</f>
        <v>5.6250000000000001E-2</v>
      </c>
      <c r="H84" s="158" t="s">
        <v>58</v>
      </c>
      <c r="I84" s="158">
        <f>I75/2</f>
        <v>6.25E-2</v>
      </c>
      <c r="J84" s="158" t="s">
        <v>58</v>
      </c>
      <c r="K84" s="158">
        <f>K75/2</f>
        <v>6.8750000000000006E-2</v>
      </c>
      <c r="L84" s="158" t="s">
        <v>58</v>
      </c>
      <c r="M84" s="158">
        <f>M75/2</f>
        <v>7.4999999999999997E-2</v>
      </c>
      <c r="N84" s="485"/>
      <c r="O84" s="158" t="s">
        <v>58</v>
      </c>
      <c r="P84" s="158">
        <f>P75/2</f>
        <v>3.4999999999999996E-2</v>
      </c>
      <c r="Q84" s="158" t="s">
        <v>58</v>
      </c>
      <c r="R84" s="158">
        <f>R75/2</f>
        <v>0.04</v>
      </c>
      <c r="S84" s="158" t="s">
        <v>58</v>
      </c>
      <c r="T84" s="158">
        <f>T75/2</f>
        <v>4.4999999999999998E-2</v>
      </c>
      <c r="U84" s="158" t="s">
        <v>58</v>
      </c>
      <c r="V84" s="158">
        <f>V75/2</f>
        <v>0.05</v>
      </c>
      <c r="W84" s="158" t="s">
        <v>58</v>
      </c>
      <c r="X84" s="158">
        <f>X75/2</f>
        <v>5.5000000000000007E-2</v>
      </c>
      <c r="Y84" s="158" t="s">
        <v>58</v>
      </c>
      <c r="Z84" s="158">
        <f>Z75/2</f>
        <v>0.06</v>
      </c>
    </row>
    <row r="85" spans="1:26" ht="9" customHeight="1">
      <c r="A85" s="485"/>
      <c r="B85" s="158" t="s">
        <v>174</v>
      </c>
      <c r="C85" s="191">
        <f>$AF$3*(C84^2)*B46</f>
        <v>2.1035546874999997E-3</v>
      </c>
      <c r="D85" s="158" t="s">
        <v>174</v>
      </c>
      <c r="E85" s="191">
        <f>$AF$3*(E84^2)*D46</f>
        <v>3.1400000000000004E-3</v>
      </c>
      <c r="F85" s="158" t="s">
        <v>174</v>
      </c>
      <c r="G85" s="207">
        <f>$AF$3*(G84^2)*F46</f>
        <v>4.4708203125000002E-3</v>
      </c>
      <c r="H85" s="158" t="s">
        <v>174</v>
      </c>
      <c r="I85" s="198">
        <f>$AF$3*(I84^2)*H46</f>
        <v>6.1328125000000002E-3</v>
      </c>
      <c r="J85" s="158" t="s">
        <v>174</v>
      </c>
      <c r="K85" s="198">
        <f>$AF$3*(K84^2)*J46</f>
        <v>8.1627734375000031E-3</v>
      </c>
      <c r="L85" s="158" t="s">
        <v>174</v>
      </c>
      <c r="M85" s="198">
        <f>$AF$3*(M84^2)*L46</f>
        <v>1.0597500000000001E-2</v>
      </c>
      <c r="N85" s="485"/>
      <c r="O85" s="158" t="s">
        <v>174</v>
      </c>
      <c r="P85" s="191">
        <f>$AF$3*(P84^2)*O46</f>
        <v>1.3462749999999996E-3</v>
      </c>
      <c r="Q85" s="158" t="s">
        <v>174</v>
      </c>
      <c r="R85" s="191">
        <f>$AF$3*(R84^2)*Q46</f>
        <v>2.0096000000000003E-3</v>
      </c>
      <c r="S85" s="158" t="s">
        <v>174</v>
      </c>
      <c r="T85" s="191">
        <f>$AF$3*(T84^2)*S46</f>
        <v>2.8613250000000001E-3</v>
      </c>
      <c r="U85" s="158" t="s">
        <v>174</v>
      </c>
      <c r="V85" s="191">
        <f>$AF$3*(V84^2)*U46</f>
        <v>3.9250000000000005E-3</v>
      </c>
      <c r="W85" s="158" t="s">
        <v>174</v>
      </c>
      <c r="X85" s="201">
        <f>$AF$3*(X84^2)*W46</f>
        <v>5.2241750000000019E-3</v>
      </c>
      <c r="Y85" s="158" t="s">
        <v>174</v>
      </c>
      <c r="Z85" s="174">
        <f>$AF$3*(Z84^2)*Y46</f>
        <v>6.7824000000000001E-3</v>
      </c>
    </row>
    <row r="86" spans="1:26" ht="9" customHeight="1">
      <c r="A86" s="485"/>
      <c r="B86" s="158" t="s">
        <v>175</v>
      </c>
      <c r="C86" s="193">
        <f>0.7*C85</f>
        <v>1.4724882812499997E-3</v>
      </c>
      <c r="D86" s="158" t="s">
        <v>175</v>
      </c>
      <c r="E86" s="193">
        <f>0.7*E85</f>
        <v>2.1980000000000003E-3</v>
      </c>
      <c r="F86" s="158" t="s">
        <v>175</v>
      </c>
      <c r="G86" s="199">
        <f>0.7*G85</f>
        <v>3.1295742187499999E-3</v>
      </c>
      <c r="H86" s="158" t="s">
        <v>175</v>
      </c>
      <c r="I86" s="193">
        <f>0.7*I85</f>
        <v>4.2929687499999999E-3</v>
      </c>
      <c r="J86" s="158" t="s">
        <v>175</v>
      </c>
      <c r="K86" s="193">
        <f>0.7*K85</f>
        <v>5.7139414062500017E-3</v>
      </c>
      <c r="L86" s="158" t="s">
        <v>175</v>
      </c>
      <c r="M86" s="193">
        <f>0.7*M85</f>
        <v>7.4182500000000004E-3</v>
      </c>
      <c r="N86" s="485"/>
      <c r="O86" s="158" t="s">
        <v>175</v>
      </c>
      <c r="P86" s="165">
        <f>0.7*P85</f>
        <v>9.4239249999999964E-4</v>
      </c>
      <c r="Q86" s="158" t="s">
        <v>175</v>
      </c>
      <c r="R86" s="165">
        <f>0.7*R85</f>
        <v>1.4067200000000002E-3</v>
      </c>
      <c r="S86" s="158" t="s">
        <v>175</v>
      </c>
      <c r="T86" s="165">
        <f>0.7*T85</f>
        <v>2.0029275E-3</v>
      </c>
      <c r="U86" s="158" t="s">
        <v>175</v>
      </c>
      <c r="V86" s="165">
        <f>0.7*V85</f>
        <v>2.7475000000000004E-3</v>
      </c>
      <c r="W86" s="158" t="s">
        <v>175</v>
      </c>
      <c r="X86" s="165">
        <f>0.7*X85</f>
        <v>3.656922500000001E-3</v>
      </c>
      <c r="Y86" s="158" t="s">
        <v>175</v>
      </c>
      <c r="Z86" s="165">
        <f>0.7*Z85</f>
        <v>4.7476799999999998E-3</v>
      </c>
    </row>
    <row r="87" spans="1:26" ht="12.75" customHeight="1" thickBot="1">
      <c r="A87" s="486"/>
      <c r="B87" s="176" t="s">
        <v>176</v>
      </c>
      <c r="C87" s="177">
        <v>58.4</v>
      </c>
      <c r="D87" s="177" t="s">
        <v>176</v>
      </c>
      <c r="E87" s="177">
        <v>66</v>
      </c>
      <c r="F87" s="177" t="s">
        <v>176</v>
      </c>
      <c r="G87" s="208">
        <v>74</v>
      </c>
      <c r="H87" s="177" t="s">
        <v>176</v>
      </c>
      <c r="I87" s="177">
        <v>82.5</v>
      </c>
      <c r="J87" s="177" t="s">
        <v>176</v>
      </c>
      <c r="K87" s="177">
        <v>90</v>
      </c>
      <c r="L87" s="177" t="s">
        <v>176</v>
      </c>
      <c r="M87" s="177">
        <v>98.7</v>
      </c>
      <c r="N87" s="486"/>
      <c r="O87" s="176" t="s">
        <v>176</v>
      </c>
      <c r="P87" s="177">
        <v>97.3</v>
      </c>
      <c r="Q87" s="177" t="s">
        <v>176</v>
      </c>
      <c r="R87" s="177">
        <v>111.7</v>
      </c>
      <c r="S87" s="177" t="s">
        <v>176</v>
      </c>
      <c r="T87" s="177">
        <v>118.5</v>
      </c>
      <c r="U87" s="177" t="s">
        <v>176</v>
      </c>
      <c r="V87" s="177">
        <v>132</v>
      </c>
      <c r="W87" s="177" t="s">
        <v>176</v>
      </c>
      <c r="X87" s="177">
        <v>148.30000000000001</v>
      </c>
      <c r="Y87" s="177" t="s">
        <v>176</v>
      </c>
      <c r="Z87" s="177">
        <v>158.30000000000001</v>
      </c>
    </row>
    <row r="88" spans="1:26" ht="9" customHeight="1" thickTop="1"/>
    <row r="90" spans="1:26" ht="15" customHeight="1">
      <c r="B90" s="474" t="s">
        <v>202</v>
      </c>
      <c r="C90" s="474"/>
      <c r="D90" s="474"/>
      <c r="E90" s="474"/>
      <c r="F90" s="474"/>
    </row>
    <row r="92" spans="1:26" ht="13.5" thickBot="1">
      <c r="B92" s="493" t="s">
        <v>203</v>
      </c>
      <c r="C92" s="493"/>
      <c r="D92" s="493"/>
      <c r="E92" s="493"/>
    </row>
    <row r="93" spans="1:26" ht="26.25" thickBot="1">
      <c r="B93" s="210" t="s">
        <v>204</v>
      </c>
      <c r="C93" s="210" t="s">
        <v>220</v>
      </c>
      <c r="D93" s="210" t="s">
        <v>32</v>
      </c>
      <c r="E93" s="210" t="s">
        <v>33</v>
      </c>
    </row>
    <row r="94" spans="1:26" ht="12.75">
      <c r="B94" s="211" t="s">
        <v>205</v>
      </c>
      <c r="C94" s="211"/>
      <c r="D94" s="212">
        <f>500</f>
        <v>500</v>
      </c>
      <c r="E94" s="211" t="s">
        <v>70</v>
      </c>
    </row>
    <row r="95" spans="1:26" ht="9" customHeight="1">
      <c r="B95" s="490" t="s">
        <v>219</v>
      </c>
      <c r="C95" s="491"/>
      <c r="D95" s="217">
        <f>D94/4.6</f>
        <v>108.69565217391305</v>
      </c>
      <c r="E95" s="490" t="s">
        <v>70</v>
      </c>
    </row>
    <row r="96" spans="1:26" ht="14.25" customHeight="1">
      <c r="B96" s="490"/>
      <c r="C96" s="491"/>
      <c r="D96" s="217"/>
      <c r="E96" s="490"/>
    </row>
    <row r="97" spans="2:5" ht="9" customHeight="1">
      <c r="B97" s="490" t="s">
        <v>206</v>
      </c>
      <c r="C97" s="491"/>
      <c r="D97" s="217">
        <v>50</v>
      </c>
      <c r="E97" s="490" t="s">
        <v>70</v>
      </c>
    </row>
    <row r="98" spans="2:5" ht="17.25" customHeight="1">
      <c r="B98" s="490"/>
      <c r="C98" s="491"/>
      <c r="D98" s="217"/>
      <c r="E98" s="490"/>
    </row>
    <row r="99" spans="2:5">
      <c r="B99" s="490" t="s">
        <v>207</v>
      </c>
      <c r="C99" s="491"/>
      <c r="D99" s="492">
        <f>D94/1.235</f>
        <v>404.85829959514166</v>
      </c>
      <c r="E99" s="490" t="s">
        <v>70</v>
      </c>
    </row>
    <row r="100" spans="2:5" ht="18.75" customHeight="1">
      <c r="B100" s="490"/>
      <c r="C100" s="491"/>
      <c r="D100" s="492"/>
      <c r="E100" s="490"/>
    </row>
    <row r="101" spans="2:5">
      <c r="B101" s="490" t="s">
        <v>208</v>
      </c>
      <c r="C101" s="491"/>
      <c r="D101" s="492">
        <f>0.2*D97</f>
        <v>10</v>
      </c>
      <c r="E101" s="490" t="s">
        <v>70</v>
      </c>
    </row>
    <row r="102" spans="2:5">
      <c r="B102" s="490"/>
      <c r="C102" s="491"/>
      <c r="D102" s="492"/>
      <c r="E102" s="490"/>
    </row>
    <row r="103" spans="2:5" ht="12.75">
      <c r="B103" s="211" t="s">
        <v>209</v>
      </c>
      <c r="C103" s="213"/>
      <c r="D103" s="212">
        <v>28</v>
      </c>
      <c r="E103" s="211" t="s">
        <v>70</v>
      </c>
    </row>
    <row r="104" spans="2:5">
      <c r="B104" s="490" t="s">
        <v>216</v>
      </c>
      <c r="C104" s="491"/>
      <c r="D104" s="492">
        <f>D99/D103</f>
        <v>14.459224985540773</v>
      </c>
      <c r="E104" s="490" t="s">
        <v>70</v>
      </c>
    </row>
    <row r="105" spans="2:5" ht="11.25" customHeight="1">
      <c r="B105" s="490"/>
      <c r="C105" s="491"/>
      <c r="D105" s="492"/>
      <c r="E105" s="490"/>
    </row>
    <row r="106" spans="2:5" ht="12.75">
      <c r="B106" s="211" t="s">
        <v>210</v>
      </c>
      <c r="C106" s="214"/>
      <c r="D106" s="217">
        <f>0.05*D97</f>
        <v>2.5</v>
      </c>
      <c r="E106" s="215" t="s">
        <v>70</v>
      </c>
    </row>
    <row r="107" spans="2:5" ht="12.75">
      <c r="B107" s="211" t="s">
        <v>211</v>
      </c>
      <c r="C107" s="213"/>
      <c r="D107" s="217">
        <f>4%*D97</f>
        <v>2</v>
      </c>
      <c r="E107" s="211" t="s">
        <v>70</v>
      </c>
    </row>
    <row r="108" spans="2:5" ht="12.75">
      <c r="B108" s="211" t="s">
        <v>217</v>
      </c>
      <c r="C108" s="213"/>
      <c r="D108" s="217">
        <f>(D97-D101)/2</f>
        <v>20</v>
      </c>
      <c r="E108" s="211" t="s">
        <v>70</v>
      </c>
    </row>
    <row r="109" spans="2:5" ht="25.5">
      <c r="B109" s="211" t="s">
        <v>212</v>
      </c>
      <c r="C109" s="213"/>
      <c r="D109" s="212" t="s">
        <v>213</v>
      </c>
      <c r="E109" s="211" t="s">
        <v>2</v>
      </c>
    </row>
    <row r="110" spans="2:5" ht="15" thickBot="1">
      <c r="B110" s="210" t="s">
        <v>214</v>
      </c>
      <c r="C110" s="216" t="s">
        <v>218</v>
      </c>
      <c r="D110" s="210">
        <v>17</v>
      </c>
      <c r="E110" s="210" t="s">
        <v>215</v>
      </c>
    </row>
  </sheetData>
  <mergeCells count="79">
    <mergeCell ref="C101:C102"/>
    <mergeCell ref="D101:D102"/>
    <mergeCell ref="E101:E102"/>
    <mergeCell ref="B104:B105"/>
    <mergeCell ref="C104:C105"/>
    <mergeCell ref="D104:D105"/>
    <mergeCell ref="E104:E105"/>
    <mergeCell ref="B101:B102"/>
    <mergeCell ref="B99:B100"/>
    <mergeCell ref="C99:C100"/>
    <mergeCell ref="D99:D100"/>
    <mergeCell ref="B92:E92"/>
    <mergeCell ref="E99:E100"/>
    <mergeCell ref="B95:B96"/>
    <mergeCell ref="C95:C96"/>
    <mergeCell ref="E95:E96"/>
    <mergeCell ref="B97:B98"/>
    <mergeCell ref="C97:C98"/>
    <mergeCell ref="E97:E98"/>
    <mergeCell ref="A75:A87"/>
    <mergeCell ref="N75:N87"/>
    <mergeCell ref="B90:F90"/>
    <mergeCell ref="AA50:AA51"/>
    <mergeCell ref="AB50:AG50"/>
    <mergeCell ref="A47:A59"/>
    <mergeCell ref="N47:N59"/>
    <mergeCell ref="AI50:AI51"/>
    <mergeCell ref="AJ50:AO50"/>
    <mergeCell ref="A61:A73"/>
    <mergeCell ref="N61:N73"/>
    <mergeCell ref="AA65:AA66"/>
    <mergeCell ref="AB65:AG65"/>
    <mergeCell ref="AI65:AI66"/>
    <mergeCell ref="AJ65:AO65"/>
    <mergeCell ref="B45:M45"/>
    <mergeCell ref="O45:Z45"/>
    <mergeCell ref="B46:C46"/>
    <mergeCell ref="D46:E46"/>
    <mergeCell ref="F46:G46"/>
    <mergeCell ref="H46:I46"/>
    <mergeCell ref="J46:K46"/>
    <mergeCell ref="L46:M46"/>
    <mergeCell ref="O46:P46"/>
    <mergeCell ref="Q46:R46"/>
    <mergeCell ref="S46:T46"/>
    <mergeCell ref="U46:V46"/>
    <mergeCell ref="W46:X46"/>
    <mergeCell ref="Y46:Z46"/>
    <mergeCell ref="AJ20:AO20"/>
    <mergeCell ref="A31:A43"/>
    <mergeCell ref="N31:N43"/>
    <mergeCell ref="AA35:AA36"/>
    <mergeCell ref="AB35:AG35"/>
    <mergeCell ref="AI35:AI36"/>
    <mergeCell ref="AJ35:AO35"/>
    <mergeCell ref="AI20:AI21"/>
    <mergeCell ref="AA2:AA3"/>
    <mergeCell ref="AB5:AG5"/>
    <mergeCell ref="A17:A29"/>
    <mergeCell ref="N17:N29"/>
    <mergeCell ref="AA20:AA21"/>
    <mergeCell ref="AB20:AG20"/>
    <mergeCell ref="A3:A15"/>
    <mergeCell ref="N3:N15"/>
    <mergeCell ref="AA5:AA6"/>
    <mergeCell ref="B1:M1"/>
    <mergeCell ref="O1:Z1"/>
    <mergeCell ref="B2:C2"/>
    <mergeCell ref="D2:E2"/>
    <mergeCell ref="F2:G2"/>
    <mergeCell ref="H2:I2"/>
    <mergeCell ref="J2:K2"/>
    <mergeCell ref="L2:M2"/>
    <mergeCell ref="O2:P2"/>
    <mergeCell ref="Q2:R2"/>
    <mergeCell ref="S2:T2"/>
    <mergeCell ref="U2:V2"/>
    <mergeCell ref="W2:X2"/>
    <mergeCell ref="Y2:Z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zoomScale="85" zoomScaleNormal="85" workbookViewId="0">
      <selection sqref="A1:B1"/>
    </sheetView>
  </sheetViews>
  <sheetFormatPr defaultRowHeight="12.75"/>
  <cols>
    <col min="1" max="1" width="28.42578125" style="1" customWidth="1"/>
    <col min="2" max="2" width="16" style="1" customWidth="1"/>
    <col min="3" max="3" width="9.140625" style="1"/>
    <col min="4" max="4" width="7.42578125" style="1" customWidth="1"/>
    <col min="5" max="5" width="15.42578125" style="1" customWidth="1"/>
    <col min="6" max="6" width="14.7109375" style="1" customWidth="1"/>
    <col min="7" max="7" width="19.85546875" style="1" customWidth="1"/>
    <col min="8" max="8" width="19.5703125" style="1" customWidth="1"/>
    <col min="9" max="9" width="26.140625" style="1" customWidth="1"/>
    <col min="10" max="10" width="10.85546875" style="1" customWidth="1"/>
    <col min="11" max="11" width="5.28515625" style="1" customWidth="1"/>
    <col min="12" max="13" width="9.140625" style="1"/>
    <col min="14" max="14" width="7.5703125" style="1" customWidth="1"/>
    <col min="15" max="16384" width="9.140625" style="1"/>
  </cols>
  <sheetData>
    <row r="1" spans="1:15" ht="18">
      <c r="A1" s="499" t="s">
        <v>0</v>
      </c>
      <c r="B1" s="499"/>
      <c r="C1" s="9"/>
      <c r="D1" s="9"/>
    </row>
    <row r="2" spans="1:15" ht="12" customHeight="1" thickBot="1">
      <c r="A2" s="8"/>
      <c r="B2" s="8"/>
      <c r="C2" s="5"/>
      <c r="E2" s="498" t="s">
        <v>3</v>
      </c>
      <c r="F2" s="498" t="s">
        <v>42</v>
      </c>
      <c r="G2" s="498" t="s">
        <v>35</v>
      </c>
      <c r="H2" s="498" t="s">
        <v>39</v>
      </c>
      <c r="I2" s="498" t="s">
        <v>44</v>
      </c>
    </row>
    <row r="3" spans="1:15" ht="14.25" thickTop="1" thickBot="1">
      <c r="A3" s="4" t="s">
        <v>34</v>
      </c>
      <c r="B3" s="4" t="s">
        <v>32</v>
      </c>
      <c r="C3" s="4" t="s">
        <v>33</v>
      </c>
      <c r="E3" s="498"/>
      <c r="F3" s="498"/>
      <c r="G3" s="498"/>
      <c r="H3" s="498"/>
      <c r="I3" s="498"/>
      <c r="J3" s="2"/>
    </row>
    <row r="4" spans="1:15" ht="13.5" thickTop="1">
      <c r="A4" s="1" t="s">
        <v>22</v>
      </c>
      <c r="B4" s="20">
        <f>B6/4.6</f>
        <v>0.10869565217391305</v>
      </c>
      <c r="C4" s="1" t="s">
        <v>1</v>
      </c>
      <c r="E4" s="1">
        <v>1</v>
      </c>
      <c r="F4" s="3">
        <f>E4+$B$15</f>
        <v>1.1109987516366346</v>
      </c>
      <c r="G4" s="3">
        <v>3.2590000000000001E-2</v>
      </c>
      <c r="H4" s="14">
        <f>(G4-$B$10)</f>
        <v>3.2421739130434751E-3</v>
      </c>
      <c r="I4" s="3">
        <f>H4/$B$8</f>
        <v>6.4843478260869503E-2</v>
      </c>
    </row>
    <row r="5" spans="1:15">
      <c r="A5" s="1" t="s">
        <v>30</v>
      </c>
      <c r="B5" s="20">
        <f>B4/2</f>
        <v>5.4347826086956527E-2</v>
      </c>
      <c r="C5" s="1" t="s">
        <v>1</v>
      </c>
      <c r="E5" s="1">
        <v>2</v>
      </c>
      <c r="F5" s="3">
        <f>E5+$B$15</f>
        <v>2.1109987516366346</v>
      </c>
      <c r="G5" s="3">
        <v>5.2949999999999997E-2</v>
      </c>
      <c r="H5" s="3">
        <f>G5-$B$10</f>
        <v>2.3602173913043471E-2</v>
      </c>
      <c r="I5" s="3">
        <f>H5/$B$8</f>
        <v>0.4720434782608694</v>
      </c>
    </row>
    <row r="6" spans="1:15">
      <c r="A6" s="1" t="s">
        <v>21</v>
      </c>
      <c r="B6" s="20">
        <f>0.5</f>
        <v>0.5</v>
      </c>
      <c r="C6" s="1" t="s">
        <v>1</v>
      </c>
      <c r="E6" s="1">
        <v>3</v>
      </c>
      <c r="F6" s="3">
        <f>E6+$B$15</f>
        <v>3.1109987516366346</v>
      </c>
      <c r="G6" s="3">
        <v>7.3889999999999997E-2</v>
      </c>
      <c r="H6" s="3">
        <f>G6-$B$10</f>
        <v>4.4542173913043472E-2</v>
      </c>
      <c r="I6" s="3">
        <f>H6/$B$8</f>
        <v>0.8908434782608694</v>
      </c>
      <c r="K6" s="10"/>
    </row>
    <row r="7" spans="1:15">
      <c r="A7" s="1" t="s">
        <v>31</v>
      </c>
      <c r="B7" s="20">
        <f>(PI()*((B4/2)^2)*B6)*1000</f>
        <v>4.6396394340586511</v>
      </c>
      <c r="C7" s="1" t="s">
        <v>2</v>
      </c>
      <c r="E7" s="1">
        <v>4</v>
      </c>
      <c r="F7" s="3">
        <f>E7+$B$15</f>
        <v>4.1109987516366342</v>
      </c>
      <c r="G7" s="3">
        <v>8.9770000000000003E-2</v>
      </c>
      <c r="H7" s="3">
        <f>G7-$B$10</f>
        <v>6.0422173913043477E-2</v>
      </c>
      <c r="I7" s="3">
        <f>H7/$B$8</f>
        <v>1.2084434782608695</v>
      </c>
    </row>
    <row r="8" spans="1:15">
      <c r="A8" s="1" t="s">
        <v>23</v>
      </c>
      <c r="B8" s="20">
        <v>0.05</v>
      </c>
      <c r="C8" s="1" t="s">
        <v>1</v>
      </c>
    </row>
    <row r="9" spans="1:15">
      <c r="A9" s="1" t="s">
        <v>24</v>
      </c>
      <c r="B9" s="20">
        <f>B8/2</f>
        <v>2.5000000000000001E-2</v>
      </c>
      <c r="C9" s="1" t="s">
        <v>1</v>
      </c>
    </row>
    <row r="10" spans="1:15" ht="13.5" thickBot="1">
      <c r="A10" s="5" t="s">
        <v>25</v>
      </c>
      <c r="B10" s="209">
        <f>B5-B9</f>
        <v>2.9347826086956526E-2</v>
      </c>
      <c r="C10" s="5" t="s">
        <v>1</v>
      </c>
      <c r="D10" s="2"/>
      <c r="E10" s="2"/>
      <c r="F10" s="2"/>
      <c r="G10" s="2"/>
      <c r="H10" s="2"/>
      <c r="I10" s="2"/>
      <c r="K10" s="1" t="s">
        <v>40</v>
      </c>
    </row>
    <row r="11" spans="1:15" ht="16.5" thickTop="1" thickBot="1">
      <c r="A11" s="6" t="s">
        <v>26</v>
      </c>
      <c r="B11" s="7"/>
      <c r="C11" s="7"/>
      <c r="K11" s="11" t="s">
        <v>41</v>
      </c>
      <c r="O11" s="1" t="s">
        <v>38</v>
      </c>
    </row>
    <row r="12" spans="1:15" ht="13.5" thickTop="1">
      <c r="A12" s="1" t="s">
        <v>27</v>
      </c>
      <c r="B12" s="3">
        <v>2.1999999999999999E-2</v>
      </c>
      <c r="C12" s="1" t="s">
        <v>1</v>
      </c>
      <c r="K12" s="12" t="s">
        <v>37</v>
      </c>
    </row>
    <row r="13" spans="1:15">
      <c r="A13" s="1" t="s">
        <v>28</v>
      </c>
      <c r="B13" s="3">
        <v>0.29199999999999998</v>
      </c>
      <c r="C13" s="1" t="s">
        <v>1</v>
      </c>
      <c r="M13" s="1" t="s">
        <v>36</v>
      </c>
    </row>
    <row r="14" spans="1:15" ht="14.25">
      <c r="A14" s="1" t="s">
        <v>29</v>
      </c>
      <c r="B14" s="3">
        <f>PI()*((B12/2)^2)*B13</f>
        <v>1.1099875163663455E-4</v>
      </c>
      <c r="C14" s="1" t="s">
        <v>43</v>
      </c>
      <c r="M14" s="1" t="s">
        <v>10</v>
      </c>
    </row>
    <row r="15" spans="1:15" ht="13.5" thickBot="1">
      <c r="A15" s="5"/>
      <c r="B15" s="13">
        <f>B14*1000</f>
        <v>0.11099875163663454</v>
      </c>
      <c r="C15" s="5" t="s">
        <v>2</v>
      </c>
      <c r="E15" s="15"/>
      <c r="F15" s="15"/>
      <c r="L15" s="1" t="s">
        <v>25</v>
      </c>
    </row>
    <row r="16" spans="1:15" ht="13.5" thickTop="1">
      <c r="E16" s="15"/>
      <c r="F16" s="15"/>
    </row>
    <row r="17" spans="1:9" ht="14.25">
      <c r="A17" s="1" t="s">
        <v>59</v>
      </c>
      <c r="B17" s="1" t="s">
        <v>43</v>
      </c>
      <c r="E17" s="15"/>
      <c r="F17" s="15"/>
    </row>
    <row r="18" spans="1:9">
      <c r="A18" s="1">
        <v>1</v>
      </c>
      <c r="B18" s="1">
        <f>CONVERT(A18,"l","m^3")</f>
        <v>1E-3</v>
      </c>
      <c r="E18" s="495" t="s">
        <v>45</v>
      </c>
      <c r="F18" s="495"/>
      <c r="G18" s="495"/>
    </row>
    <row r="19" spans="1:9">
      <c r="A19" s="1">
        <v>2</v>
      </c>
      <c r="B19" s="1">
        <f t="shared" ref="B19:B21" si="0">CONVERT(A19,"l","m^3")</f>
        <v>2E-3</v>
      </c>
      <c r="E19" s="496" t="s">
        <v>46</v>
      </c>
      <c r="F19" s="496"/>
      <c r="G19" s="496"/>
      <c r="H19" s="1" t="s">
        <v>47</v>
      </c>
    </row>
    <row r="20" spans="1:9">
      <c r="A20" s="1">
        <v>3</v>
      </c>
      <c r="B20" s="1">
        <f t="shared" si="0"/>
        <v>3.0000000000000001E-3</v>
      </c>
      <c r="E20" s="496"/>
      <c r="F20" s="496"/>
      <c r="G20" s="496"/>
      <c r="H20" s="497" t="s">
        <v>48</v>
      </c>
      <c r="I20" s="494"/>
    </row>
    <row r="21" spans="1:9">
      <c r="A21" s="1">
        <v>4</v>
      </c>
      <c r="B21" s="1">
        <f t="shared" si="0"/>
        <v>4.0000000000000001E-3</v>
      </c>
      <c r="E21" s="496"/>
      <c r="F21" s="496"/>
      <c r="G21" s="496"/>
      <c r="H21" s="494"/>
      <c r="I21" s="494"/>
    </row>
    <row r="22" spans="1:9">
      <c r="E22" s="496"/>
      <c r="F22" s="496"/>
      <c r="G22" s="496"/>
    </row>
    <row r="23" spans="1:9" ht="15.75">
      <c r="A23" s="1" t="s">
        <v>49</v>
      </c>
    </row>
    <row r="24" spans="1:9" ht="15.75">
      <c r="A24" s="16" t="s">
        <v>50</v>
      </c>
    </row>
    <row r="26" spans="1:9">
      <c r="A26" s="1" t="s">
        <v>51</v>
      </c>
      <c r="H26" s="3"/>
    </row>
    <row r="27" spans="1:9" ht="15">
      <c r="B27"/>
    </row>
    <row r="28" spans="1:9">
      <c r="A28" s="1" t="s">
        <v>52</v>
      </c>
      <c r="C28" s="1" t="s">
        <v>19</v>
      </c>
      <c r="H28" s="3"/>
    </row>
    <row r="29" spans="1:9">
      <c r="A29" s="1" t="s">
        <v>53</v>
      </c>
      <c r="F29" s="17"/>
      <c r="G29" s="17"/>
    </row>
    <row r="32" spans="1:9">
      <c r="A32" s="1" t="s">
        <v>54</v>
      </c>
    </row>
    <row r="37" spans="1:10">
      <c r="A37" s="1" t="s">
        <v>55</v>
      </c>
      <c r="H37" s="3"/>
      <c r="I37" s="3"/>
    </row>
    <row r="38" spans="1:10">
      <c r="H38" s="3"/>
    </row>
    <row r="39" spans="1:10">
      <c r="H39" s="3"/>
    </row>
    <row r="40" spans="1:10">
      <c r="A40" s="494" t="s">
        <v>63</v>
      </c>
      <c r="B40" s="3" t="s">
        <v>57</v>
      </c>
      <c r="C40" s="1" t="s">
        <v>58</v>
      </c>
      <c r="D40" s="1" t="s">
        <v>2</v>
      </c>
      <c r="E40" s="1" t="s">
        <v>60</v>
      </c>
      <c r="F40" s="1" t="s">
        <v>61</v>
      </c>
      <c r="G40" s="1" t="s">
        <v>62</v>
      </c>
      <c r="H40" s="20"/>
    </row>
    <row r="41" spans="1:10">
      <c r="A41" s="494"/>
      <c r="B41" s="1">
        <f>B18</f>
        <v>1E-3</v>
      </c>
      <c r="C41" s="3">
        <f>B5</f>
        <v>5.4347826086956527E-2</v>
      </c>
      <c r="D41" s="3">
        <f>B6</f>
        <v>0.5</v>
      </c>
      <c r="E41" s="20">
        <f>(C41^2)/2*(2*ACOS(1-G41/C41)-SIN(2*ACOS(1-G41/C41)))*D41</f>
        <v>9.9832945538369067E-4</v>
      </c>
      <c r="F41" s="20">
        <f>B18</f>
        <v>1E-3</v>
      </c>
      <c r="G41" s="20">
        <v>2.9091328170912773E-2</v>
      </c>
    </row>
    <row r="42" spans="1:10">
      <c r="A42" s="494"/>
      <c r="B42" s="1">
        <f t="shared" ref="B42:B44" si="1">B19</f>
        <v>2E-3</v>
      </c>
      <c r="C42" s="3">
        <f>B5</f>
        <v>5.4347826086956527E-2</v>
      </c>
      <c r="D42" s="3">
        <f>B6</f>
        <v>0.5</v>
      </c>
      <c r="E42" s="20">
        <f t="shared" ref="E42:E44" si="2">(C42^2)/2*(2*ACOS(1-G42/C42)-SIN(2*ACOS(1-G42/C42)))*D42</f>
        <v>1.9961428663700098E-3</v>
      </c>
      <c r="F42" s="20">
        <f t="shared" ref="F42:F43" si="3">B19</f>
        <v>2E-3</v>
      </c>
      <c r="G42" s="20">
        <v>4.8380158065952236E-2</v>
      </c>
    </row>
    <row r="43" spans="1:10">
      <c r="A43" s="494"/>
      <c r="B43" s="1">
        <f t="shared" si="1"/>
        <v>3.0000000000000001E-3</v>
      </c>
      <c r="C43" s="3">
        <f>B5</f>
        <v>5.4347826086956527E-2</v>
      </c>
      <c r="D43" s="3">
        <f>B6</f>
        <v>0.5</v>
      </c>
      <c r="E43" s="20">
        <f t="shared" si="2"/>
        <v>2.9931446238924166E-3</v>
      </c>
      <c r="F43" s="20">
        <f t="shared" si="3"/>
        <v>3.0000000000000001E-3</v>
      </c>
      <c r="G43" s="20">
        <v>6.6848111830526136E-2</v>
      </c>
    </row>
    <row r="44" spans="1:10" ht="13.5" thickBot="1">
      <c r="A44" s="494"/>
      <c r="B44" s="1">
        <f t="shared" si="1"/>
        <v>4.0000000000000001E-3</v>
      </c>
      <c r="C44" s="3">
        <f t="shared" ref="C44" si="4">B8</f>
        <v>0.05</v>
      </c>
      <c r="D44" s="3">
        <f>B6</f>
        <v>0.5</v>
      </c>
      <c r="E44" s="20" t="e">
        <f t="shared" si="2"/>
        <v>#NUM!</v>
      </c>
      <c r="F44" s="20">
        <v>4.0000000000000001E-3</v>
      </c>
      <c r="G44" s="20">
        <v>0.10000020000000001</v>
      </c>
    </row>
    <row r="45" spans="1:10" ht="15">
      <c r="B45" s="22"/>
      <c r="C45" s="23"/>
      <c r="D45" s="24"/>
      <c r="E45" s="1" t="s">
        <v>64</v>
      </c>
      <c r="J45"/>
    </row>
    <row r="46" spans="1:10">
      <c r="A46" s="1" t="s">
        <v>56</v>
      </c>
      <c r="B46" s="25"/>
      <c r="C46" s="26">
        <f>(B4-B8)/2</f>
        <v>2.9347826086956526E-2</v>
      </c>
      <c r="D46" s="27" t="s">
        <v>1</v>
      </c>
      <c r="E46" s="1" t="s">
        <v>221</v>
      </c>
    </row>
    <row r="47" spans="1:10" ht="13.5" thickBot="1">
      <c r="B47" s="28"/>
      <c r="C47" s="29"/>
      <c r="D47" s="30"/>
      <c r="F47" s="3"/>
    </row>
    <row r="49" spans="1:10" ht="15">
      <c r="A49" s="1" t="s">
        <v>65</v>
      </c>
      <c r="I49"/>
    </row>
    <row r="50" spans="1:10" ht="15.75">
      <c r="A50" s="1" t="s">
        <v>66</v>
      </c>
      <c r="B50" s="31"/>
      <c r="G50" s="18"/>
    </row>
    <row r="51" spans="1:10" ht="15">
      <c r="B51"/>
      <c r="F51" s="33">
        <f>PI()*B12^2*B13/4</f>
        <v>1.1099875163663455E-4</v>
      </c>
    </row>
    <row r="52" spans="1:10" ht="15">
      <c r="B52"/>
    </row>
    <row r="53" spans="1:10" ht="15.75">
      <c r="A53" s="1" t="s">
        <v>67</v>
      </c>
      <c r="B53" s="31"/>
    </row>
    <row r="54" spans="1:10" ht="15.75">
      <c r="B54" s="32"/>
      <c r="I54"/>
    </row>
    <row r="55" spans="1:10" ht="14.25">
      <c r="A55" s="1" t="s">
        <v>74</v>
      </c>
      <c r="B55" s="34">
        <f>B18+$F$51</f>
        <v>1.1109987516366346E-3</v>
      </c>
      <c r="C55" s="17" t="s">
        <v>43</v>
      </c>
    </row>
    <row r="56" spans="1:10" ht="14.25">
      <c r="A56" s="1" t="s">
        <v>71</v>
      </c>
      <c r="B56" s="34">
        <f t="shared" ref="B56:B58" si="5">B19+$F$51</f>
        <v>2.1109987516366347E-3</v>
      </c>
      <c r="C56" s="17" t="s">
        <v>43</v>
      </c>
    </row>
    <row r="57" spans="1:10" ht="14.25">
      <c r="A57" s="1" t="s">
        <v>72</v>
      </c>
      <c r="B57" s="34">
        <f t="shared" si="5"/>
        <v>3.1109987516366347E-3</v>
      </c>
      <c r="C57" s="17" t="s">
        <v>43</v>
      </c>
    </row>
    <row r="58" spans="1:10" ht="14.25">
      <c r="A58" s="1" t="s">
        <v>73</v>
      </c>
      <c r="B58" s="34">
        <f t="shared" si="5"/>
        <v>4.1109987516366343E-3</v>
      </c>
      <c r="C58" s="17" t="s">
        <v>43</v>
      </c>
    </row>
    <row r="59" spans="1:10" ht="15">
      <c r="A59" s="1" t="s">
        <v>68</v>
      </c>
      <c r="I59"/>
    </row>
    <row r="62" spans="1:10">
      <c r="B62" s="3" t="s">
        <v>57</v>
      </c>
      <c r="C62" s="1" t="s">
        <v>58</v>
      </c>
      <c r="D62" s="1" t="s">
        <v>2</v>
      </c>
      <c r="E62" s="1" t="s">
        <v>60</v>
      </c>
      <c r="F62" s="1" t="s">
        <v>61</v>
      </c>
      <c r="G62" s="1" t="s">
        <v>62</v>
      </c>
    </row>
    <row r="63" spans="1:10">
      <c r="B63" s="18">
        <f>B55</f>
        <v>1.1109987516366346E-3</v>
      </c>
      <c r="C63" s="3">
        <f>B5</f>
        <v>5.4347826086956527E-2</v>
      </c>
      <c r="D63" s="3">
        <f>B6</f>
        <v>0.5</v>
      </c>
      <c r="E63" s="18">
        <f>(C63^2)/2*(2*ACOS(1-G63/C63)-SIN(2*ACOS(1-G63/C63)))*D63</f>
        <v>1.1091159586497045E-3</v>
      </c>
      <c r="F63" s="18">
        <f>B63</f>
        <v>1.1109987516366346E-3</v>
      </c>
      <c r="G63" s="19">
        <v>3.1366333044063575E-2</v>
      </c>
      <c r="J63" s="19"/>
    </row>
    <row r="64" spans="1:10">
      <c r="B64" s="18">
        <f t="shared" ref="B64:B66" si="6">B56</f>
        <v>2.1109987516366347E-3</v>
      </c>
      <c r="C64" s="3">
        <f>B5</f>
        <v>5.4347826086956527E-2</v>
      </c>
      <c r="D64" s="3">
        <f>B6</f>
        <v>0.5</v>
      </c>
      <c r="E64" s="18">
        <f>(C64^2)/2*(2*ACOS(1-G64/C64)-SIN(2*ACOS(1-G64/C64)))*D64</f>
        <v>2.1068609371350557E-3</v>
      </c>
      <c r="F64" s="18">
        <f>B64</f>
        <v>2.1109987516366347E-3</v>
      </c>
      <c r="G64" s="19">
        <v>5.0425978131112943E-2</v>
      </c>
      <c r="J64" s="19"/>
    </row>
    <row r="65" spans="1:10">
      <c r="B65" s="18">
        <f t="shared" si="6"/>
        <v>3.1109987516366347E-3</v>
      </c>
      <c r="C65" s="3">
        <f>B5</f>
        <v>5.4347826086956527E-2</v>
      </c>
      <c r="D65" s="3">
        <f>B6</f>
        <v>0.5</v>
      </c>
      <c r="E65" s="18">
        <f t="shared" ref="E65:E66" si="7">(C65^2)/2*(2*ACOS(1-G65/C65)-SIN(2*ACOS(1-G65/C65)))*D65</f>
        <v>3.1038354616537362E-3</v>
      </c>
      <c r="F65" s="18">
        <f>B65</f>
        <v>3.1109987516366347E-3</v>
      </c>
      <c r="G65" s="19">
        <v>6.8951406661735951E-2</v>
      </c>
      <c r="J65" s="19"/>
    </row>
    <row r="66" spans="1:10">
      <c r="B66" s="18">
        <f t="shared" si="6"/>
        <v>4.1109987516366343E-3</v>
      </c>
      <c r="C66" s="3">
        <f>B5</f>
        <v>5.4347826086956527E-2</v>
      </c>
      <c r="D66" s="3">
        <f>B6</f>
        <v>0.5</v>
      </c>
      <c r="E66" s="18">
        <f t="shared" si="7"/>
        <v>4.0984332499076851E-3</v>
      </c>
      <c r="F66" s="18">
        <f>B66</f>
        <v>4.1109987516366343E-3</v>
      </c>
      <c r="G66" s="19">
        <v>8.9773893921413869E-2</v>
      </c>
      <c r="J66" s="19"/>
    </row>
    <row r="68" spans="1:10">
      <c r="A68" s="1" t="s">
        <v>69</v>
      </c>
      <c r="B68" s="35">
        <f>G63-$C$46</f>
        <v>2.0185069571070496E-3</v>
      </c>
      <c r="C68" s="21" t="s">
        <v>1</v>
      </c>
      <c r="D68" s="37">
        <f>CONVERT(B68,"m","mm")</f>
        <v>2.0185069571070495</v>
      </c>
      <c r="E68" s="21" t="s">
        <v>70</v>
      </c>
    </row>
    <row r="69" spans="1:10">
      <c r="B69" s="35">
        <f>G64-$C$46</f>
        <v>2.1078152044156417E-2</v>
      </c>
      <c r="D69" s="37">
        <f>CONVERT(B69,"m","mm")</f>
        <v>21.078152044156418</v>
      </c>
    </row>
    <row r="70" spans="1:10">
      <c r="B70" s="35">
        <f>G65-$C$46</f>
        <v>3.9603580574779425E-2</v>
      </c>
      <c r="D70" s="37">
        <f t="shared" ref="D70:D71" si="8">CONVERT(B70,"m","mm")</f>
        <v>39.603580574779421</v>
      </c>
      <c r="E70" s="36"/>
      <c r="F70" s="3"/>
    </row>
    <row r="71" spans="1:10">
      <c r="B71" s="35">
        <f t="shared" ref="B71" si="9">G66-$C$46</f>
        <v>6.0426067834457343E-2</v>
      </c>
      <c r="D71" s="37">
        <f t="shared" si="8"/>
        <v>60.426067834457335</v>
      </c>
    </row>
    <row r="73" spans="1:10">
      <c r="C73" s="1" t="s">
        <v>75</v>
      </c>
    </row>
    <row r="74" spans="1:10">
      <c r="A74" s="1" t="s">
        <v>74</v>
      </c>
      <c r="B74" s="3">
        <f>B68/$B$8</f>
        <v>4.0370139142140993E-2</v>
      </c>
      <c r="C74" s="38">
        <f>B74</f>
        <v>4.0370139142140993E-2</v>
      </c>
    </row>
    <row r="75" spans="1:10">
      <c r="A75" s="1" t="s">
        <v>71</v>
      </c>
      <c r="B75" s="3">
        <f t="shared" ref="B75:B77" si="10">B69/$B$8</f>
        <v>0.42156304088312835</v>
      </c>
      <c r="C75" s="38">
        <f t="shared" ref="C75:C77" si="11">B75</f>
        <v>0.42156304088312835</v>
      </c>
    </row>
    <row r="76" spans="1:10">
      <c r="A76" s="1" t="s">
        <v>72</v>
      </c>
      <c r="B76" s="3">
        <f t="shared" si="10"/>
        <v>0.79207161149558847</v>
      </c>
      <c r="C76" s="38">
        <f t="shared" si="11"/>
        <v>0.79207161149558847</v>
      </c>
    </row>
    <row r="77" spans="1:10">
      <c r="A77" s="1" t="s">
        <v>73</v>
      </c>
      <c r="B77" s="3">
        <f t="shared" si="10"/>
        <v>1.2085213566891468</v>
      </c>
      <c r="C77" s="38">
        <f t="shared" si="11"/>
        <v>1.2085213566891468</v>
      </c>
    </row>
  </sheetData>
  <mergeCells count="10">
    <mergeCell ref="A1:B1"/>
    <mergeCell ref="E2:E3"/>
    <mergeCell ref="F2:F3"/>
    <mergeCell ref="G2:G3"/>
    <mergeCell ref="H2:H3"/>
    <mergeCell ref="A40:A44"/>
    <mergeCell ref="E18:G18"/>
    <mergeCell ref="E19:G22"/>
    <mergeCell ref="H20:I21"/>
    <mergeCell ref="I2:I3"/>
  </mergeCells>
  <hyperlinks>
    <hyperlink ref="H20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161A-D646-4AEA-A28B-E7B81F10DF96}">
  <dimension ref="A1:AX971"/>
  <sheetViews>
    <sheetView topLeftCell="S1" zoomScale="70" zoomScaleNormal="70" workbookViewId="0">
      <selection activeCell="AQ33" sqref="AQ33"/>
    </sheetView>
  </sheetViews>
  <sheetFormatPr defaultRowHeight="12"/>
  <cols>
    <col min="1" max="1" width="9.140625" style="218"/>
    <col min="2" max="2" width="6.42578125" style="218" customWidth="1"/>
    <col min="3" max="3" width="5.7109375" style="218" customWidth="1"/>
    <col min="4" max="4" width="8.42578125" style="218" customWidth="1"/>
    <col min="5" max="5" width="6.28515625" style="218" customWidth="1"/>
    <col min="6" max="6" width="6.85546875" style="218" customWidth="1"/>
    <col min="7" max="7" width="5.42578125" style="218" customWidth="1"/>
    <col min="8" max="8" width="7.140625" style="218" customWidth="1"/>
    <col min="9" max="9" width="9.140625" style="218"/>
    <col min="10" max="10" width="7.28515625" style="218" customWidth="1"/>
    <col min="11" max="11" width="7.140625" style="218" customWidth="1"/>
    <col min="12" max="12" width="7.85546875" style="218" customWidth="1"/>
    <col min="13" max="13" width="5.42578125" style="218" customWidth="1"/>
    <col min="14" max="14" width="6.85546875" style="218" customWidth="1"/>
    <col min="15" max="15" width="6.28515625" style="218" customWidth="1"/>
    <col min="16" max="17" width="6.42578125" style="218" customWidth="1"/>
    <col min="18" max="19" width="5.42578125" style="218" customWidth="1"/>
    <col min="20" max="20" width="6.5703125" style="218" customWidth="1"/>
    <col min="21" max="22" width="6.42578125" style="218" customWidth="1"/>
    <col min="23" max="23" width="6.85546875" style="218" customWidth="1"/>
    <col min="24" max="24" width="6.28515625" style="218" customWidth="1"/>
    <col min="25" max="25" width="4.42578125" style="218" customWidth="1"/>
    <col min="26" max="27" width="9.140625" style="218"/>
    <col min="28" max="28" width="10.85546875" style="218" customWidth="1"/>
    <col min="29" max="31" width="9.140625" style="218"/>
    <col min="32" max="32" width="2" style="218" customWidth="1"/>
    <col min="33" max="16384" width="9.140625" style="218"/>
  </cols>
  <sheetData>
    <row r="1" spans="1:50" ht="15">
      <c r="A1" s="306" t="s">
        <v>526</v>
      </c>
      <c r="S1" s="306"/>
      <c r="T1" s="430"/>
      <c r="U1" s="430"/>
      <c r="V1" s="430"/>
      <c r="W1" s="430"/>
      <c r="X1" s="430"/>
      <c r="Y1" s="430"/>
      <c r="Z1" s="430"/>
      <c r="AA1" s="430"/>
      <c r="AB1" s="430"/>
    </row>
    <row r="3" spans="1:50" ht="15" customHeight="1">
      <c r="A3" s="218" t="s">
        <v>332</v>
      </c>
      <c r="P3" s="218" t="s">
        <v>334</v>
      </c>
      <c r="S3" s="218" t="s">
        <v>335</v>
      </c>
    </row>
    <row r="4" spans="1:50">
      <c r="A4" s="218" t="s">
        <v>333</v>
      </c>
      <c r="P4" s="218" t="s">
        <v>317</v>
      </c>
      <c r="Q4" s="218" t="s">
        <v>336</v>
      </c>
      <c r="R4" s="218" t="s">
        <v>337</v>
      </c>
      <c r="S4" s="218" t="s">
        <v>338</v>
      </c>
      <c r="T4" s="218" t="s">
        <v>343</v>
      </c>
      <c r="U4" s="218" t="s">
        <v>339</v>
      </c>
      <c r="V4" s="218" t="s">
        <v>340</v>
      </c>
      <c r="W4" s="218" t="s">
        <v>341</v>
      </c>
      <c r="X4" s="218" t="s">
        <v>342</v>
      </c>
      <c r="AA4" s="503" t="s">
        <v>351</v>
      </c>
      <c r="AB4" s="503"/>
      <c r="AC4" s="503"/>
      <c r="AD4" s="503"/>
      <c r="AE4" s="503"/>
      <c r="AG4" s="504" t="s">
        <v>352</v>
      </c>
      <c r="AH4" s="504"/>
      <c r="AI4" s="504"/>
      <c r="AJ4" s="504"/>
      <c r="AK4" s="504"/>
      <c r="AL4" s="504"/>
      <c r="AM4" s="505" t="s">
        <v>353</v>
      </c>
      <c r="AN4" s="505"/>
      <c r="AO4" s="505"/>
      <c r="AP4" s="505"/>
      <c r="AQ4" s="505"/>
      <c r="AR4" s="505"/>
      <c r="AS4" s="500" t="s">
        <v>354</v>
      </c>
      <c r="AT4" s="500"/>
      <c r="AU4" s="500"/>
      <c r="AV4" s="500"/>
      <c r="AW4" s="500"/>
      <c r="AX4" s="500"/>
    </row>
    <row r="5" spans="1:50">
      <c r="A5" s="218" t="s">
        <v>309</v>
      </c>
      <c r="B5" s="218" t="s">
        <v>310</v>
      </c>
      <c r="C5" s="218" t="s">
        <v>311</v>
      </c>
      <c r="D5" s="218" t="s">
        <v>312</v>
      </c>
      <c r="E5" s="218" t="s">
        <v>311</v>
      </c>
      <c r="F5" s="218" t="s">
        <v>313</v>
      </c>
      <c r="G5" s="218" t="s">
        <v>311</v>
      </c>
      <c r="P5" s="218">
        <v>0</v>
      </c>
      <c r="Q5" s="218">
        <v>0</v>
      </c>
      <c r="R5" s="218">
        <v>0</v>
      </c>
      <c r="S5" s="218">
        <v>0</v>
      </c>
      <c r="T5" s="218">
        <v>0</v>
      </c>
      <c r="U5" s="273">
        <v>1.5</v>
      </c>
      <c r="V5" s="218">
        <v>0</v>
      </c>
      <c r="W5" s="250">
        <v>2.5622855959980873E-2</v>
      </c>
      <c r="X5" s="250">
        <v>0</v>
      </c>
      <c r="Z5" s="218" t="s">
        <v>222</v>
      </c>
      <c r="AA5" s="218">
        <v>100</v>
      </c>
      <c r="AB5" s="218">
        <v>200</v>
      </c>
      <c r="AC5" s="218">
        <v>300</v>
      </c>
      <c r="AD5" s="218">
        <v>400</v>
      </c>
      <c r="AE5" s="218">
        <v>500</v>
      </c>
      <c r="AG5" s="218" t="s">
        <v>222</v>
      </c>
      <c r="AH5" s="218">
        <v>100</v>
      </c>
      <c r="AI5" s="218">
        <v>200</v>
      </c>
      <c r="AJ5" s="218">
        <v>300</v>
      </c>
      <c r="AK5" s="218">
        <v>400</v>
      </c>
      <c r="AL5" s="218">
        <v>500</v>
      </c>
      <c r="AM5" s="218" t="s">
        <v>222</v>
      </c>
      <c r="AN5" s="218">
        <v>100</v>
      </c>
      <c r="AO5" s="218">
        <v>200</v>
      </c>
      <c r="AP5" s="218">
        <v>300</v>
      </c>
      <c r="AQ5" s="218">
        <v>400</v>
      </c>
      <c r="AR5" s="218">
        <v>500</v>
      </c>
      <c r="AS5" s="218" t="s">
        <v>222</v>
      </c>
      <c r="AT5" s="218">
        <v>100</v>
      </c>
      <c r="AU5" s="218">
        <v>200</v>
      </c>
      <c r="AV5" s="218">
        <v>300</v>
      </c>
      <c r="AW5" s="218">
        <v>400</v>
      </c>
      <c r="AX5" s="218">
        <v>500</v>
      </c>
    </row>
    <row r="6" spans="1:50">
      <c r="A6" s="429">
        <v>0.67723379629629632</v>
      </c>
      <c r="B6" s="218">
        <v>20.3</v>
      </c>
      <c r="C6" s="218" t="s">
        <v>314</v>
      </c>
      <c r="D6" s="218">
        <v>10.199999999999999</v>
      </c>
      <c r="E6" s="218" t="s">
        <v>315</v>
      </c>
      <c r="F6" s="218">
        <v>22.6</v>
      </c>
      <c r="G6" s="218" t="s">
        <v>316</v>
      </c>
      <c r="P6" s="218">
        <v>1</v>
      </c>
      <c r="Q6" s="218">
        <v>9.9999999999997868E-2</v>
      </c>
      <c r="R6" s="218">
        <v>2</v>
      </c>
      <c r="S6" s="218">
        <v>0</v>
      </c>
      <c r="T6" s="218">
        <v>0.69999999999999929</v>
      </c>
      <c r="U6" s="273">
        <v>1.5</v>
      </c>
      <c r="V6" s="218">
        <v>1.5</v>
      </c>
      <c r="W6" s="250">
        <v>2.5622855959980873E-2</v>
      </c>
      <c r="X6" s="250">
        <v>1.5452538631346563E-3</v>
      </c>
      <c r="Z6" s="218" t="s">
        <v>308</v>
      </c>
      <c r="AA6" s="218">
        <v>659</v>
      </c>
      <c r="AB6" s="218">
        <v>162</v>
      </c>
      <c r="AC6" s="218">
        <v>137</v>
      </c>
      <c r="AD6" s="218">
        <v>85</v>
      </c>
      <c r="AE6" s="218">
        <v>82</v>
      </c>
      <c r="AG6" s="218" t="s">
        <v>308</v>
      </c>
      <c r="AH6" s="218">
        <v>72</v>
      </c>
      <c r="AI6" s="218">
        <v>41</v>
      </c>
      <c r="AJ6" s="218">
        <v>28</v>
      </c>
      <c r="AK6" s="218">
        <v>21</v>
      </c>
      <c r="AL6" s="218">
        <v>20</v>
      </c>
      <c r="AM6" s="218" t="s">
        <v>308</v>
      </c>
      <c r="AN6" s="218">
        <v>71</v>
      </c>
      <c r="AO6" s="218">
        <v>25</v>
      </c>
      <c r="AP6" s="218">
        <v>20</v>
      </c>
      <c r="AQ6" s="218">
        <v>18</v>
      </c>
      <c r="AR6" s="218">
        <v>16</v>
      </c>
      <c r="AS6" s="218" t="s">
        <v>308</v>
      </c>
      <c r="AT6" s="218">
        <v>135</v>
      </c>
      <c r="AU6" s="218">
        <v>69</v>
      </c>
      <c r="AV6" s="218">
        <v>46</v>
      </c>
      <c r="AW6" s="218">
        <v>35</v>
      </c>
      <c r="AX6" s="218">
        <v>33</v>
      </c>
    </row>
    <row r="7" spans="1:50">
      <c r="A7" s="429">
        <v>0.67724537037037036</v>
      </c>
      <c r="B7" s="218">
        <v>20.3</v>
      </c>
      <c r="C7" s="218" t="s">
        <v>314</v>
      </c>
      <c r="D7" s="218">
        <v>10.199999999999999</v>
      </c>
      <c r="E7" s="218" t="s">
        <v>315</v>
      </c>
      <c r="F7" s="218">
        <v>22.6</v>
      </c>
      <c r="G7" s="218" t="s">
        <v>316</v>
      </c>
      <c r="P7" s="218">
        <v>2</v>
      </c>
      <c r="Q7" s="218">
        <v>0</v>
      </c>
      <c r="R7" s="218">
        <v>-1</v>
      </c>
      <c r="S7" s="218">
        <v>1</v>
      </c>
      <c r="T7" s="218">
        <v>0</v>
      </c>
      <c r="U7" s="273">
        <v>1.5</v>
      </c>
      <c r="V7" s="218">
        <v>1.5</v>
      </c>
      <c r="W7" s="250">
        <v>2.5622855959980873E-2</v>
      </c>
      <c r="X7" s="250">
        <v>0</v>
      </c>
      <c r="Z7" s="218" t="s">
        <v>350</v>
      </c>
      <c r="AA7" s="218" t="s">
        <v>342</v>
      </c>
      <c r="AB7" s="218" t="s">
        <v>342</v>
      </c>
      <c r="AC7" s="218" t="s">
        <v>342</v>
      </c>
      <c r="AD7" s="218" t="s">
        <v>342</v>
      </c>
      <c r="AE7" s="218" t="s">
        <v>342</v>
      </c>
      <c r="AG7" s="218" t="s">
        <v>350</v>
      </c>
      <c r="AH7" s="218" t="s">
        <v>342</v>
      </c>
      <c r="AI7" s="218" t="s">
        <v>342</v>
      </c>
      <c r="AJ7" s="218" t="s">
        <v>342</v>
      </c>
      <c r="AK7" s="218" t="s">
        <v>342</v>
      </c>
      <c r="AL7" s="218" t="s">
        <v>342</v>
      </c>
      <c r="AM7" s="218" t="s">
        <v>350</v>
      </c>
      <c r="AN7" s="218" t="s">
        <v>342</v>
      </c>
      <c r="AO7" s="218" t="s">
        <v>342</v>
      </c>
      <c r="AP7" s="218" t="s">
        <v>342</v>
      </c>
      <c r="AQ7" s="218" t="s">
        <v>342</v>
      </c>
      <c r="AR7" s="218" t="s">
        <v>342</v>
      </c>
      <c r="AS7" s="218" t="s">
        <v>350</v>
      </c>
      <c r="AT7" s="218" t="s">
        <v>342</v>
      </c>
      <c r="AU7" s="218" t="s">
        <v>342</v>
      </c>
      <c r="AV7" s="218" t="s">
        <v>342</v>
      </c>
      <c r="AW7" s="218" t="s">
        <v>342</v>
      </c>
      <c r="AX7" s="218" t="s">
        <v>342</v>
      </c>
    </row>
    <row r="8" spans="1:50">
      <c r="A8" s="429">
        <v>0.6772569444444444</v>
      </c>
      <c r="B8" s="218">
        <v>20.3</v>
      </c>
      <c r="C8" s="218" t="s">
        <v>314</v>
      </c>
      <c r="D8" s="218">
        <v>10.199999999999999</v>
      </c>
      <c r="E8" s="218" t="s">
        <v>315</v>
      </c>
      <c r="F8" s="218">
        <v>22.6</v>
      </c>
      <c r="G8" s="218" t="s">
        <v>316</v>
      </c>
      <c r="P8" s="218">
        <v>3</v>
      </c>
      <c r="Q8" s="218">
        <v>0</v>
      </c>
      <c r="R8" s="218">
        <v>2</v>
      </c>
      <c r="S8" s="218">
        <v>0</v>
      </c>
      <c r="T8" s="218">
        <v>0.66666666666666663</v>
      </c>
      <c r="U8" s="273">
        <v>1.5</v>
      </c>
      <c r="V8" s="218">
        <v>1.5</v>
      </c>
      <c r="W8" s="250">
        <v>2.5622855959980873E-2</v>
      </c>
      <c r="X8" s="250">
        <v>1.4716703458425313E-3</v>
      </c>
      <c r="Z8" s="218">
        <v>0</v>
      </c>
      <c r="AA8" s="435">
        <v>0</v>
      </c>
      <c r="AB8" s="435">
        <v>0</v>
      </c>
      <c r="AC8" s="435">
        <v>0</v>
      </c>
      <c r="AD8" s="435">
        <v>0</v>
      </c>
      <c r="AE8" s="435">
        <v>0</v>
      </c>
      <c r="AG8" s="218">
        <v>0</v>
      </c>
      <c r="AH8" s="218">
        <v>0</v>
      </c>
      <c r="AI8" s="218">
        <v>2.4691358024693012E-2</v>
      </c>
      <c r="AJ8" s="218">
        <v>4.065040650406633E-2</v>
      </c>
      <c r="AK8" s="218">
        <v>3.3023255813953628E-2</v>
      </c>
      <c r="AL8" s="218">
        <v>1.5873015873015539E-2</v>
      </c>
      <c r="AM8" s="218">
        <v>0</v>
      </c>
      <c r="AN8" s="218">
        <v>1.5503875968991929E-2</v>
      </c>
      <c r="AO8" s="218">
        <v>8.1300813008128338E-3</v>
      </c>
      <c r="AP8" s="218">
        <v>8.3333333333331858E-3</v>
      </c>
      <c r="AQ8" s="218">
        <v>2.4390243902438602E-2</v>
      </c>
      <c r="AR8" s="218">
        <v>1.9658119658119963E-2</v>
      </c>
      <c r="AS8" s="218">
        <v>0</v>
      </c>
      <c r="AT8" s="218">
        <v>0</v>
      </c>
      <c r="AU8" s="218">
        <v>0</v>
      </c>
      <c r="AV8" s="218">
        <v>0</v>
      </c>
      <c r="AW8" s="218">
        <v>8.3333333333316297E-3</v>
      </c>
      <c r="AX8" s="218">
        <v>8.5470085470099478E-3</v>
      </c>
    </row>
    <row r="9" spans="1:50">
      <c r="A9" s="429">
        <v>0.67726851851851855</v>
      </c>
      <c r="B9" s="218">
        <v>20.3</v>
      </c>
      <c r="C9" s="218" t="s">
        <v>314</v>
      </c>
      <c r="D9" s="218">
        <v>10.199999999999999</v>
      </c>
      <c r="E9" s="218" t="s">
        <v>315</v>
      </c>
      <c r="F9" s="218">
        <v>22.7</v>
      </c>
      <c r="G9" s="218" t="s">
        <v>316</v>
      </c>
      <c r="P9" s="218">
        <v>4</v>
      </c>
      <c r="Q9" s="218">
        <v>0</v>
      </c>
      <c r="R9" s="218">
        <v>-1</v>
      </c>
      <c r="S9" s="218">
        <v>-1</v>
      </c>
      <c r="T9" s="218">
        <v>-0.66666666666666663</v>
      </c>
      <c r="U9" s="273">
        <v>1.5</v>
      </c>
      <c r="V9" s="218">
        <v>1.5</v>
      </c>
      <c r="W9" s="250">
        <v>2.5622855959980873E-2</v>
      </c>
      <c r="X9" s="250">
        <v>-1.4716703458425313E-3</v>
      </c>
      <c r="Z9" s="218">
        <v>1</v>
      </c>
      <c r="AA9" s="435">
        <v>1.5452538631346563E-3</v>
      </c>
      <c r="AB9" s="435">
        <v>0</v>
      </c>
      <c r="AC9" s="435">
        <v>0</v>
      </c>
      <c r="AD9" s="435">
        <v>0</v>
      </c>
      <c r="AE9" s="435">
        <v>0</v>
      </c>
      <c r="AG9" s="218">
        <v>1</v>
      </c>
      <c r="AH9" s="218">
        <v>-8.1300813008128338E-3</v>
      </c>
      <c r="AI9" s="218">
        <v>2.4691358024693012E-2</v>
      </c>
      <c r="AJ9" s="218">
        <v>4.065040650406633E-2</v>
      </c>
      <c r="AK9" s="218">
        <v>3.3023255813953628E-2</v>
      </c>
      <c r="AL9" s="218">
        <v>1.5873015873015539E-2</v>
      </c>
      <c r="AM9" s="218">
        <v>1</v>
      </c>
      <c r="AN9" s="218">
        <v>1.5503875968991929E-2</v>
      </c>
      <c r="AO9" s="218">
        <v>8.1300813008128338E-3</v>
      </c>
      <c r="AP9" s="218">
        <v>8.3333333333331858E-3</v>
      </c>
      <c r="AQ9" s="218">
        <v>2.4390243902438602E-2</v>
      </c>
      <c r="AR9" s="218">
        <v>1.9658119658119963E-2</v>
      </c>
      <c r="AS9" s="218">
        <v>1</v>
      </c>
      <c r="AT9" s="218">
        <v>0</v>
      </c>
      <c r="AU9" s="218">
        <v>0</v>
      </c>
      <c r="AV9" s="218">
        <v>0</v>
      </c>
      <c r="AW9" s="218">
        <v>8.3333333333316297E-3</v>
      </c>
      <c r="AX9" s="218">
        <v>8.5470085470099478E-3</v>
      </c>
    </row>
    <row r="10" spans="1:50">
      <c r="A10" s="429">
        <v>0.6772800925925927</v>
      </c>
      <c r="B10" s="218">
        <v>20.3</v>
      </c>
      <c r="C10" s="218" t="s">
        <v>314</v>
      </c>
      <c r="D10" s="218">
        <v>10.199999999999999</v>
      </c>
      <c r="E10" s="218" t="s">
        <v>315</v>
      </c>
      <c r="F10" s="218">
        <v>22.6</v>
      </c>
      <c r="G10" s="218" t="s">
        <v>316</v>
      </c>
      <c r="P10" s="218">
        <v>5</v>
      </c>
      <c r="Q10" s="218">
        <v>9.9999999999997868E-2</v>
      </c>
      <c r="R10" s="218">
        <v>2</v>
      </c>
      <c r="S10" s="218">
        <v>0</v>
      </c>
      <c r="T10" s="218">
        <v>0.69999999999999929</v>
      </c>
      <c r="U10" s="273">
        <v>1.5</v>
      </c>
      <c r="V10" s="218">
        <v>1.5</v>
      </c>
      <c r="W10" s="250">
        <v>2.5622855959980873E-2</v>
      </c>
      <c r="X10" s="250">
        <v>1.5452538631346563E-3</v>
      </c>
      <c r="Z10" s="218">
        <v>2</v>
      </c>
      <c r="AA10" s="435">
        <v>0</v>
      </c>
      <c r="AB10" s="435">
        <v>0</v>
      </c>
      <c r="AC10" s="435">
        <v>0</v>
      </c>
      <c r="AD10" s="435">
        <v>0</v>
      </c>
      <c r="AE10" s="435">
        <v>-1.6877637130801329E-2</v>
      </c>
      <c r="AG10" s="218">
        <v>2</v>
      </c>
      <c r="AH10" s="218">
        <v>-8.1300813008128338E-3</v>
      </c>
      <c r="AI10" s="218">
        <v>2.4691358024693012E-2</v>
      </c>
      <c r="AJ10" s="218">
        <v>4.065040650406633E-2</v>
      </c>
      <c r="AK10" s="218">
        <v>3.3023255813953628E-2</v>
      </c>
      <c r="AL10" s="218">
        <v>1.5873015873015539E-2</v>
      </c>
      <c r="AM10" s="218">
        <v>2</v>
      </c>
      <c r="AN10" s="218">
        <v>1.5503875968991929E-2</v>
      </c>
      <c r="AO10" s="218">
        <v>8.1300813008128338E-3</v>
      </c>
      <c r="AP10" s="218">
        <v>8.3333333333331858E-3</v>
      </c>
      <c r="AQ10" s="218">
        <v>2.4390243902438602E-2</v>
      </c>
      <c r="AR10" s="218">
        <v>1.9658119658119963E-2</v>
      </c>
      <c r="AS10" s="218">
        <v>2</v>
      </c>
      <c r="AT10" s="218">
        <v>0</v>
      </c>
      <c r="AU10" s="218">
        <v>0</v>
      </c>
      <c r="AV10" s="218">
        <v>0</v>
      </c>
      <c r="AW10" s="218">
        <v>8.3333333333316297E-3</v>
      </c>
      <c r="AX10" s="218">
        <v>8.5470085470099478E-3</v>
      </c>
    </row>
    <row r="11" spans="1:50">
      <c r="A11" s="429">
        <v>0.67729166666666663</v>
      </c>
      <c r="B11" s="218">
        <v>20.3</v>
      </c>
      <c r="C11" s="218" t="s">
        <v>314</v>
      </c>
      <c r="D11" s="218">
        <v>10.199999999999999</v>
      </c>
      <c r="E11" s="218" t="s">
        <v>315</v>
      </c>
      <c r="F11" s="218">
        <v>22.6</v>
      </c>
      <c r="G11" s="218" t="s">
        <v>316</v>
      </c>
      <c r="P11" s="218">
        <v>6</v>
      </c>
      <c r="Q11" s="218">
        <v>9.9999999999997868E-2</v>
      </c>
      <c r="R11" s="218">
        <v>-1</v>
      </c>
      <c r="S11" s="218">
        <v>0</v>
      </c>
      <c r="T11" s="218">
        <v>-0.30000000000000071</v>
      </c>
      <c r="U11" s="273">
        <v>1.5</v>
      </c>
      <c r="V11" s="218">
        <v>1.5</v>
      </c>
      <c r="W11" s="250">
        <v>2.5622855959980873E-2</v>
      </c>
      <c r="X11" s="250">
        <v>-6.6225165562914059E-4</v>
      </c>
      <c r="Z11" s="218">
        <v>3</v>
      </c>
      <c r="AA11" s="435">
        <v>1.4716703458425313E-3</v>
      </c>
      <c r="AB11" s="435">
        <v>0</v>
      </c>
      <c r="AC11" s="435">
        <v>0</v>
      </c>
      <c r="AD11" s="435">
        <v>0</v>
      </c>
      <c r="AE11" s="435">
        <v>-1.6877637130801329E-2</v>
      </c>
      <c r="AG11" s="218">
        <v>3</v>
      </c>
      <c r="AH11" s="218">
        <v>0</v>
      </c>
      <c r="AI11" s="218">
        <v>2.4691358024693012E-2</v>
      </c>
      <c r="AJ11" s="218">
        <v>4.065040650406633E-2</v>
      </c>
      <c r="AK11" s="218">
        <v>3.3023255813953628E-2</v>
      </c>
      <c r="AL11" s="218">
        <v>1.5873015873015539E-2</v>
      </c>
      <c r="AM11" s="218">
        <v>3</v>
      </c>
      <c r="AN11" s="218">
        <v>1.5503875968991929E-2</v>
      </c>
      <c r="AO11" s="218">
        <v>8.1300813008128338E-3</v>
      </c>
      <c r="AP11" s="218">
        <v>8.3333333333331858E-3</v>
      </c>
      <c r="AQ11" s="218">
        <v>2.4390243902438602E-2</v>
      </c>
      <c r="AR11" s="218">
        <v>1.9658119658119963E-2</v>
      </c>
      <c r="AS11" s="218">
        <v>3</v>
      </c>
      <c r="AT11" s="218">
        <v>0</v>
      </c>
      <c r="AU11" s="218">
        <v>0</v>
      </c>
      <c r="AV11" s="218">
        <v>8.3333333333331858E-3</v>
      </c>
      <c r="AW11" s="218">
        <v>8.3333333333316297E-3</v>
      </c>
      <c r="AX11" s="218">
        <v>0</v>
      </c>
    </row>
    <row r="12" spans="1:50">
      <c r="A12" s="429">
        <v>0.67730324074074078</v>
      </c>
      <c r="B12" s="218">
        <v>20.3</v>
      </c>
      <c r="C12" s="218" t="s">
        <v>314</v>
      </c>
      <c r="D12" s="218">
        <v>10.199999999999999</v>
      </c>
      <c r="E12" s="218" t="s">
        <v>315</v>
      </c>
      <c r="F12" s="218">
        <v>22.6</v>
      </c>
      <c r="G12" s="218" t="s">
        <v>316</v>
      </c>
      <c r="P12" s="218">
        <v>7</v>
      </c>
      <c r="Q12" s="218">
        <v>0</v>
      </c>
      <c r="R12" s="218">
        <v>2</v>
      </c>
      <c r="S12" s="218">
        <v>2</v>
      </c>
      <c r="T12" s="218">
        <v>1.3333333333333333</v>
      </c>
      <c r="U12" s="273">
        <v>1.5</v>
      </c>
      <c r="V12" s="218">
        <v>1.5</v>
      </c>
      <c r="W12" s="250">
        <v>2.5622855959980873E-2</v>
      </c>
      <c r="X12" s="250">
        <v>2.9433406916850625E-3</v>
      </c>
      <c r="Z12" s="218">
        <v>4</v>
      </c>
      <c r="AA12" s="435">
        <v>-1.4716703458425313E-3</v>
      </c>
      <c r="AB12" s="435">
        <v>0</v>
      </c>
      <c r="AC12" s="435">
        <v>0</v>
      </c>
      <c r="AD12" s="435">
        <v>0</v>
      </c>
      <c r="AE12" s="435">
        <v>-2.5316455696201993E-2</v>
      </c>
      <c r="AG12" s="218">
        <v>4</v>
      </c>
      <c r="AH12" s="218">
        <v>-8.1300813008128338E-3</v>
      </c>
      <c r="AI12" s="218">
        <v>2.4691358024693012E-2</v>
      </c>
      <c r="AJ12" s="218">
        <v>4.065040650406633E-2</v>
      </c>
      <c r="AK12" s="218">
        <v>3.3023255813953628E-2</v>
      </c>
      <c r="AL12" s="218">
        <v>1.5873015873015539E-2</v>
      </c>
      <c r="AM12" s="218">
        <v>4</v>
      </c>
      <c r="AN12" s="218">
        <v>1.5503875968991929E-2</v>
      </c>
      <c r="AO12" s="218">
        <v>8.1300813008128338E-3</v>
      </c>
      <c r="AP12" s="218">
        <v>8.3333333333331858E-3</v>
      </c>
      <c r="AQ12" s="218">
        <v>2.4390243902438602E-2</v>
      </c>
      <c r="AR12" s="218">
        <v>1.9658119658119963E-2</v>
      </c>
      <c r="AS12" s="218">
        <v>4</v>
      </c>
      <c r="AT12" s="218">
        <v>0</v>
      </c>
      <c r="AU12" s="218">
        <v>0</v>
      </c>
      <c r="AV12" s="218">
        <v>8.3333333333331858E-3</v>
      </c>
      <c r="AW12" s="218">
        <v>8.3333333333316297E-3</v>
      </c>
      <c r="AX12" s="218">
        <v>8.5470085470099478E-3</v>
      </c>
    </row>
    <row r="13" spans="1:50">
      <c r="A13" s="429">
        <v>0.67731481481481481</v>
      </c>
      <c r="B13" s="218">
        <v>20.3</v>
      </c>
      <c r="C13" s="218" t="s">
        <v>314</v>
      </c>
      <c r="D13" s="218">
        <v>10.199999999999999</v>
      </c>
      <c r="E13" s="218" t="s">
        <v>315</v>
      </c>
      <c r="F13" s="218">
        <v>22.7</v>
      </c>
      <c r="G13" s="218" t="s">
        <v>316</v>
      </c>
      <c r="P13" s="218">
        <v>8</v>
      </c>
      <c r="Q13" s="218">
        <v>0</v>
      </c>
      <c r="R13" s="218">
        <v>0</v>
      </c>
      <c r="S13" s="218">
        <v>0</v>
      </c>
      <c r="T13" s="218">
        <v>0</v>
      </c>
      <c r="U13" s="273">
        <v>1.5</v>
      </c>
      <c r="V13" s="218">
        <v>1.5</v>
      </c>
      <c r="W13" s="250">
        <v>2.5622855959980873E-2</v>
      </c>
      <c r="X13" s="250">
        <v>0</v>
      </c>
      <c r="Z13" s="218">
        <v>5</v>
      </c>
      <c r="AA13" s="435">
        <v>1.5452538631346563E-3</v>
      </c>
      <c r="AB13" s="435">
        <v>0</v>
      </c>
      <c r="AC13" s="435">
        <v>0</v>
      </c>
      <c r="AD13" s="435">
        <v>0</v>
      </c>
      <c r="AE13" s="435">
        <v>0</v>
      </c>
      <c r="AG13" s="218">
        <v>5</v>
      </c>
      <c r="AH13" s="218">
        <v>-8.1300813008128338E-3</v>
      </c>
      <c r="AI13" s="218">
        <v>2.4691358024693012E-2</v>
      </c>
      <c r="AJ13" s="218">
        <v>4.065040650406633E-2</v>
      </c>
      <c r="AK13" s="218">
        <v>3.3023255813953628E-2</v>
      </c>
      <c r="AL13" s="218">
        <v>1.5873015873015539E-2</v>
      </c>
      <c r="AM13" s="218">
        <v>5</v>
      </c>
      <c r="AN13" s="218">
        <v>1.5503875968991929E-2</v>
      </c>
      <c r="AO13" s="218">
        <v>8.1300813008128338E-3</v>
      </c>
      <c r="AP13" s="218">
        <v>8.3333333333331858E-3</v>
      </c>
      <c r="AQ13" s="218">
        <v>2.4390243902438602E-2</v>
      </c>
      <c r="AR13" s="218">
        <v>1.9658119658119963E-2</v>
      </c>
      <c r="AS13" s="218">
        <v>5</v>
      </c>
      <c r="AT13" s="218">
        <v>0</v>
      </c>
      <c r="AU13" s="218">
        <v>0</v>
      </c>
      <c r="AV13" s="218">
        <v>8.3333333333331858E-3</v>
      </c>
      <c r="AW13" s="218">
        <v>1.6666666666666222E-2</v>
      </c>
      <c r="AX13" s="218">
        <v>8.5470085470099478E-3</v>
      </c>
    </row>
    <row r="14" spans="1:50">
      <c r="A14" s="429">
        <v>0.67732638888888885</v>
      </c>
      <c r="B14" s="218">
        <v>20.3</v>
      </c>
      <c r="C14" s="218" t="s">
        <v>314</v>
      </c>
      <c r="D14" s="218">
        <v>10.199999999999999</v>
      </c>
      <c r="E14" s="218" t="s">
        <v>315</v>
      </c>
      <c r="F14" s="218">
        <v>22.7</v>
      </c>
      <c r="G14" s="218" t="s">
        <v>316</v>
      </c>
      <c r="P14" s="218">
        <v>9</v>
      </c>
      <c r="Q14" s="218">
        <v>9.9999999999997868E-2</v>
      </c>
      <c r="R14" s="218">
        <v>2</v>
      </c>
      <c r="S14" s="218">
        <v>0</v>
      </c>
      <c r="T14" s="218">
        <v>0.69999999999999929</v>
      </c>
      <c r="U14" s="273">
        <v>1.5</v>
      </c>
      <c r="V14" s="218">
        <v>1.5</v>
      </c>
      <c r="W14" s="250">
        <v>2.5622855959980873E-2</v>
      </c>
      <c r="X14" s="250">
        <v>1.5452538631346563E-3</v>
      </c>
      <c r="Z14" s="218">
        <v>6</v>
      </c>
      <c r="AA14" s="435">
        <v>-6.6225165562914059E-4</v>
      </c>
      <c r="AB14" s="435">
        <v>8.6805555555555551E-4</v>
      </c>
      <c r="AC14" s="435">
        <v>0</v>
      </c>
      <c r="AD14" s="435">
        <v>0</v>
      </c>
      <c r="AE14" s="435">
        <v>0</v>
      </c>
      <c r="AG14" s="218">
        <v>6</v>
      </c>
      <c r="AH14" s="218">
        <v>-1.6260162601625668E-2</v>
      </c>
      <c r="AI14" s="218">
        <v>2.4691358024693012E-2</v>
      </c>
      <c r="AJ14" s="218">
        <v>4.065040650406633E-2</v>
      </c>
      <c r="AK14" s="218">
        <v>3.3023255813953628E-2</v>
      </c>
      <c r="AL14" s="218">
        <v>7.9365079365078736E-2</v>
      </c>
      <c r="AM14" s="218">
        <v>6</v>
      </c>
      <c r="AN14" s="218">
        <v>1.5503875968991929E-2</v>
      </c>
      <c r="AO14" s="218">
        <v>8.1300813008128338E-3</v>
      </c>
      <c r="AP14" s="218">
        <v>8.3333333333331858E-3</v>
      </c>
      <c r="AQ14" s="218">
        <v>2.4390243902438602E-2</v>
      </c>
      <c r="AR14" s="218">
        <v>1.9658119658119963E-2</v>
      </c>
      <c r="AS14" s="218">
        <v>6</v>
      </c>
      <c r="AT14" s="218">
        <v>0</v>
      </c>
      <c r="AU14" s="218">
        <v>0</v>
      </c>
      <c r="AV14" s="218">
        <v>8.3333333333331858E-3</v>
      </c>
      <c r="AW14" s="218">
        <v>1.6666666666666222E-2</v>
      </c>
      <c r="AX14" s="218">
        <v>0</v>
      </c>
    </row>
    <row r="15" spans="1:50">
      <c r="A15" s="429">
        <v>0.67733796296296289</v>
      </c>
      <c r="B15" s="218">
        <v>20.3</v>
      </c>
      <c r="C15" s="218" t="s">
        <v>314</v>
      </c>
      <c r="D15" s="218">
        <v>10.199999999999999</v>
      </c>
      <c r="E15" s="218" t="s">
        <v>315</v>
      </c>
      <c r="F15" s="218">
        <v>22.7</v>
      </c>
      <c r="G15" s="218" t="s">
        <v>316</v>
      </c>
      <c r="P15" s="218">
        <v>10</v>
      </c>
      <c r="Q15" s="218">
        <v>0</v>
      </c>
      <c r="R15" s="218">
        <v>0</v>
      </c>
      <c r="S15" s="218">
        <v>0</v>
      </c>
      <c r="T15" s="218">
        <v>0</v>
      </c>
      <c r="U15" s="273">
        <v>1.5</v>
      </c>
      <c r="V15" s="218">
        <v>1.5</v>
      </c>
      <c r="W15" s="250">
        <v>2.5622855959980873E-2</v>
      </c>
      <c r="X15" s="250">
        <v>0</v>
      </c>
      <c r="Z15" s="218">
        <v>7</v>
      </c>
      <c r="AA15" s="435">
        <v>2.9433406916850625E-3</v>
      </c>
      <c r="AB15" s="435">
        <v>1.736111111111111E-3</v>
      </c>
      <c r="AC15" s="435">
        <v>0</v>
      </c>
      <c r="AD15" s="435">
        <v>0</v>
      </c>
      <c r="AE15" s="435">
        <v>-8.4388185654006645E-3</v>
      </c>
      <c r="AG15" s="218">
        <v>7</v>
      </c>
      <c r="AH15" s="218">
        <v>-8.1300813008128338E-3</v>
      </c>
      <c r="AI15" s="218">
        <v>2.4691358024693012E-2</v>
      </c>
      <c r="AJ15" s="218">
        <v>4.065040650406633E-2</v>
      </c>
      <c r="AK15" s="218">
        <v>3.3023255813953628E-2</v>
      </c>
      <c r="AL15" s="218">
        <v>0.1984126984126981</v>
      </c>
      <c r="AM15" s="218">
        <v>7</v>
      </c>
      <c r="AN15" s="218">
        <v>1.5503875968991929E-2</v>
      </c>
      <c r="AO15" s="218">
        <v>8.1300813008128338E-3</v>
      </c>
      <c r="AP15" s="218">
        <v>8.3333333333331858E-3</v>
      </c>
      <c r="AQ15" s="218">
        <v>2.4390243902438602E-2</v>
      </c>
      <c r="AR15" s="218">
        <v>1.9658119658119963E-2</v>
      </c>
      <c r="AS15" s="218">
        <v>7</v>
      </c>
      <c r="AT15" s="218">
        <v>0</v>
      </c>
      <c r="AU15" s="218">
        <v>0</v>
      </c>
      <c r="AV15" s="218">
        <v>1.6666666666666372E-2</v>
      </c>
      <c r="AW15" s="218">
        <v>3.3333333333332445E-2</v>
      </c>
      <c r="AX15" s="218">
        <v>8.5470085470099478E-3</v>
      </c>
    </row>
    <row r="16" spans="1:50">
      <c r="A16" s="429">
        <v>0.67734953703703704</v>
      </c>
      <c r="B16" s="218">
        <v>20.3</v>
      </c>
      <c r="C16" s="218" t="s">
        <v>314</v>
      </c>
      <c r="D16" s="218">
        <v>10.199999999999999</v>
      </c>
      <c r="E16" s="218" t="s">
        <v>315</v>
      </c>
      <c r="F16" s="218">
        <v>22.7</v>
      </c>
      <c r="G16" s="218" t="s">
        <v>316</v>
      </c>
      <c r="P16" s="218">
        <v>11</v>
      </c>
      <c r="Q16" s="218">
        <v>0</v>
      </c>
      <c r="R16" s="218">
        <v>2</v>
      </c>
      <c r="S16" s="218">
        <v>0</v>
      </c>
      <c r="T16" s="218">
        <v>0.66666666666666663</v>
      </c>
      <c r="U16" s="273">
        <v>1.5</v>
      </c>
      <c r="V16" s="218">
        <v>1.5</v>
      </c>
      <c r="W16" s="250">
        <v>2.5622855959980873E-2</v>
      </c>
      <c r="X16" s="250">
        <v>1.4716703458425313E-3</v>
      </c>
      <c r="Z16" s="218">
        <v>8</v>
      </c>
      <c r="AA16" s="435">
        <v>0</v>
      </c>
      <c r="AB16" s="435">
        <v>1.1284722222222423E-2</v>
      </c>
      <c r="AC16" s="435">
        <v>0</v>
      </c>
      <c r="AD16" s="435">
        <v>0</v>
      </c>
      <c r="AE16" s="435">
        <v>-8.4388185654006645E-3</v>
      </c>
      <c r="AG16" s="218">
        <v>8</v>
      </c>
      <c r="AH16" s="218">
        <v>-8.1300813008128338E-3</v>
      </c>
      <c r="AI16" s="218">
        <v>2.4691358024693012E-2</v>
      </c>
      <c r="AJ16" s="218">
        <v>4.065040650406633E-2</v>
      </c>
      <c r="AK16" s="218">
        <v>0.20155038759689919</v>
      </c>
      <c r="AL16" s="218">
        <v>0.32539682539682524</v>
      </c>
      <c r="AM16" s="218">
        <v>8</v>
      </c>
      <c r="AN16" s="218">
        <v>1.5503875968991929E-2</v>
      </c>
      <c r="AO16" s="218">
        <v>8.1300813008128338E-3</v>
      </c>
      <c r="AP16" s="218">
        <v>8.3333333333331858E-3</v>
      </c>
      <c r="AQ16" s="218">
        <v>0.13008130081300731</v>
      </c>
      <c r="AR16" s="218">
        <v>0.30769230769230677</v>
      </c>
      <c r="AS16" s="218">
        <v>8</v>
      </c>
      <c r="AT16" s="218">
        <v>0</v>
      </c>
      <c r="AU16" s="218">
        <v>0</v>
      </c>
      <c r="AV16" s="218">
        <v>1.6666666666666372E-2</v>
      </c>
      <c r="AW16" s="218">
        <v>4.9999999999998664E-2</v>
      </c>
      <c r="AX16" s="218">
        <v>3.418803418803372E-2</v>
      </c>
    </row>
    <row r="17" spans="1:50">
      <c r="A17" s="429">
        <v>0.67736111111111119</v>
      </c>
      <c r="B17" s="218">
        <v>20.3</v>
      </c>
      <c r="C17" s="218" t="s">
        <v>314</v>
      </c>
      <c r="D17" s="218">
        <v>10.199999999999999</v>
      </c>
      <c r="E17" s="218" t="s">
        <v>315</v>
      </c>
      <c r="F17" s="218">
        <v>22.7</v>
      </c>
      <c r="G17" s="218" t="s">
        <v>316</v>
      </c>
      <c r="P17" s="218">
        <v>12</v>
      </c>
      <c r="Q17" s="218">
        <v>9.9999999999997868E-2</v>
      </c>
      <c r="R17" s="218">
        <v>0</v>
      </c>
      <c r="S17" s="218">
        <v>0</v>
      </c>
      <c r="T17" s="218">
        <v>3.3333333333332625E-2</v>
      </c>
      <c r="U17" s="273">
        <v>1.5</v>
      </c>
      <c r="V17" s="218">
        <v>1.5</v>
      </c>
      <c r="W17" s="250">
        <v>2.5622855959980873E-2</v>
      </c>
      <c r="X17" s="250">
        <v>7.3583517292125005E-5</v>
      </c>
      <c r="Z17" s="218">
        <v>9</v>
      </c>
      <c r="AA17" s="435">
        <v>1.5452538631346563E-3</v>
      </c>
      <c r="AB17" s="435">
        <v>1.2152777777777977E-2</v>
      </c>
      <c r="AC17" s="435">
        <v>0</v>
      </c>
      <c r="AD17" s="435">
        <v>0</v>
      </c>
      <c r="AE17" s="435">
        <v>-8.4388185654006645E-3</v>
      </c>
      <c r="AG17" s="218">
        <v>9</v>
      </c>
      <c r="AH17" s="218">
        <v>0</v>
      </c>
      <c r="AI17" s="218">
        <v>2.4691358024693012E-2</v>
      </c>
      <c r="AJ17" s="218">
        <v>0.105691056910569</v>
      </c>
      <c r="AK17" s="218">
        <v>0.31782945736434143</v>
      </c>
      <c r="AL17" s="218">
        <v>0.476190476190476</v>
      </c>
      <c r="AM17" s="218">
        <v>9</v>
      </c>
      <c r="AN17" s="218">
        <v>1.5503875968991929E-2</v>
      </c>
      <c r="AO17" s="218">
        <v>8.1300813008128338E-3</v>
      </c>
      <c r="AP17" s="218">
        <v>4.1666666666667407E-2</v>
      </c>
      <c r="AQ17" s="218">
        <v>0.30894308943089477</v>
      </c>
      <c r="AR17" s="218">
        <v>0.49572649572649508</v>
      </c>
      <c r="AS17" s="218">
        <v>9</v>
      </c>
      <c r="AT17" s="218">
        <v>1.6260162601628554E-2</v>
      </c>
      <c r="AU17" s="218">
        <v>0</v>
      </c>
      <c r="AV17" s="218">
        <v>8.3333333333331858E-3</v>
      </c>
      <c r="AW17" s="218">
        <v>6.6666666666664889E-2</v>
      </c>
      <c r="AX17" s="218">
        <v>5.9829059829057493E-2</v>
      </c>
    </row>
    <row r="18" spans="1:50">
      <c r="A18" s="429">
        <v>0.67737268518518512</v>
      </c>
      <c r="B18" s="218">
        <v>20.3</v>
      </c>
      <c r="C18" s="218" t="s">
        <v>314</v>
      </c>
      <c r="D18" s="218">
        <v>10.199999999999999</v>
      </c>
      <c r="E18" s="218" t="s">
        <v>315</v>
      </c>
      <c r="F18" s="218">
        <v>22.7</v>
      </c>
      <c r="G18" s="218" t="s">
        <v>316</v>
      </c>
      <c r="P18" s="218">
        <v>13</v>
      </c>
      <c r="Q18" s="218">
        <v>0</v>
      </c>
      <c r="R18" s="218">
        <v>2</v>
      </c>
      <c r="S18" s="218">
        <v>0</v>
      </c>
      <c r="T18" s="218">
        <v>0.66666666666666663</v>
      </c>
      <c r="U18" s="273">
        <v>1.5</v>
      </c>
      <c r="V18" s="218">
        <v>1.5</v>
      </c>
      <c r="W18" s="250">
        <v>2.5622855959980873E-2</v>
      </c>
      <c r="X18" s="250">
        <v>1.4716703458425313E-3</v>
      </c>
      <c r="Z18" s="218">
        <v>10</v>
      </c>
      <c r="AA18" s="435">
        <v>0</v>
      </c>
      <c r="AB18" s="435">
        <v>1.3888888888889089E-2</v>
      </c>
      <c r="AC18" s="435">
        <v>0</v>
      </c>
      <c r="AD18" s="435">
        <v>0</v>
      </c>
      <c r="AE18" s="435">
        <v>0</v>
      </c>
      <c r="AG18" s="218">
        <v>10</v>
      </c>
      <c r="AH18" s="218">
        <v>0</v>
      </c>
      <c r="AI18" s="218">
        <v>4.1152263374486894E-2</v>
      </c>
      <c r="AJ18" s="218">
        <v>0.20325203252032514</v>
      </c>
      <c r="AK18" s="218">
        <v>0.42635658914728691</v>
      </c>
      <c r="AL18" s="218">
        <v>0.58730158730158721</v>
      </c>
      <c r="AM18" s="218">
        <v>10</v>
      </c>
      <c r="AN18" s="218">
        <v>1.5503875968991929E-2</v>
      </c>
      <c r="AO18" s="218">
        <v>8.1300813008128338E-3</v>
      </c>
      <c r="AP18" s="218">
        <v>0.15833333333333199</v>
      </c>
      <c r="AQ18" s="218">
        <v>0.50406504065040791</v>
      </c>
      <c r="AR18" s="218">
        <v>0.64102564102564008</v>
      </c>
      <c r="AS18" s="218">
        <v>10</v>
      </c>
      <c r="AT18" s="218">
        <v>8.1300813008142771E-3</v>
      </c>
      <c r="AU18" s="218">
        <v>0</v>
      </c>
      <c r="AV18" s="218">
        <v>1.6666666666666372E-2</v>
      </c>
      <c r="AW18" s="218">
        <v>0.10833333333333192</v>
      </c>
      <c r="AX18" s="218">
        <v>0.1880341880341885</v>
      </c>
    </row>
    <row r="19" spans="1:50">
      <c r="A19" s="429">
        <v>0.67738425925925927</v>
      </c>
      <c r="B19" s="218">
        <v>20.3</v>
      </c>
      <c r="C19" s="218" t="s">
        <v>314</v>
      </c>
      <c r="D19" s="218">
        <v>10.199999999999999</v>
      </c>
      <c r="E19" s="218" t="s">
        <v>315</v>
      </c>
      <c r="F19" s="218">
        <v>22.7</v>
      </c>
      <c r="G19" s="218" t="s">
        <v>316</v>
      </c>
      <c r="P19" s="218">
        <v>14</v>
      </c>
      <c r="Q19" s="218">
        <v>0</v>
      </c>
      <c r="R19" s="218">
        <v>1</v>
      </c>
      <c r="S19" s="218">
        <v>0</v>
      </c>
      <c r="T19" s="218">
        <v>0.33333333333333331</v>
      </c>
      <c r="U19" s="273">
        <v>1.5</v>
      </c>
      <c r="V19" s="218">
        <v>1.5</v>
      </c>
      <c r="W19" s="250">
        <v>2.5622855959980873E-2</v>
      </c>
      <c r="X19" s="250">
        <v>7.3583517292126564E-4</v>
      </c>
      <c r="Z19" s="218">
        <v>11</v>
      </c>
      <c r="AA19" s="435">
        <v>1.4716703458425313E-3</v>
      </c>
      <c r="AB19" s="435">
        <v>1.5625000000000201E-2</v>
      </c>
      <c r="AC19" s="435">
        <v>-7.575757575757752E-3</v>
      </c>
      <c r="AD19" s="435">
        <v>0</v>
      </c>
      <c r="AE19" s="435">
        <v>0</v>
      </c>
      <c r="AG19" s="218">
        <v>11</v>
      </c>
      <c r="AH19" s="218">
        <v>0</v>
      </c>
      <c r="AI19" s="218">
        <v>4.938271604938383E-2</v>
      </c>
      <c r="AJ19" s="218">
        <v>0.28455284552845561</v>
      </c>
      <c r="AK19" s="218">
        <v>0.53488372093023251</v>
      </c>
      <c r="AL19" s="218">
        <v>0.67460317460317398</v>
      </c>
      <c r="AM19" s="218">
        <v>11</v>
      </c>
      <c r="AN19" s="218">
        <v>1.5503875968991929E-2</v>
      </c>
      <c r="AO19" s="218">
        <v>2.4390243902438498E-2</v>
      </c>
      <c r="AP19" s="218">
        <v>0.32500000000000018</v>
      </c>
      <c r="AQ19" s="218">
        <v>0.63414634146341664</v>
      </c>
      <c r="AR19" s="218">
        <v>0.72649572649572514</v>
      </c>
      <c r="AS19" s="218">
        <v>11</v>
      </c>
      <c r="AT19" s="218">
        <v>0</v>
      </c>
      <c r="AU19" s="218">
        <v>0</v>
      </c>
      <c r="AV19" s="218">
        <v>4.1666666666665929E-2</v>
      </c>
      <c r="AW19" s="218">
        <v>0.15000000000000191</v>
      </c>
      <c r="AX19" s="218">
        <v>0.2393162393162421</v>
      </c>
    </row>
    <row r="20" spans="1:50">
      <c r="A20" s="429">
        <v>0.67739583333333331</v>
      </c>
      <c r="B20" s="218">
        <v>20.3</v>
      </c>
      <c r="C20" s="218" t="s">
        <v>314</v>
      </c>
      <c r="D20" s="218">
        <v>10.199999999999999</v>
      </c>
      <c r="E20" s="218" t="s">
        <v>315</v>
      </c>
      <c r="F20" s="218">
        <v>22.7</v>
      </c>
      <c r="G20" s="218" t="s">
        <v>316</v>
      </c>
      <c r="P20" s="218">
        <v>15</v>
      </c>
      <c r="Q20" s="218">
        <v>0</v>
      </c>
      <c r="R20" s="218">
        <v>2</v>
      </c>
      <c r="S20" s="218">
        <v>1</v>
      </c>
      <c r="T20" s="218">
        <v>1</v>
      </c>
      <c r="U20" s="273">
        <v>1.5</v>
      </c>
      <c r="V20" s="218">
        <v>1.5</v>
      </c>
      <c r="W20" s="250">
        <v>2.5622855959980873E-2</v>
      </c>
      <c r="X20" s="250">
        <v>2.2075055187637969E-3</v>
      </c>
      <c r="Z20" s="218">
        <v>12</v>
      </c>
      <c r="AA20" s="435">
        <v>7.3583517292125005E-5</v>
      </c>
      <c r="AB20" s="435">
        <v>2.5173611111111129E-2</v>
      </c>
      <c r="AC20" s="435">
        <v>0</v>
      </c>
      <c r="AD20" s="435">
        <v>0</v>
      </c>
      <c r="AE20" s="435">
        <v>-8.4388185654006645E-3</v>
      </c>
      <c r="AG20" s="218">
        <v>12</v>
      </c>
      <c r="AH20" s="218">
        <v>-8.1300813008128338E-3</v>
      </c>
      <c r="AI20" s="218">
        <v>7.4074074074074653E-2</v>
      </c>
      <c r="AJ20" s="218">
        <v>0.37398373983739897</v>
      </c>
      <c r="AK20" s="218">
        <v>0.61240310077519433</v>
      </c>
      <c r="AL20" s="218">
        <v>0.73809523809523836</v>
      </c>
      <c r="AM20" s="218">
        <v>12</v>
      </c>
      <c r="AN20" s="218">
        <v>1.5503875968991929E-2</v>
      </c>
      <c r="AO20" s="218">
        <v>5.6910569105691269E-2</v>
      </c>
      <c r="AP20" s="218">
        <v>0.49166666666666831</v>
      </c>
      <c r="AQ20" s="218">
        <v>0.73170731707317394</v>
      </c>
      <c r="AR20" s="218">
        <v>0.81196581196581175</v>
      </c>
      <c r="AS20" s="218">
        <v>12</v>
      </c>
      <c r="AT20" s="218">
        <v>8.1300813008142771E-3</v>
      </c>
      <c r="AU20" s="218">
        <v>0</v>
      </c>
      <c r="AV20" s="218">
        <v>6.6666666666665486E-2</v>
      </c>
      <c r="AW20" s="218">
        <v>0.20833333333333517</v>
      </c>
      <c r="AX20" s="218">
        <v>0.27350427350427581</v>
      </c>
    </row>
    <row r="21" spans="1:50">
      <c r="A21" s="429">
        <v>0.67740740740740746</v>
      </c>
      <c r="B21" s="218">
        <v>20.3</v>
      </c>
      <c r="C21" s="218" t="s">
        <v>314</v>
      </c>
      <c r="D21" s="218">
        <v>10.199999999999999</v>
      </c>
      <c r="E21" s="218" t="s">
        <v>315</v>
      </c>
      <c r="F21" s="218">
        <v>22.7</v>
      </c>
      <c r="G21" s="218" t="s">
        <v>316</v>
      </c>
      <c r="P21" s="218">
        <v>16</v>
      </c>
      <c r="Q21" s="218">
        <v>0</v>
      </c>
      <c r="R21" s="218">
        <v>1</v>
      </c>
      <c r="S21" s="218">
        <v>1</v>
      </c>
      <c r="T21" s="218">
        <v>0.66666666666666663</v>
      </c>
      <c r="U21" s="273">
        <v>1.5</v>
      </c>
      <c r="V21" s="218">
        <v>1.5</v>
      </c>
      <c r="W21" s="250">
        <v>2.5622855959980873E-2</v>
      </c>
      <c r="X21" s="250">
        <v>1.4716703458425313E-3</v>
      </c>
      <c r="Z21" s="218">
        <v>13</v>
      </c>
      <c r="AA21" s="435">
        <v>1.4716703458425313E-3</v>
      </c>
      <c r="AB21" s="435">
        <v>1.736111111111131E-2</v>
      </c>
      <c r="AC21" s="435">
        <v>0</v>
      </c>
      <c r="AD21" s="435">
        <v>0</v>
      </c>
      <c r="AE21" s="435">
        <v>-1.6877637130801329E-2</v>
      </c>
      <c r="AG21" s="218">
        <v>13</v>
      </c>
      <c r="AH21" s="218">
        <v>-8.1300813008128338E-3</v>
      </c>
      <c r="AI21" s="218">
        <v>0.11522633744855934</v>
      </c>
      <c r="AJ21" s="218">
        <v>0.47154471544715515</v>
      </c>
      <c r="AK21" s="218">
        <v>0.68217054263565924</v>
      </c>
      <c r="AL21" s="218">
        <v>0.80952380952380898</v>
      </c>
      <c r="AM21" s="218">
        <v>13</v>
      </c>
      <c r="AN21" s="218">
        <v>1.5503875968991929E-2</v>
      </c>
      <c r="AO21" s="218">
        <v>0.12195121951219393</v>
      </c>
      <c r="AP21" s="218">
        <v>0.64166666666666861</v>
      </c>
      <c r="AQ21" s="218">
        <v>0.78861788617886408</v>
      </c>
      <c r="AR21" s="218">
        <v>0.85470085470085344</v>
      </c>
      <c r="AS21" s="218">
        <v>13</v>
      </c>
      <c r="AT21" s="218">
        <v>8.1300813008142771E-3</v>
      </c>
      <c r="AU21" s="218">
        <v>0</v>
      </c>
      <c r="AV21" s="218">
        <v>9.9999999999998229E-2</v>
      </c>
      <c r="AW21" s="218">
        <v>0.25833333333333086</v>
      </c>
      <c r="AX21" s="218">
        <v>0.41025641025641374</v>
      </c>
    </row>
    <row r="22" spans="1:50">
      <c r="A22" s="429">
        <v>0.67741898148148139</v>
      </c>
      <c r="B22" s="218">
        <v>20.3</v>
      </c>
      <c r="C22" s="218" t="s">
        <v>314</v>
      </c>
      <c r="D22" s="218">
        <v>10.199999999999999</v>
      </c>
      <c r="E22" s="218" t="s">
        <v>315</v>
      </c>
      <c r="F22" s="218">
        <v>22.7</v>
      </c>
      <c r="G22" s="218" t="s">
        <v>316</v>
      </c>
      <c r="I22" s="501" t="s">
        <v>346</v>
      </c>
      <c r="J22" s="502" t="s">
        <v>345</v>
      </c>
      <c r="M22" s="218" t="s">
        <v>294</v>
      </c>
      <c r="P22" s="218">
        <v>17</v>
      </c>
      <c r="Q22" s="218">
        <v>0</v>
      </c>
      <c r="R22" s="218">
        <v>2</v>
      </c>
      <c r="S22" s="218">
        <v>1</v>
      </c>
      <c r="T22" s="218">
        <v>1</v>
      </c>
      <c r="U22" s="273">
        <v>1.5</v>
      </c>
      <c r="V22" s="218">
        <v>1.5</v>
      </c>
      <c r="W22" s="250">
        <v>2.5622855959980873E-2</v>
      </c>
      <c r="X22" s="250">
        <v>2.2075055187637969E-3</v>
      </c>
      <c r="Z22" s="218">
        <v>14</v>
      </c>
      <c r="AA22" s="435">
        <v>7.3583517292126564E-4</v>
      </c>
      <c r="AB22" s="435">
        <v>1.9965277777777977E-2</v>
      </c>
      <c r="AC22" s="435">
        <v>0</v>
      </c>
      <c r="AD22" s="435">
        <v>0</v>
      </c>
      <c r="AE22" s="435">
        <v>-8.4388185654006645E-3</v>
      </c>
      <c r="AG22" s="218">
        <v>14</v>
      </c>
      <c r="AH22" s="218">
        <v>-2.4390243902438498E-2</v>
      </c>
      <c r="AI22" s="218">
        <v>0.17283950617284011</v>
      </c>
      <c r="AJ22" s="218">
        <v>0.55284552845528567</v>
      </c>
      <c r="AK22" s="218">
        <v>0.73643410852713165</v>
      </c>
      <c r="AL22" s="218">
        <v>0.84920634920634919</v>
      </c>
      <c r="AM22" s="218">
        <v>14</v>
      </c>
      <c r="AN22" s="218">
        <v>1.5503875968991929E-2</v>
      </c>
      <c r="AO22" s="218">
        <v>0.21951219512195227</v>
      </c>
      <c r="AP22" s="218">
        <v>0.75000000000000155</v>
      </c>
      <c r="AQ22" s="218">
        <v>0.83739837398374262</v>
      </c>
      <c r="AR22" s="218">
        <v>0.9059829059829051</v>
      </c>
      <c r="AS22" s="218">
        <v>14</v>
      </c>
      <c r="AT22" s="218">
        <v>0</v>
      </c>
      <c r="AU22" s="218">
        <v>8.1300813008128338E-3</v>
      </c>
      <c r="AV22" s="218">
        <v>0.13333333333333097</v>
      </c>
      <c r="AW22" s="218">
        <v>0.32500000000000168</v>
      </c>
      <c r="AX22" s="218">
        <v>0.46153846153846123</v>
      </c>
    </row>
    <row r="23" spans="1:50">
      <c r="A23" s="429">
        <v>0.67743055555555554</v>
      </c>
      <c r="B23" s="218">
        <v>20.3</v>
      </c>
      <c r="C23" s="218" t="s">
        <v>314</v>
      </c>
      <c r="D23" s="218">
        <v>10.199999999999999</v>
      </c>
      <c r="E23" s="218" t="s">
        <v>315</v>
      </c>
      <c r="F23" s="218">
        <v>22.7</v>
      </c>
      <c r="G23" s="218" t="s">
        <v>316</v>
      </c>
      <c r="H23" s="218" t="s">
        <v>344</v>
      </c>
      <c r="I23" s="501"/>
      <c r="J23" s="502"/>
      <c r="M23" s="218" t="s">
        <v>245</v>
      </c>
      <c r="P23" s="218">
        <v>18</v>
      </c>
      <c r="Q23" s="218">
        <v>0</v>
      </c>
      <c r="R23" s="218">
        <v>2</v>
      </c>
      <c r="S23" s="218">
        <v>1</v>
      </c>
      <c r="T23" s="218">
        <v>1</v>
      </c>
      <c r="U23" s="273">
        <v>1.5</v>
      </c>
      <c r="V23" s="218">
        <v>1.5</v>
      </c>
      <c r="W23" s="250">
        <v>2.5622855959980873E-2</v>
      </c>
      <c r="X23" s="250">
        <v>2.2075055187637969E-3</v>
      </c>
      <c r="Z23" s="218">
        <v>15</v>
      </c>
      <c r="AA23" s="435">
        <v>2.2075055187637969E-3</v>
      </c>
      <c r="AB23" s="435">
        <v>3.1250000000000014E-2</v>
      </c>
      <c r="AC23" s="435">
        <v>-7.575757575757752E-3</v>
      </c>
      <c r="AD23" s="435">
        <v>0</v>
      </c>
      <c r="AE23" s="435">
        <v>0</v>
      </c>
      <c r="AG23" s="218">
        <v>15</v>
      </c>
      <c r="AH23" s="218">
        <v>8.1300813008128338E-3</v>
      </c>
      <c r="AI23" s="218">
        <v>0.23045267489712015</v>
      </c>
      <c r="AJ23" s="218">
        <v>0.61788617886178898</v>
      </c>
      <c r="AK23" s="218">
        <v>0.79069767441860495</v>
      </c>
      <c r="AL23" s="218">
        <v>0.89682539682539641</v>
      </c>
      <c r="AM23" s="218">
        <v>15</v>
      </c>
      <c r="AN23" s="218">
        <v>1.5503875968991929E-2</v>
      </c>
      <c r="AO23" s="218">
        <v>0.3252032520325191</v>
      </c>
      <c r="AP23" s="218">
        <v>0.83333333333333626</v>
      </c>
      <c r="AQ23" s="218">
        <v>0.87804878048780699</v>
      </c>
      <c r="AR23" s="218">
        <v>0.92307692307692191</v>
      </c>
      <c r="AS23" s="218">
        <v>15</v>
      </c>
      <c r="AT23" s="218">
        <v>0</v>
      </c>
      <c r="AU23" s="218">
        <v>2.4390243902438498E-2</v>
      </c>
      <c r="AV23" s="218">
        <v>0.17499999999999838</v>
      </c>
      <c r="AW23" s="218">
        <v>0.38333333333333197</v>
      </c>
      <c r="AX23" s="218">
        <v>0.49572649572649807</v>
      </c>
    </row>
    <row r="24" spans="1:50">
      <c r="A24" s="429">
        <v>0.67744212962962969</v>
      </c>
      <c r="B24" s="218">
        <v>20.3</v>
      </c>
      <c r="C24" s="218" t="s">
        <v>314</v>
      </c>
      <c r="D24" s="218">
        <v>10.199999999999999</v>
      </c>
      <c r="E24" s="218" t="s">
        <v>315</v>
      </c>
      <c r="F24" s="218">
        <v>22.7</v>
      </c>
      <c r="G24" s="218" t="s">
        <v>316</v>
      </c>
      <c r="H24" s="218">
        <v>1</v>
      </c>
      <c r="I24" s="224">
        <v>575.5</v>
      </c>
      <c r="J24" s="224">
        <f>(I24-$I$27)^2</f>
        <v>6972.25</v>
      </c>
      <c r="M24" s="218" t="s">
        <v>252</v>
      </c>
      <c r="P24" s="218">
        <v>19</v>
      </c>
      <c r="Q24" s="218">
        <v>0</v>
      </c>
      <c r="R24" s="218">
        <v>2</v>
      </c>
      <c r="S24" s="218">
        <v>1</v>
      </c>
      <c r="T24" s="218">
        <v>1</v>
      </c>
      <c r="U24" s="273">
        <v>1.5</v>
      </c>
      <c r="V24" s="218">
        <v>1.5</v>
      </c>
      <c r="W24" s="250">
        <v>2.5622855959980873E-2</v>
      </c>
      <c r="X24" s="250">
        <v>2.2075055187637969E-3</v>
      </c>
      <c r="Z24" s="218">
        <v>16</v>
      </c>
      <c r="AA24" s="435">
        <v>1.4716703458425313E-3</v>
      </c>
      <c r="AB24" s="435">
        <v>3.4722222222222231E-2</v>
      </c>
      <c r="AC24" s="435">
        <v>-7.5757575757574155E-3</v>
      </c>
      <c r="AD24" s="435">
        <v>0</v>
      </c>
      <c r="AE24" s="435">
        <v>-8.4388185654006645E-3</v>
      </c>
      <c r="AG24" s="218">
        <v>16</v>
      </c>
      <c r="AH24" s="218">
        <v>1.6260162601625668E-2</v>
      </c>
      <c r="AI24" s="218">
        <v>0.2798353909465025</v>
      </c>
      <c r="AJ24" s="218">
        <v>0.6910569105691059</v>
      </c>
      <c r="AK24" s="218">
        <v>0.83720930232558211</v>
      </c>
      <c r="AL24" s="218">
        <v>0.92857142857142894</v>
      </c>
      <c r="AM24" s="218">
        <v>16</v>
      </c>
      <c r="AN24" s="218">
        <v>1.5503875968991929E-2</v>
      </c>
      <c r="AO24" s="218">
        <v>0.44715447154471588</v>
      </c>
      <c r="AP24" s="218">
        <v>0.87500000000000222</v>
      </c>
      <c r="AQ24" s="218">
        <v>0.89430894308943276</v>
      </c>
      <c r="AR24" s="218">
        <v>0.94871794871794835</v>
      </c>
      <c r="AS24" s="218">
        <v>16</v>
      </c>
      <c r="AT24" s="218">
        <v>1.6260162601628554E-2</v>
      </c>
      <c r="AU24" s="218">
        <v>4.0650406504064165E-2</v>
      </c>
      <c r="AV24" s="218">
        <v>0.23333333333333361</v>
      </c>
      <c r="AW24" s="218">
        <v>0.43333333333333068</v>
      </c>
      <c r="AX24" s="218">
        <v>0.62393162393162593</v>
      </c>
    </row>
    <row r="25" spans="1:50" ht="15" customHeight="1">
      <c r="A25" s="429">
        <v>0.67745370370370372</v>
      </c>
      <c r="B25" s="218">
        <v>20.3</v>
      </c>
      <c r="C25" s="218" t="s">
        <v>314</v>
      </c>
      <c r="D25" s="218">
        <v>10.199999999999999</v>
      </c>
      <c r="E25" s="218" t="s">
        <v>315</v>
      </c>
      <c r="F25" s="218">
        <v>22.7</v>
      </c>
      <c r="G25" s="218" t="s">
        <v>316</v>
      </c>
      <c r="H25" s="218">
        <v>2</v>
      </c>
      <c r="I25" s="224">
        <v>561</v>
      </c>
      <c r="J25" s="224">
        <f>(I25-$I$27)^2</f>
        <v>9604</v>
      </c>
      <c r="M25" s="218" t="s">
        <v>254</v>
      </c>
      <c r="P25" s="218">
        <v>20</v>
      </c>
      <c r="Q25" s="218">
        <v>0</v>
      </c>
      <c r="R25" s="218">
        <v>2</v>
      </c>
      <c r="S25" s="218">
        <v>1</v>
      </c>
      <c r="T25" s="218">
        <v>1</v>
      </c>
      <c r="U25" s="273">
        <v>1.5</v>
      </c>
      <c r="V25" s="218">
        <v>1.5</v>
      </c>
      <c r="W25" s="250">
        <v>2.5622855959980873E-2</v>
      </c>
      <c r="X25" s="250">
        <v>2.2075055187637969E-3</v>
      </c>
      <c r="Z25" s="218">
        <v>17</v>
      </c>
      <c r="AA25" s="435">
        <v>2.2075055187637969E-3</v>
      </c>
      <c r="AB25" s="435">
        <v>4.4270833333333155E-2</v>
      </c>
      <c r="AC25" s="435">
        <v>0</v>
      </c>
      <c r="AD25" s="435">
        <v>0</v>
      </c>
      <c r="AE25" s="435">
        <v>0</v>
      </c>
      <c r="AG25" s="218">
        <v>17</v>
      </c>
      <c r="AH25" s="218">
        <v>2.4390243902438498E-2</v>
      </c>
      <c r="AI25" s="218">
        <v>0.32098765432098719</v>
      </c>
      <c r="AJ25" s="218">
        <v>0.74796747967479793</v>
      </c>
      <c r="AK25" s="218">
        <v>0.86046511627906996</v>
      </c>
      <c r="AL25" s="218">
        <v>0.95238095238095222</v>
      </c>
      <c r="AM25" s="218">
        <v>17</v>
      </c>
      <c r="AN25" s="218">
        <v>1.5503875968991929E-2</v>
      </c>
      <c r="AO25" s="218">
        <v>0.55284552845528412</v>
      </c>
      <c r="AP25" s="218">
        <v>0.90833333333333632</v>
      </c>
      <c r="AQ25" s="218">
        <v>0.92682926829268708</v>
      </c>
      <c r="AR25" s="218">
        <v>0.97435897435897334</v>
      </c>
      <c r="AS25" s="218">
        <v>17</v>
      </c>
      <c r="AT25" s="218">
        <v>0</v>
      </c>
      <c r="AU25" s="218">
        <v>4.8780487804876996E-2</v>
      </c>
      <c r="AV25" s="218">
        <v>0.29166666666666596</v>
      </c>
      <c r="AW25" s="218">
        <v>0.48333333333332934</v>
      </c>
      <c r="AX25" s="218">
        <v>0.66666666666666963</v>
      </c>
    </row>
    <row r="26" spans="1:50">
      <c r="A26" s="429">
        <v>0.67746527777777776</v>
      </c>
      <c r="B26" s="218">
        <v>20.3</v>
      </c>
      <c r="C26" s="218" t="s">
        <v>314</v>
      </c>
      <c r="D26" s="218">
        <v>10.199999999999999</v>
      </c>
      <c r="E26" s="218" t="s">
        <v>315</v>
      </c>
      <c r="F26" s="218">
        <v>22.7</v>
      </c>
      <c r="G26" s="218" t="s">
        <v>316</v>
      </c>
      <c r="H26" s="218">
        <v>3</v>
      </c>
      <c r="I26" s="224">
        <v>840.5</v>
      </c>
      <c r="J26" s="224">
        <f>(I26-$I$27)^2</f>
        <v>32942.25</v>
      </c>
      <c r="M26" s="218" t="s">
        <v>255</v>
      </c>
      <c r="P26" s="218">
        <v>21</v>
      </c>
      <c r="Q26" s="218">
        <v>0</v>
      </c>
      <c r="R26" s="218">
        <v>2</v>
      </c>
      <c r="S26" s="218">
        <v>-2</v>
      </c>
      <c r="T26" s="218">
        <v>0</v>
      </c>
      <c r="U26" s="273">
        <v>1.5</v>
      </c>
      <c r="V26" s="218">
        <v>1.5</v>
      </c>
      <c r="W26" s="250">
        <v>2.5622855959980873E-2</v>
      </c>
      <c r="X26" s="250">
        <v>0</v>
      </c>
      <c r="Z26" s="218">
        <v>18</v>
      </c>
      <c r="AA26" s="435">
        <v>2.2075055187637969E-3</v>
      </c>
      <c r="AB26" s="435">
        <v>3.7326388888888902E-2</v>
      </c>
      <c r="AC26" s="435">
        <v>0</v>
      </c>
      <c r="AD26" s="435">
        <v>7.9365079365077695E-3</v>
      </c>
      <c r="AE26" s="435">
        <v>8.4388185654006645E-3</v>
      </c>
      <c r="AG26" s="218">
        <v>18</v>
      </c>
      <c r="AH26" s="218">
        <v>3.2520325203251335E-2</v>
      </c>
      <c r="AI26" s="218">
        <v>0.37037037037037102</v>
      </c>
      <c r="AJ26" s="218">
        <v>0.78861788617886208</v>
      </c>
      <c r="AK26" s="218">
        <v>0.88372093023255849</v>
      </c>
      <c r="AL26" s="218">
        <v>0.96031746031746001</v>
      </c>
      <c r="AM26" s="218">
        <v>18</v>
      </c>
      <c r="AN26" s="218">
        <v>1.5503875968991929E-2</v>
      </c>
      <c r="AO26" s="218">
        <v>0.65853658536585391</v>
      </c>
      <c r="AP26" s="218">
        <v>0.93333333333333601</v>
      </c>
      <c r="AQ26" s="218">
        <v>0.93495934959349858</v>
      </c>
      <c r="AR26" s="218">
        <v>0.97435897435897334</v>
      </c>
      <c r="AS26" s="218">
        <v>18</v>
      </c>
      <c r="AT26" s="218">
        <v>0</v>
      </c>
      <c r="AU26" s="218">
        <v>6.504065040650267E-2</v>
      </c>
      <c r="AV26" s="218">
        <v>0.33333333333333331</v>
      </c>
      <c r="AW26" s="218">
        <v>0.54166666666666263</v>
      </c>
      <c r="AX26" s="218">
        <v>0.70085470085470636</v>
      </c>
    </row>
    <row r="27" spans="1:50">
      <c r="A27" s="429">
        <v>0.6774768518518518</v>
      </c>
      <c r="B27" s="218">
        <v>20.3</v>
      </c>
      <c r="C27" s="218" t="s">
        <v>314</v>
      </c>
      <c r="D27" s="218">
        <v>10.199999999999999</v>
      </c>
      <c r="E27" s="218" t="s">
        <v>315</v>
      </c>
      <c r="F27" s="218">
        <v>22.7</v>
      </c>
      <c r="G27" s="218" t="s">
        <v>316</v>
      </c>
      <c r="H27" s="218" t="s">
        <v>12</v>
      </c>
      <c r="I27" s="224">
        <f>AVERAGE(I24:I26)</f>
        <v>659</v>
      </c>
      <c r="J27" s="224">
        <f>SUM(J24:J26)</f>
        <v>49518.5</v>
      </c>
      <c r="M27" s="218" t="s">
        <v>256</v>
      </c>
      <c r="P27" s="218">
        <v>22</v>
      </c>
      <c r="Q27" s="218">
        <v>0</v>
      </c>
      <c r="R27" s="218">
        <v>2</v>
      </c>
      <c r="S27" s="218">
        <v>-2</v>
      </c>
      <c r="T27" s="218">
        <v>0</v>
      </c>
      <c r="U27" s="273">
        <v>1.5</v>
      </c>
      <c r="V27" s="218">
        <v>1.5</v>
      </c>
      <c r="W27" s="250">
        <v>2.5622855959980873E-2</v>
      </c>
      <c r="X27" s="250">
        <v>0</v>
      </c>
      <c r="Z27" s="218">
        <v>19</v>
      </c>
      <c r="AA27" s="435">
        <v>2.2075055187637969E-3</v>
      </c>
      <c r="AB27" s="435">
        <v>5.2083333333333155E-2</v>
      </c>
      <c r="AC27" s="435">
        <v>-7.575757575757752E-3</v>
      </c>
      <c r="AD27" s="435">
        <v>7.9365079365077695E-3</v>
      </c>
      <c r="AE27" s="435">
        <v>0</v>
      </c>
      <c r="AG27" s="218">
        <v>19</v>
      </c>
      <c r="AH27" s="218">
        <v>4.8780487804878439E-2</v>
      </c>
      <c r="AI27" s="218">
        <v>0.42798353909465103</v>
      </c>
      <c r="AJ27" s="218">
        <v>0.82926829268292768</v>
      </c>
      <c r="AK27" s="218">
        <v>0.91472868217054304</v>
      </c>
      <c r="AL27" s="218">
        <v>0.98412698412698407</v>
      </c>
      <c r="AM27" s="218">
        <v>19</v>
      </c>
      <c r="AN27" s="218">
        <v>1.5503875968991929E-2</v>
      </c>
      <c r="AO27" s="218">
        <v>0.73170731707316938</v>
      </c>
      <c r="AP27" s="218">
        <v>0.95833333333333559</v>
      </c>
      <c r="AQ27" s="218">
        <v>0.94308943089431296</v>
      </c>
      <c r="AR27" s="218">
        <v>0.99145299145299015</v>
      </c>
      <c r="AS27" s="218">
        <v>19</v>
      </c>
      <c r="AT27" s="218">
        <v>0</v>
      </c>
      <c r="AU27" s="218">
        <v>9.7560975609753992E-2</v>
      </c>
      <c r="AV27" s="218">
        <v>0.39166666666666561</v>
      </c>
      <c r="AW27" s="218">
        <v>0.57499999999999796</v>
      </c>
      <c r="AX27" s="218">
        <v>0.72649572649573324</v>
      </c>
    </row>
    <row r="28" spans="1:50">
      <c r="A28" s="429">
        <v>0.67748842592592595</v>
      </c>
      <c r="B28" s="218">
        <v>20.3</v>
      </c>
      <c r="C28" s="218" t="s">
        <v>314</v>
      </c>
      <c r="D28" s="218">
        <v>10.199999999999999</v>
      </c>
      <c r="E28" s="218" t="s">
        <v>315</v>
      </c>
      <c r="F28" s="218">
        <v>22.7</v>
      </c>
      <c r="G28" s="218" t="s">
        <v>316</v>
      </c>
      <c r="H28" s="218" t="s">
        <v>347</v>
      </c>
      <c r="I28" s="218">
        <v>3</v>
      </c>
      <c r="P28" s="218">
        <v>23</v>
      </c>
      <c r="Q28" s="218">
        <v>0</v>
      </c>
      <c r="R28" s="218">
        <v>3</v>
      </c>
      <c r="S28" s="218">
        <v>0</v>
      </c>
      <c r="T28" s="218">
        <v>1</v>
      </c>
      <c r="U28" s="273">
        <v>1.5</v>
      </c>
      <c r="V28" s="218">
        <v>1.5</v>
      </c>
      <c r="W28" s="250">
        <v>2.5622855959980873E-2</v>
      </c>
      <c r="X28" s="250">
        <v>2.2075055187637969E-3</v>
      </c>
      <c r="Z28" s="218">
        <v>20</v>
      </c>
      <c r="AA28" s="435">
        <v>2.2075055187637969E-3</v>
      </c>
      <c r="AB28" s="435">
        <v>6.5104166666666699E-2</v>
      </c>
      <c r="AC28" s="435">
        <v>-7.575757575757752E-3</v>
      </c>
      <c r="AD28" s="435">
        <v>1.5873015873015539E-2</v>
      </c>
      <c r="AE28" s="435">
        <v>8.4388185654014139E-3</v>
      </c>
      <c r="AG28" s="218">
        <v>20</v>
      </c>
      <c r="AH28" s="218">
        <v>7.3170731707318373E-2</v>
      </c>
      <c r="AI28" s="218">
        <v>0.48559670781893038</v>
      </c>
      <c r="AJ28" s="218">
        <v>0.85365853658536683</v>
      </c>
      <c r="AK28" s="218">
        <v>0.92248062015503907</v>
      </c>
      <c r="AL28" s="218">
        <v>0.99206349206349187</v>
      </c>
      <c r="AM28" s="218">
        <v>20</v>
      </c>
      <c r="AN28" s="218">
        <v>1.5503875968991929E-2</v>
      </c>
      <c r="AO28" s="218">
        <v>0.79674796747967491</v>
      </c>
      <c r="AP28" s="218">
        <v>0.96666666666666867</v>
      </c>
      <c r="AQ28" s="218">
        <v>0.93495934959349858</v>
      </c>
      <c r="AR28" s="218">
        <v>0.99145299145299015</v>
      </c>
      <c r="AS28" s="218">
        <v>20</v>
      </c>
      <c r="AT28" s="218">
        <v>8.1300813008142771E-3</v>
      </c>
      <c r="AU28" s="218">
        <v>0.12195121951219248</v>
      </c>
      <c r="AV28" s="218">
        <v>0.43333333333333307</v>
      </c>
      <c r="AW28" s="218">
        <v>0.61666666666666203</v>
      </c>
      <c r="AX28" s="218">
        <v>0.83760683760684118</v>
      </c>
    </row>
    <row r="29" spans="1:50">
      <c r="A29" s="429">
        <v>0.6775000000000001</v>
      </c>
      <c r="B29" s="218">
        <v>20.3</v>
      </c>
      <c r="C29" s="218" t="s">
        <v>314</v>
      </c>
      <c r="D29" s="218">
        <v>10.199999999999999</v>
      </c>
      <c r="E29" s="218" t="s">
        <v>315</v>
      </c>
      <c r="F29" s="218">
        <v>22.7</v>
      </c>
      <c r="G29" s="218" t="s">
        <v>316</v>
      </c>
      <c r="H29" s="218" t="s">
        <v>348</v>
      </c>
      <c r="I29" s="224">
        <f>SQRT((1/(I28-1))*J27)</f>
        <v>157.35072290904799</v>
      </c>
      <c r="P29" s="218">
        <v>24</v>
      </c>
      <c r="Q29" s="218">
        <v>0</v>
      </c>
      <c r="R29" s="218">
        <v>2</v>
      </c>
      <c r="S29" s="218">
        <v>0</v>
      </c>
      <c r="T29" s="218">
        <v>0.66666666666666663</v>
      </c>
      <c r="U29" s="431">
        <v>1.5</v>
      </c>
      <c r="V29" s="218">
        <v>1.5</v>
      </c>
      <c r="W29" s="250">
        <v>2.5622855959980873E-2</v>
      </c>
      <c r="X29" s="250">
        <v>1.4716703458425313E-3</v>
      </c>
      <c r="Z29" s="218">
        <v>21</v>
      </c>
      <c r="AA29" s="435">
        <v>0</v>
      </c>
      <c r="AB29" s="435">
        <v>7.118055555555558E-2</v>
      </c>
      <c r="AC29" s="435">
        <v>7.575757575757752E-3</v>
      </c>
      <c r="AD29" s="435">
        <v>2.3809523809523305E-2</v>
      </c>
      <c r="AE29" s="435">
        <v>2.5316455696203489E-2</v>
      </c>
      <c r="AG29" s="218">
        <v>21</v>
      </c>
      <c r="AH29" s="218">
        <v>8.9430894308945491E-2</v>
      </c>
      <c r="AI29" s="218">
        <v>0.51028806584362119</v>
      </c>
      <c r="AJ29" s="218">
        <v>0.87804878048780544</v>
      </c>
      <c r="AK29" s="218">
        <v>0.93798449612403156</v>
      </c>
      <c r="AL29" s="218">
        <v>1.0079365079365075</v>
      </c>
      <c r="AM29" s="218">
        <v>21</v>
      </c>
      <c r="AN29" s="218">
        <v>2.3255813953487893E-2</v>
      </c>
      <c r="AO29" s="218">
        <v>0.85365853658536617</v>
      </c>
      <c r="AP29" s="218">
        <v>0.97500000000000187</v>
      </c>
      <c r="AQ29" s="218">
        <v>0.95121951219512568</v>
      </c>
      <c r="AR29" s="218">
        <v>0.99999999999999845</v>
      </c>
      <c r="AS29" s="218">
        <v>21</v>
      </c>
      <c r="AT29" s="218">
        <v>0</v>
      </c>
      <c r="AU29" s="218">
        <v>0.15447154471544527</v>
      </c>
      <c r="AV29" s="218">
        <v>0.47500000000000042</v>
      </c>
      <c r="AW29" s="218">
        <v>0.658333333333329</v>
      </c>
      <c r="AX29" s="218">
        <v>0.86324786324786507</v>
      </c>
    </row>
    <row r="30" spans="1:50">
      <c r="A30" s="429">
        <v>0.67751157407407403</v>
      </c>
      <c r="B30" s="218">
        <v>20.3</v>
      </c>
      <c r="C30" s="218" t="s">
        <v>314</v>
      </c>
      <c r="D30" s="218">
        <v>10.199999999999999</v>
      </c>
      <c r="E30" s="218" t="s">
        <v>315</v>
      </c>
      <c r="F30" s="218">
        <v>22.7</v>
      </c>
      <c r="G30" s="218" t="s">
        <v>316</v>
      </c>
      <c r="H30" s="218" t="s">
        <v>13</v>
      </c>
      <c r="I30" s="224">
        <f>I29/(SQRT(I28))</f>
        <v>90.846482228721072</v>
      </c>
      <c r="P30" s="218">
        <v>25</v>
      </c>
      <c r="Q30" s="218">
        <v>0</v>
      </c>
      <c r="R30" s="218">
        <v>3</v>
      </c>
      <c r="S30" s="218">
        <v>0</v>
      </c>
      <c r="T30" s="218">
        <v>1</v>
      </c>
      <c r="U30" s="273">
        <v>1</v>
      </c>
      <c r="V30" s="218">
        <v>1.25</v>
      </c>
      <c r="W30" s="250">
        <v>2.1352379966650726E-2</v>
      </c>
      <c r="X30" s="250">
        <v>2.2075055187637969E-3</v>
      </c>
      <c r="Z30" s="218">
        <v>22</v>
      </c>
      <c r="AA30" s="435">
        <v>0</v>
      </c>
      <c r="AB30" s="435">
        <v>8.2465277777777637E-2</v>
      </c>
      <c r="AC30" s="435">
        <v>7.575757575757752E-3</v>
      </c>
      <c r="AD30" s="435">
        <v>3.9682539682539548E-2</v>
      </c>
      <c r="AE30" s="435">
        <v>2.5316455696203489E-2</v>
      </c>
      <c r="AG30" s="218">
        <v>22</v>
      </c>
      <c r="AH30" s="218">
        <v>0.13008130081300967</v>
      </c>
      <c r="AI30" s="218">
        <v>0.5514403292181066</v>
      </c>
      <c r="AJ30" s="218">
        <v>0.91056910569105676</v>
      </c>
      <c r="AK30" s="218">
        <v>0.95348837209302362</v>
      </c>
      <c r="AL30" s="218">
        <v>1.0079365079365075</v>
      </c>
      <c r="AM30" s="218">
        <v>22</v>
      </c>
      <c r="AN30" s="218">
        <v>3.8759689922481196E-2</v>
      </c>
      <c r="AO30" s="218">
        <v>0.90243902439024326</v>
      </c>
      <c r="AP30" s="218">
        <v>0.98333333333333506</v>
      </c>
      <c r="AQ30" s="218">
        <v>0.95934959349593862</v>
      </c>
      <c r="AR30" s="218">
        <v>0.99999999999999845</v>
      </c>
      <c r="AS30" s="218">
        <v>22</v>
      </c>
      <c r="AT30" s="218">
        <v>8.1300813008142771E-3</v>
      </c>
      <c r="AU30" s="218">
        <v>0.19512195121951087</v>
      </c>
      <c r="AV30" s="218">
        <v>0.53333333333333277</v>
      </c>
      <c r="AW30" s="218">
        <v>0.68333333333332991</v>
      </c>
      <c r="AX30" s="218">
        <v>0.88034188034188487</v>
      </c>
    </row>
    <row r="31" spans="1:50">
      <c r="A31" s="429">
        <v>0.67752314814814818</v>
      </c>
      <c r="B31" s="218">
        <v>20.3</v>
      </c>
      <c r="C31" s="218" t="s">
        <v>314</v>
      </c>
      <c r="D31" s="218">
        <v>10.199999999999999</v>
      </c>
      <c r="E31" s="218" t="s">
        <v>315</v>
      </c>
      <c r="F31" s="218">
        <v>22.7</v>
      </c>
      <c r="G31" s="218" t="s">
        <v>316</v>
      </c>
      <c r="H31" s="218" t="s">
        <v>349</v>
      </c>
      <c r="I31" s="224">
        <f>I30*2</f>
        <v>181.69296445744214</v>
      </c>
      <c r="P31" s="218">
        <v>26</v>
      </c>
      <c r="Q31" s="218">
        <v>0</v>
      </c>
      <c r="R31" s="218">
        <v>2</v>
      </c>
      <c r="S31" s="218">
        <v>0</v>
      </c>
      <c r="T31" s="218">
        <v>0.66666666666666663</v>
      </c>
      <c r="U31" s="273">
        <v>1.5</v>
      </c>
      <c r="V31" s="218">
        <v>1.25</v>
      </c>
      <c r="W31" s="250">
        <v>2.1352379966650726E-2</v>
      </c>
      <c r="X31" s="250">
        <v>1.4716703458425313E-3</v>
      </c>
      <c r="Z31" s="218">
        <v>23</v>
      </c>
      <c r="AA31" s="435">
        <v>2.2075055187637969E-3</v>
      </c>
      <c r="AB31" s="435">
        <v>9.548611111111116E-2</v>
      </c>
      <c r="AC31" s="435">
        <v>7.575757575757752E-3</v>
      </c>
      <c r="AD31" s="435">
        <v>5.5555555555555788E-2</v>
      </c>
      <c r="AE31" s="435">
        <v>4.2194092827004814E-2</v>
      </c>
      <c r="AG31" s="218">
        <v>23</v>
      </c>
      <c r="AH31" s="218">
        <v>0.14634146341463533</v>
      </c>
      <c r="AI31" s="218">
        <v>0.59259259259259278</v>
      </c>
      <c r="AJ31" s="218">
        <v>0.93495934959349669</v>
      </c>
      <c r="AK31" s="218">
        <v>0.95348837209302362</v>
      </c>
      <c r="AL31" s="218">
        <v>1.0158730158730152</v>
      </c>
      <c r="AM31" s="218">
        <v>23</v>
      </c>
      <c r="AN31" s="218">
        <v>4.651162790697716E-2</v>
      </c>
      <c r="AO31" s="218">
        <v>0.92682926829268175</v>
      </c>
      <c r="AP31" s="218">
        <v>0.98333333333333506</v>
      </c>
      <c r="AQ31" s="218">
        <v>0.95934959349593862</v>
      </c>
      <c r="AR31" s="218">
        <v>0.99999999999999845</v>
      </c>
      <c r="AS31" s="218">
        <v>23</v>
      </c>
      <c r="AT31" s="218">
        <v>8.1300813008142771E-3</v>
      </c>
      <c r="AU31" s="218">
        <v>0.2195121951219508</v>
      </c>
      <c r="AV31" s="218">
        <v>0.57500000000000018</v>
      </c>
      <c r="AW31" s="218">
        <v>0.71666666666666523</v>
      </c>
      <c r="AX31" s="218">
        <v>0.8974358974359018</v>
      </c>
    </row>
    <row r="32" spans="1:50">
      <c r="A32" s="429">
        <v>0.67753472222222222</v>
      </c>
      <c r="B32" s="218">
        <v>20.3</v>
      </c>
      <c r="C32" s="218" t="s">
        <v>314</v>
      </c>
      <c r="D32" s="218">
        <v>10.199999999999999</v>
      </c>
      <c r="E32" s="218" t="s">
        <v>315</v>
      </c>
      <c r="F32" s="218">
        <v>22.7</v>
      </c>
      <c r="G32" s="218" t="s">
        <v>316</v>
      </c>
      <c r="H32" s="434" t="s">
        <v>308</v>
      </c>
      <c r="I32" s="434" t="s">
        <v>528</v>
      </c>
      <c r="P32" s="218">
        <v>27</v>
      </c>
      <c r="Q32" s="218">
        <v>0</v>
      </c>
      <c r="R32" s="218">
        <v>3</v>
      </c>
      <c r="S32" s="218">
        <v>0</v>
      </c>
      <c r="T32" s="218">
        <v>1</v>
      </c>
      <c r="U32" s="273">
        <v>1</v>
      </c>
      <c r="V32" s="218">
        <v>1.25</v>
      </c>
      <c r="W32" s="250">
        <v>2.1352379966650726E-2</v>
      </c>
      <c r="X32" s="250">
        <v>2.2075055187637969E-3</v>
      </c>
      <c r="Z32" s="218">
        <v>24</v>
      </c>
      <c r="AA32" s="435">
        <v>1.4716703458425313E-3</v>
      </c>
      <c r="AB32" s="435">
        <v>0.10590277777777783</v>
      </c>
      <c r="AC32" s="435">
        <v>1.5151515151515504E-2</v>
      </c>
      <c r="AD32" s="435">
        <v>7.1428571428571327E-2</v>
      </c>
      <c r="AE32" s="435">
        <v>6.7510548523207564E-2</v>
      </c>
      <c r="AG32" s="218">
        <v>24</v>
      </c>
      <c r="AH32" s="218">
        <v>0.18699186991869948</v>
      </c>
      <c r="AI32" s="218">
        <v>0.65020576131687291</v>
      </c>
      <c r="AJ32" s="218">
        <v>0.93495934959349669</v>
      </c>
      <c r="AK32" s="218">
        <v>0.97674418604651214</v>
      </c>
      <c r="AL32" s="218">
        <v>1.0079365079365075</v>
      </c>
      <c r="AM32" s="218">
        <v>24</v>
      </c>
      <c r="AN32" s="218">
        <v>6.976744186046506E-2</v>
      </c>
      <c r="AO32" s="218">
        <v>0.94308943089430886</v>
      </c>
      <c r="AP32" s="218">
        <v>0.9916666666666698</v>
      </c>
      <c r="AQ32" s="218">
        <v>0.95934959349593862</v>
      </c>
      <c r="AR32" s="218">
        <v>0.99999999999999845</v>
      </c>
      <c r="AS32" s="218">
        <v>24</v>
      </c>
      <c r="AT32" s="218">
        <v>8.1300813008142771E-3</v>
      </c>
      <c r="AU32" s="218">
        <v>0.25203252032520213</v>
      </c>
      <c r="AV32" s="218">
        <v>0.61666666666666603</v>
      </c>
      <c r="AW32" s="218">
        <v>0.74166666666666314</v>
      </c>
      <c r="AX32" s="218">
        <v>0.92307692307692857</v>
      </c>
    </row>
    <row r="33" spans="1:50">
      <c r="A33" s="429">
        <v>0.67754629629629637</v>
      </c>
      <c r="B33" s="218">
        <v>20.3</v>
      </c>
      <c r="C33" s="218" t="s">
        <v>314</v>
      </c>
      <c r="D33" s="218">
        <v>10.199999999999999</v>
      </c>
      <c r="E33" s="218" t="s">
        <v>315</v>
      </c>
      <c r="F33" s="218">
        <v>22.7</v>
      </c>
      <c r="G33" s="218" t="s">
        <v>316</v>
      </c>
      <c r="P33" s="218">
        <v>28</v>
      </c>
      <c r="Q33" s="218">
        <v>0</v>
      </c>
      <c r="R33" s="218">
        <v>3</v>
      </c>
      <c r="S33" s="218">
        <v>0</v>
      </c>
      <c r="T33" s="218">
        <v>1</v>
      </c>
      <c r="U33" s="273">
        <v>1</v>
      </c>
      <c r="V33" s="218">
        <v>1</v>
      </c>
      <c r="W33" s="250">
        <v>1.7081903973320583E-2</v>
      </c>
      <c r="X33" s="250">
        <v>2.2075055187637969E-3</v>
      </c>
      <c r="Z33" s="218">
        <v>25</v>
      </c>
      <c r="AA33" s="435">
        <v>2.2075055187637969E-3</v>
      </c>
      <c r="AB33" s="435">
        <v>0.11197916666666673</v>
      </c>
      <c r="AC33" s="435">
        <v>1.5151515151515504E-2</v>
      </c>
      <c r="AD33" s="435">
        <v>8.7301587301586867E-2</v>
      </c>
      <c r="AE33" s="435">
        <v>8.4388185654008893E-2</v>
      </c>
      <c r="AG33" s="218">
        <v>25</v>
      </c>
      <c r="AH33" s="218">
        <v>0.19512195121951231</v>
      </c>
      <c r="AI33" s="218">
        <v>0.68312757201646146</v>
      </c>
      <c r="AJ33" s="218">
        <v>0.93495934959349669</v>
      </c>
      <c r="AK33" s="218">
        <v>0.96899224806201623</v>
      </c>
      <c r="AL33" s="218">
        <v>1.0238095238095237</v>
      </c>
      <c r="AM33" s="218">
        <v>25</v>
      </c>
      <c r="AN33" s="218">
        <v>7.7519379844961711E-2</v>
      </c>
      <c r="AO33" s="218">
        <v>0.95934959349593585</v>
      </c>
      <c r="AP33" s="218">
        <v>1.0000000000000029</v>
      </c>
      <c r="AQ33" s="218">
        <v>0.96747967479675145</v>
      </c>
      <c r="AR33" s="218">
        <v>0.99999999999999845</v>
      </c>
      <c r="AS33" s="218">
        <v>25</v>
      </c>
      <c r="AT33" s="218">
        <v>2.4390243902442831E-2</v>
      </c>
      <c r="AU33" s="218">
        <v>0.30081300813007911</v>
      </c>
      <c r="AV33" s="218">
        <v>0.65833333333333488</v>
      </c>
      <c r="AW33" s="218">
        <v>0.77499999999999847</v>
      </c>
      <c r="AX33" s="218">
        <v>0.92307692307692857</v>
      </c>
    </row>
    <row r="34" spans="1:50">
      <c r="A34" s="429">
        <v>0.6775578703703703</v>
      </c>
      <c r="B34" s="218">
        <v>20.3</v>
      </c>
      <c r="C34" s="218" t="s">
        <v>314</v>
      </c>
      <c r="D34" s="218">
        <v>10.199999999999999</v>
      </c>
      <c r="E34" s="218" t="s">
        <v>315</v>
      </c>
      <c r="F34" s="218">
        <v>22.7</v>
      </c>
      <c r="G34" s="218" t="s">
        <v>316</v>
      </c>
      <c r="P34" s="218">
        <v>29</v>
      </c>
      <c r="Q34" s="218">
        <v>9.9999999999997868E-2</v>
      </c>
      <c r="R34" s="218">
        <v>3</v>
      </c>
      <c r="S34" s="218">
        <v>1</v>
      </c>
      <c r="T34" s="218">
        <v>1.366666666666666</v>
      </c>
      <c r="U34" s="273">
        <v>0.73170731707317105</v>
      </c>
      <c r="V34" s="218">
        <v>0.86585365853658547</v>
      </c>
      <c r="W34" s="250">
        <v>1.4790429050070261E-2</v>
      </c>
      <c r="X34" s="250">
        <v>3.0169242089771878E-3</v>
      </c>
      <c r="Z34" s="218">
        <v>26</v>
      </c>
      <c r="AA34" s="435">
        <v>1.4716703458425313E-3</v>
      </c>
      <c r="AB34" s="435">
        <v>0.11892361111111116</v>
      </c>
      <c r="AC34" s="435">
        <v>2.2727272727272919E-2</v>
      </c>
      <c r="AD34" s="435">
        <v>0.10317460317460241</v>
      </c>
      <c r="AE34" s="435">
        <v>0.10970464135021238</v>
      </c>
      <c r="AG34" s="218">
        <v>26</v>
      </c>
      <c r="AH34" s="218">
        <v>0.23577235772357649</v>
      </c>
      <c r="AI34" s="218">
        <v>0.70781893004115215</v>
      </c>
      <c r="AJ34" s="218">
        <v>0.95934959349593585</v>
      </c>
      <c r="AK34" s="218">
        <v>0.97674418604651214</v>
      </c>
      <c r="AL34" s="218">
        <v>1.0238095238095237</v>
      </c>
      <c r="AM34" s="218">
        <v>26</v>
      </c>
      <c r="AN34" s="218">
        <v>0.10852713178294625</v>
      </c>
      <c r="AO34" s="218">
        <v>0.96747967479674868</v>
      </c>
      <c r="AP34" s="218">
        <v>1.0000000000000016</v>
      </c>
      <c r="AQ34" s="218">
        <v>0.95934959349593862</v>
      </c>
      <c r="AR34" s="218">
        <v>0.99999999999999845</v>
      </c>
      <c r="AS34" s="218">
        <v>26</v>
      </c>
      <c r="AT34" s="218">
        <v>2.4390243902442831E-2</v>
      </c>
      <c r="AU34" s="218">
        <v>0.3252032520325176</v>
      </c>
      <c r="AV34" s="218">
        <v>0.68333333333333446</v>
      </c>
      <c r="AW34" s="218">
        <v>0.79166666666666174</v>
      </c>
      <c r="AX34" s="218">
        <v>0.93162393162393553</v>
      </c>
    </row>
    <row r="35" spans="1:50">
      <c r="A35" s="429">
        <v>0.67756944444444445</v>
      </c>
      <c r="B35" s="218">
        <v>20.3</v>
      </c>
      <c r="C35" s="218" t="s">
        <v>314</v>
      </c>
      <c r="D35" s="218">
        <v>10.199999999999999</v>
      </c>
      <c r="E35" s="218" t="s">
        <v>315</v>
      </c>
      <c r="F35" s="218">
        <v>22.7</v>
      </c>
      <c r="G35" s="218" t="s">
        <v>316</v>
      </c>
      <c r="P35" s="218">
        <v>30</v>
      </c>
      <c r="Q35" s="218">
        <v>9.9999999999997868E-2</v>
      </c>
      <c r="R35" s="218">
        <v>3</v>
      </c>
      <c r="S35" s="218">
        <v>1</v>
      </c>
      <c r="T35" s="218">
        <v>1.366666666666666</v>
      </c>
      <c r="U35" s="273">
        <v>0.73170731707317105</v>
      </c>
      <c r="V35" s="218">
        <v>0.73170731707317105</v>
      </c>
      <c r="W35" s="250">
        <v>1.2498954126819943E-2</v>
      </c>
      <c r="X35" s="250">
        <v>3.0169242089771878E-3</v>
      </c>
      <c r="Z35" s="218">
        <v>27</v>
      </c>
      <c r="AA35" s="435">
        <v>2.2075055187637969E-3</v>
      </c>
      <c r="AB35" s="435">
        <v>0.13454861111111097</v>
      </c>
      <c r="AC35" s="435">
        <v>3.0303030303030332E-2</v>
      </c>
      <c r="AD35" s="435">
        <v>0.12698412698412712</v>
      </c>
      <c r="AE35" s="435">
        <v>0.11814345991561305</v>
      </c>
      <c r="AG35" s="218">
        <v>27</v>
      </c>
      <c r="AH35" s="218">
        <v>0.25203252032520357</v>
      </c>
      <c r="AI35" s="218">
        <v>0.72427983539094587</v>
      </c>
      <c r="AJ35" s="218">
        <v>0.96747967479674868</v>
      </c>
      <c r="AK35" s="218">
        <v>0.98449612403100806</v>
      </c>
      <c r="AL35" s="218">
        <v>1.0238095238095237</v>
      </c>
      <c r="AM35" s="218">
        <v>27</v>
      </c>
      <c r="AN35" s="218">
        <v>0.11627906976744222</v>
      </c>
      <c r="AO35" s="218">
        <v>0.98373983739837434</v>
      </c>
      <c r="AP35" s="218">
        <v>0.99166666666666825</v>
      </c>
      <c r="AQ35" s="218">
        <v>0.9756097560975644</v>
      </c>
      <c r="AR35" s="218">
        <v>0.99999999999999845</v>
      </c>
      <c r="AS35" s="218">
        <v>27</v>
      </c>
      <c r="AT35" s="218">
        <v>2.4390243902442831E-2</v>
      </c>
      <c r="AU35" s="218">
        <v>0.35772357723577042</v>
      </c>
      <c r="AV35" s="218">
        <v>0.73333333333333361</v>
      </c>
      <c r="AW35" s="218">
        <v>0.82499999999999729</v>
      </c>
      <c r="AX35" s="218">
        <v>0.94017094017094549</v>
      </c>
    </row>
    <row r="36" spans="1:50">
      <c r="A36" s="429">
        <v>0.6775810185185186</v>
      </c>
      <c r="B36" s="218">
        <v>20.3</v>
      </c>
      <c r="C36" s="218" t="s">
        <v>314</v>
      </c>
      <c r="D36" s="218">
        <v>10.199999999999999</v>
      </c>
      <c r="E36" s="218" t="s">
        <v>315</v>
      </c>
      <c r="F36" s="218">
        <v>22.7</v>
      </c>
      <c r="G36" s="218" t="s">
        <v>316</v>
      </c>
      <c r="P36" s="218">
        <v>31</v>
      </c>
      <c r="Q36" s="218">
        <v>9.9999999999997868E-2</v>
      </c>
      <c r="R36" s="218">
        <v>3</v>
      </c>
      <c r="S36" s="218">
        <v>0</v>
      </c>
      <c r="T36" s="218">
        <v>1.0333333333333325</v>
      </c>
      <c r="U36" s="273">
        <v>0.96774193548387166</v>
      </c>
      <c r="V36" s="218">
        <v>0.84972462627852141</v>
      </c>
      <c r="W36" s="250">
        <v>1.451491446985542E-2</v>
      </c>
      <c r="X36" s="250">
        <v>2.2810890360559217E-3</v>
      </c>
      <c r="Z36" s="218">
        <v>28</v>
      </c>
      <c r="AA36" s="435">
        <v>2.2075055187637969E-3</v>
      </c>
      <c r="AB36" s="435">
        <v>0.14930555555555561</v>
      </c>
      <c r="AC36" s="435">
        <v>3.0303030303030332E-2</v>
      </c>
      <c r="AD36" s="435">
        <v>0.15873015873015889</v>
      </c>
      <c r="AE36" s="435">
        <v>0.14345991561181504</v>
      </c>
      <c r="AG36" s="218">
        <v>28</v>
      </c>
      <c r="AH36" s="218">
        <v>0.28455284552845783</v>
      </c>
      <c r="AI36" s="218">
        <v>0.75720164609053442</v>
      </c>
      <c r="AJ36" s="218">
        <v>0.99186991869918728</v>
      </c>
      <c r="AK36" s="218">
        <v>0.98449612403100806</v>
      </c>
      <c r="AL36" s="218">
        <v>1.0317460317460321</v>
      </c>
      <c r="AM36" s="218">
        <v>28</v>
      </c>
      <c r="AN36" s="218">
        <v>0.14728682170542609</v>
      </c>
      <c r="AO36" s="218">
        <v>0.98373983739837434</v>
      </c>
      <c r="AP36" s="218">
        <v>1.0000000000000029</v>
      </c>
      <c r="AQ36" s="218">
        <v>0.95934959349593862</v>
      </c>
      <c r="AR36" s="218">
        <v>0.99145299145299015</v>
      </c>
      <c r="AS36" s="218">
        <v>28</v>
      </c>
      <c r="AT36" s="218">
        <v>3.2520325203254215E-2</v>
      </c>
      <c r="AU36" s="218">
        <v>0.39024390243902318</v>
      </c>
      <c r="AV36" s="218">
        <v>0.75</v>
      </c>
      <c r="AW36" s="218">
        <v>0.82499999999999429</v>
      </c>
      <c r="AX36" s="218">
        <v>0.94871794871795245</v>
      </c>
    </row>
    <row r="37" spans="1:50">
      <c r="A37" s="429">
        <v>0.67759259259259252</v>
      </c>
      <c r="B37" s="218">
        <v>20.3</v>
      </c>
      <c r="C37" s="218" t="s">
        <v>314</v>
      </c>
      <c r="D37" s="218">
        <v>10.199999999999999</v>
      </c>
      <c r="E37" s="218" t="s">
        <v>315</v>
      </c>
      <c r="F37" s="218">
        <v>22.7</v>
      </c>
      <c r="G37" s="218" t="s">
        <v>316</v>
      </c>
      <c r="P37" s="218">
        <v>32</v>
      </c>
      <c r="Q37" s="218">
        <v>9.9999999999997868E-2</v>
      </c>
      <c r="R37" s="218">
        <v>3</v>
      </c>
      <c r="S37" s="218">
        <v>0</v>
      </c>
      <c r="T37" s="218">
        <v>1.0333333333333325</v>
      </c>
      <c r="U37" s="273">
        <v>0.96774193548387166</v>
      </c>
      <c r="V37" s="218">
        <v>0.96774193548387166</v>
      </c>
      <c r="W37" s="250">
        <v>1.6530874812890898E-2</v>
      </c>
      <c r="X37" s="250">
        <v>2.2810890360559217E-3</v>
      </c>
      <c r="Z37" s="218">
        <v>29</v>
      </c>
      <c r="AA37" s="435">
        <v>3.0169242089771878E-3</v>
      </c>
      <c r="AB37" s="435">
        <v>0.15625000000000006</v>
      </c>
      <c r="AC37" s="435">
        <v>3.7878787878788088E-2</v>
      </c>
      <c r="AD37" s="435">
        <v>0.1825396825396822</v>
      </c>
      <c r="AE37" s="435">
        <v>0.16877637130801779</v>
      </c>
      <c r="AG37" s="218">
        <v>29</v>
      </c>
      <c r="AH37" s="218">
        <v>0.32520325203252198</v>
      </c>
      <c r="AI37" s="218">
        <v>0.79012345679012219</v>
      </c>
      <c r="AJ37" s="218">
        <v>0.99186991869918728</v>
      </c>
      <c r="AK37" s="218">
        <v>0.98449612403100806</v>
      </c>
      <c r="AL37" s="218">
        <v>1.0396825396825398</v>
      </c>
      <c r="AM37" s="218">
        <v>29</v>
      </c>
      <c r="AN37" s="218">
        <v>0.18604651162790725</v>
      </c>
      <c r="AO37" s="218">
        <v>0.98373983739837434</v>
      </c>
      <c r="AP37" s="218">
        <v>1.0083333333333362</v>
      </c>
      <c r="AQ37" s="218">
        <v>0.96747967479675145</v>
      </c>
      <c r="AR37" s="218">
        <v>0.99999999999999845</v>
      </c>
      <c r="AS37" s="218">
        <v>29</v>
      </c>
      <c r="AT37" s="218">
        <v>3.2520325203254215E-2</v>
      </c>
      <c r="AU37" s="218">
        <v>0.41463414634146317</v>
      </c>
      <c r="AV37" s="218">
        <v>0.7666666666666665</v>
      </c>
      <c r="AW37" s="218">
        <v>0.84166666666666046</v>
      </c>
      <c r="AX37" s="218">
        <v>0.9572649572649623</v>
      </c>
    </row>
    <row r="38" spans="1:50">
      <c r="A38" s="429">
        <v>0.67760416666666667</v>
      </c>
      <c r="B38" s="218">
        <v>20.3</v>
      </c>
      <c r="C38" s="218" t="s">
        <v>314</v>
      </c>
      <c r="D38" s="218">
        <v>10.199999999999999</v>
      </c>
      <c r="E38" s="218" t="s">
        <v>315</v>
      </c>
      <c r="F38" s="218">
        <v>22.7</v>
      </c>
      <c r="G38" s="218" t="s">
        <v>316</v>
      </c>
      <c r="P38" s="218">
        <v>33</v>
      </c>
      <c r="Q38" s="218">
        <v>9.9999999999997868E-2</v>
      </c>
      <c r="R38" s="218">
        <v>3</v>
      </c>
      <c r="S38" s="218">
        <v>1</v>
      </c>
      <c r="T38" s="218">
        <v>1.366666666666666</v>
      </c>
      <c r="U38" s="273">
        <v>0.73170731707317105</v>
      </c>
      <c r="V38" s="218">
        <v>0.84972462627852141</v>
      </c>
      <c r="W38" s="250">
        <v>1.451491446985542E-2</v>
      </c>
      <c r="X38" s="250">
        <v>3.0169242089771878E-3</v>
      </c>
      <c r="Z38" s="218">
        <v>30</v>
      </c>
      <c r="AA38" s="435">
        <v>3.0169242089771878E-3</v>
      </c>
      <c r="AB38" s="435">
        <v>0.16840277777777765</v>
      </c>
      <c r="AC38" s="435">
        <v>6.0606060606060337E-2</v>
      </c>
      <c r="AD38" s="435">
        <v>0.21428571428571327</v>
      </c>
      <c r="AE38" s="435">
        <v>0.20253164556962044</v>
      </c>
      <c r="AG38" s="218">
        <v>30</v>
      </c>
      <c r="AH38" s="218">
        <v>0.35772357723577325</v>
      </c>
      <c r="AI38" s="218">
        <v>0.80658436213991758</v>
      </c>
      <c r="AJ38" s="218">
        <v>1</v>
      </c>
      <c r="AK38" s="218">
        <v>0.96899224806201545</v>
      </c>
      <c r="AL38" s="218">
        <v>1.0396825396825398</v>
      </c>
      <c r="AM38" s="218">
        <v>30</v>
      </c>
      <c r="AN38" s="218">
        <v>0.20155038759689986</v>
      </c>
      <c r="AO38" s="218">
        <v>0.98373983739837434</v>
      </c>
      <c r="AP38" s="218">
        <v>1.0083333333333362</v>
      </c>
      <c r="AQ38" s="218">
        <v>0.96747967479675145</v>
      </c>
      <c r="AR38" s="218">
        <v>0.98290598290598186</v>
      </c>
      <c r="AS38" s="218">
        <v>30</v>
      </c>
      <c r="AT38" s="218">
        <v>3.2520325203254215E-2</v>
      </c>
      <c r="AU38" s="218">
        <v>0.45528455284552727</v>
      </c>
      <c r="AV38" s="218">
        <v>0.80833333333333379</v>
      </c>
      <c r="AW38" s="218">
        <v>0.85833333333332962</v>
      </c>
      <c r="AX38" s="218">
        <v>0.9572649572649623</v>
      </c>
    </row>
    <row r="39" spans="1:50">
      <c r="A39" s="429">
        <v>0.67761574074074071</v>
      </c>
      <c r="B39" s="218">
        <v>20.3</v>
      </c>
      <c r="C39" s="218" t="s">
        <v>314</v>
      </c>
      <c r="D39" s="218">
        <v>10.199999999999999</v>
      </c>
      <c r="E39" s="218" t="s">
        <v>315</v>
      </c>
      <c r="F39" s="218">
        <v>22.7</v>
      </c>
      <c r="G39" s="218" t="s">
        <v>316</v>
      </c>
      <c r="P39" s="218">
        <v>34</v>
      </c>
      <c r="Q39" s="218">
        <v>0</v>
      </c>
      <c r="R39" s="218">
        <v>4</v>
      </c>
      <c r="S39" s="218">
        <v>1</v>
      </c>
      <c r="T39" s="218">
        <v>1.6666666666666667</v>
      </c>
      <c r="U39" s="273">
        <v>0.6</v>
      </c>
      <c r="V39" s="218">
        <v>0.66585365853658551</v>
      </c>
      <c r="W39" s="250">
        <v>1.1374048255406145E-2</v>
      </c>
      <c r="X39" s="250">
        <v>3.6791758646063282E-3</v>
      </c>
      <c r="Z39" s="218">
        <v>31</v>
      </c>
      <c r="AA39" s="435">
        <v>2.2810890360559217E-3</v>
      </c>
      <c r="AB39" s="435">
        <v>0.18663194444444453</v>
      </c>
      <c r="AC39" s="435">
        <v>6.0606060606060337E-2</v>
      </c>
      <c r="AD39" s="435">
        <v>0.24603174603174646</v>
      </c>
      <c r="AE39" s="435">
        <v>0.21940928270042326</v>
      </c>
      <c r="AG39" s="218">
        <v>31</v>
      </c>
      <c r="AH39" s="218">
        <v>0.3821138211382118</v>
      </c>
      <c r="AI39" s="218">
        <v>0.82304526748971141</v>
      </c>
      <c r="AJ39" s="218">
        <v>1</v>
      </c>
      <c r="AK39" s="218">
        <v>0.97674418604651214</v>
      </c>
      <c r="AL39" s="218">
        <v>1.0396825396825398</v>
      </c>
      <c r="AM39" s="218">
        <v>31</v>
      </c>
      <c r="AN39" s="218">
        <v>0.23255813953488375</v>
      </c>
      <c r="AO39" s="218">
        <v>0.99186991869918728</v>
      </c>
      <c r="AP39" s="218">
        <v>1.0083333333333362</v>
      </c>
      <c r="AQ39" s="218">
        <v>0.96747967479675145</v>
      </c>
      <c r="AR39" s="218">
        <v>0.98290598290598186</v>
      </c>
      <c r="AS39" s="218">
        <v>31</v>
      </c>
      <c r="AT39" s="218">
        <v>4.8780487804876996E-2</v>
      </c>
      <c r="AU39" s="218">
        <v>0.47967479674796581</v>
      </c>
      <c r="AV39" s="218">
        <v>0.80833333333333379</v>
      </c>
      <c r="AW39" s="218">
        <v>0.87499999999999878</v>
      </c>
      <c r="AX39" s="218">
        <v>0.96581196581197226</v>
      </c>
    </row>
    <row r="40" spans="1:50">
      <c r="A40" s="429">
        <v>0.67762731481481486</v>
      </c>
      <c r="B40" s="218">
        <v>20.3</v>
      </c>
      <c r="C40" s="218" t="s">
        <v>314</v>
      </c>
      <c r="D40" s="218">
        <v>10.199999999999999</v>
      </c>
      <c r="E40" s="218" t="s">
        <v>315</v>
      </c>
      <c r="F40" s="218">
        <v>22.7</v>
      </c>
      <c r="G40" s="218" t="s">
        <v>316</v>
      </c>
      <c r="P40" s="218">
        <v>35</v>
      </c>
      <c r="Q40" s="218">
        <v>9.9999999999997868E-2</v>
      </c>
      <c r="R40" s="218">
        <v>3</v>
      </c>
      <c r="S40" s="218">
        <v>-1</v>
      </c>
      <c r="T40" s="218">
        <v>0.69999999999999929</v>
      </c>
      <c r="U40" s="273">
        <v>1.4285714285714299</v>
      </c>
      <c r="V40" s="218">
        <v>1.0142857142857149</v>
      </c>
      <c r="W40" s="250">
        <v>1.7325931172939457E-2</v>
      </c>
      <c r="X40" s="250">
        <v>1.5452538631346563E-3</v>
      </c>
      <c r="Z40" s="218">
        <v>32</v>
      </c>
      <c r="AA40" s="435">
        <v>2.2810890360559217E-3</v>
      </c>
      <c r="AB40" s="435">
        <v>0.19184027777777787</v>
      </c>
      <c r="AC40" s="435">
        <v>6.8181818181818413E-2</v>
      </c>
      <c r="AD40" s="435">
        <v>0.26984126984126977</v>
      </c>
      <c r="AE40" s="435">
        <v>0.24472573839662523</v>
      </c>
      <c r="AG40" s="218">
        <v>32</v>
      </c>
      <c r="AH40" s="218">
        <v>0.39837398373983746</v>
      </c>
      <c r="AI40" s="218">
        <v>0.83950617283950602</v>
      </c>
      <c r="AJ40" s="218">
        <v>1</v>
      </c>
      <c r="AK40" s="218">
        <v>0.97674418604651148</v>
      </c>
      <c r="AL40" s="218">
        <v>1.0476190476190477</v>
      </c>
      <c r="AM40" s="218">
        <v>32</v>
      </c>
      <c r="AN40" s="218">
        <v>0.26356589147286896</v>
      </c>
      <c r="AO40" s="218">
        <v>0.98373983739837434</v>
      </c>
      <c r="AP40" s="218">
        <v>1.0083333333333362</v>
      </c>
      <c r="AQ40" s="218">
        <v>0.9756097560975644</v>
      </c>
      <c r="AR40" s="218">
        <v>0.98290598290598186</v>
      </c>
      <c r="AS40" s="218">
        <v>32</v>
      </c>
      <c r="AT40" s="218">
        <v>5.6910569105691269E-2</v>
      </c>
      <c r="AU40" s="218">
        <v>0.51219512195121719</v>
      </c>
      <c r="AV40" s="218">
        <v>0.83333333333333626</v>
      </c>
      <c r="AW40" s="218">
        <v>0.89166666666666206</v>
      </c>
      <c r="AX40" s="218">
        <v>0.96581196581197226</v>
      </c>
    </row>
    <row r="41" spans="1:50">
      <c r="A41" s="429">
        <v>0.67763888888888879</v>
      </c>
      <c r="B41" s="218">
        <v>20.3</v>
      </c>
      <c r="C41" s="218" t="s">
        <v>314</v>
      </c>
      <c r="D41" s="218">
        <v>10.199999999999999</v>
      </c>
      <c r="E41" s="218" t="s">
        <v>315</v>
      </c>
      <c r="F41" s="218">
        <v>22.7</v>
      </c>
      <c r="G41" s="218" t="s">
        <v>316</v>
      </c>
      <c r="P41" s="218">
        <v>36</v>
      </c>
      <c r="Q41" s="218">
        <v>9.9999999999997868E-2</v>
      </c>
      <c r="R41" s="218">
        <v>4</v>
      </c>
      <c r="S41" s="218">
        <v>-1</v>
      </c>
      <c r="T41" s="218">
        <v>1.0333333333333325</v>
      </c>
      <c r="U41" s="273">
        <v>0.96774193548387166</v>
      </c>
      <c r="V41" s="218">
        <v>1.1981566820276508</v>
      </c>
      <c r="W41" s="250">
        <v>2.0466797387388734E-2</v>
      </c>
      <c r="X41" s="250">
        <v>2.2810890360559217E-3</v>
      </c>
      <c r="Z41" s="218">
        <v>33</v>
      </c>
      <c r="AA41" s="435">
        <v>3.0169242089771878E-3</v>
      </c>
      <c r="AB41" s="435">
        <v>0.20659722222222213</v>
      </c>
      <c r="AC41" s="435">
        <v>9.0909090909090662E-2</v>
      </c>
      <c r="AD41" s="435">
        <v>0.29365079365079305</v>
      </c>
      <c r="AE41" s="435">
        <v>0.27004219409282798</v>
      </c>
      <c r="AG41" s="218">
        <v>33</v>
      </c>
      <c r="AH41" s="218">
        <v>0.41463414634146317</v>
      </c>
      <c r="AI41" s="218">
        <v>0.85596707818930151</v>
      </c>
      <c r="AJ41" s="218">
        <v>1</v>
      </c>
      <c r="AK41" s="218">
        <v>0.97674418604651148</v>
      </c>
      <c r="AL41" s="218">
        <v>1.0396825396825398</v>
      </c>
      <c r="AM41" s="218">
        <v>33</v>
      </c>
      <c r="AN41" s="218">
        <v>0.29457364341085279</v>
      </c>
      <c r="AO41" s="218">
        <v>0.98373983739837434</v>
      </c>
      <c r="AP41" s="218">
        <v>1.0083333333333362</v>
      </c>
      <c r="AQ41" s="218">
        <v>0.96747967479675145</v>
      </c>
      <c r="AR41" s="218">
        <v>0.99145299145299015</v>
      </c>
      <c r="AS41" s="218">
        <v>33</v>
      </c>
      <c r="AT41" s="218">
        <v>6.5040650406505543E-2</v>
      </c>
      <c r="AU41" s="218">
        <v>0.5447154471544714</v>
      </c>
      <c r="AV41" s="218">
        <v>0.84166666666666956</v>
      </c>
      <c r="AW41" s="218">
        <v>0.89999999999999369</v>
      </c>
      <c r="AX41" s="218">
        <f>AX40</f>
        <v>0.96581196581197226</v>
      </c>
    </row>
    <row r="42" spans="1:50">
      <c r="A42" s="429">
        <v>0.67765046296296294</v>
      </c>
      <c r="B42" s="218">
        <v>20.3</v>
      </c>
      <c r="C42" s="218" t="s">
        <v>314</v>
      </c>
      <c r="D42" s="218">
        <v>10.199999999999999</v>
      </c>
      <c r="E42" s="218" t="s">
        <v>315</v>
      </c>
      <c r="F42" s="218">
        <v>22.7</v>
      </c>
      <c r="G42" s="218" t="s">
        <v>316</v>
      </c>
      <c r="P42" s="218">
        <v>37</v>
      </c>
      <c r="Q42" s="218">
        <v>9.9999999999997868E-2</v>
      </c>
      <c r="R42" s="218">
        <v>4</v>
      </c>
      <c r="S42" s="218">
        <v>1</v>
      </c>
      <c r="T42" s="218">
        <v>1.6999999999999993</v>
      </c>
      <c r="U42" s="273">
        <v>0.5882352941176473</v>
      </c>
      <c r="V42" s="218">
        <v>0.77798861480075954</v>
      </c>
      <c r="W42" s="250">
        <v>1.3289526810363269E-2</v>
      </c>
      <c r="X42" s="250">
        <v>3.752759381898453E-3</v>
      </c>
      <c r="Z42" s="218">
        <v>34</v>
      </c>
      <c r="AA42" s="435">
        <v>3.6791758646063282E-3</v>
      </c>
      <c r="AB42" s="435">
        <v>0.22482638888888898</v>
      </c>
      <c r="AC42" s="435">
        <v>0.10606060606060616</v>
      </c>
      <c r="AD42" s="435">
        <v>0.31746031746031711</v>
      </c>
      <c r="AE42" s="435">
        <v>0.29535864978902998</v>
      </c>
      <c r="AG42" s="218">
        <v>34</v>
      </c>
      <c r="AH42" s="218">
        <v>0.45528455284552871</v>
      </c>
      <c r="AI42" s="218">
        <v>0.87242798353909523</v>
      </c>
      <c r="AJ42" s="218">
        <v>1</v>
      </c>
      <c r="AK42" s="218">
        <v>0.96899224806201545</v>
      </c>
      <c r="AL42" s="218">
        <v>1.0476190476190477</v>
      </c>
      <c r="AM42" s="218">
        <v>34</v>
      </c>
      <c r="AN42" s="218">
        <v>0.31782945736434143</v>
      </c>
      <c r="AO42" s="218">
        <v>0.99186991869918728</v>
      </c>
      <c r="AP42" s="218">
        <v>1.0000000000000029</v>
      </c>
      <c r="AQ42" s="218">
        <v>0.9756097560975644</v>
      </c>
      <c r="AR42" s="218">
        <v>0.98290598290598186</v>
      </c>
      <c r="AS42" s="218">
        <v>34</v>
      </c>
      <c r="AT42" s="218">
        <v>8.1300813008131204E-2</v>
      </c>
      <c r="AU42" s="218">
        <v>0.56910569105690978</v>
      </c>
      <c r="AV42" s="218">
        <v>0.86666666666666903</v>
      </c>
      <c r="AW42" s="218">
        <v>0.90833333333332822</v>
      </c>
      <c r="AX42" s="218">
        <f>AX43</f>
        <v>0.98290598290598608</v>
      </c>
    </row>
    <row r="43" spans="1:50">
      <c r="A43" s="429">
        <v>0.67766203703703709</v>
      </c>
      <c r="B43" s="218">
        <v>20.3</v>
      </c>
      <c r="C43" s="218" t="s">
        <v>314</v>
      </c>
      <c r="D43" s="218">
        <v>10.199999999999999</v>
      </c>
      <c r="E43" s="218" t="s">
        <v>315</v>
      </c>
      <c r="F43" s="218">
        <v>22.7</v>
      </c>
      <c r="G43" s="218" t="s">
        <v>316</v>
      </c>
      <c r="P43" s="218">
        <v>38</v>
      </c>
      <c r="Q43" s="218">
        <v>9.9999999999997868E-2</v>
      </c>
      <c r="R43" s="218">
        <v>5</v>
      </c>
      <c r="S43" s="218">
        <v>1</v>
      </c>
      <c r="T43" s="218">
        <v>2.0333333333333328</v>
      </c>
      <c r="U43" s="273">
        <v>0.49180327868852475</v>
      </c>
      <c r="V43" s="218">
        <v>0.54001928640308605</v>
      </c>
      <c r="W43" s="250">
        <v>9.2245575940786209E-3</v>
      </c>
      <c r="X43" s="250">
        <v>4.4885945548197191E-3</v>
      </c>
      <c r="Z43" s="218">
        <v>35</v>
      </c>
      <c r="AA43" s="435">
        <v>1.5452538631346563E-3</v>
      </c>
      <c r="AB43" s="435">
        <v>0.22829861111111119</v>
      </c>
      <c r="AC43" s="435">
        <v>0.11363636363636392</v>
      </c>
      <c r="AD43" s="435">
        <v>0.35714285714285732</v>
      </c>
      <c r="AE43" s="435">
        <v>0.3206751054852327</v>
      </c>
      <c r="AG43" s="218">
        <v>35</v>
      </c>
      <c r="AH43" s="218">
        <v>0.47967479674796865</v>
      </c>
      <c r="AI43" s="218">
        <v>0.88065843621399231</v>
      </c>
      <c r="AJ43" s="218">
        <v>1.0081300813008127</v>
      </c>
      <c r="AK43" s="218">
        <v>0.97674418604651148</v>
      </c>
      <c r="AL43" s="218">
        <v>1.0396825396825398</v>
      </c>
      <c r="AM43" s="218">
        <v>35</v>
      </c>
      <c r="AN43" s="218">
        <v>0.34883720930232659</v>
      </c>
      <c r="AO43" s="218">
        <v>0.99186991869918728</v>
      </c>
      <c r="AP43" s="218">
        <v>1.0000000000000029</v>
      </c>
      <c r="AQ43" s="218">
        <v>0.95934959349593862</v>
      </c>
      <c r="AR43" s="218">
        <v>0.98290598290598186</v>
      </c>
      <c r="AS43" s="218">
        <v>35</v>
      </c>
      <c r="AT43" s="218">
        <v>8.9430894308945491E-2</v>
      </c>
      <c r="AU43" s="218">
        <v>0.59349593495934982</v>
      </c>
      <c r="AV43" s="218">
        <v>0.88333333333333541</v>
      </c>
      <c r="AW43" s="218">
        <v>0.90833333333332822</v>
      </c>
      <c r="AX43" s="218">
        <v>0.98290598290598608</v>
      </c>
    </row>
    <row r="44" spans="1:50">
      <c r="A44" s="429">
        <v>0.67767361111111113</v>
      </c>
      <c r="B44" s="218">
        <v>20.3</v>
      </c>
      <c r="C44" s="218" t="s">
        <v>314</v>
      </c>
      <c r="D44" s="218">
        <v>10.199999999999999</v>
      </c>
      <c r="E44" s="218" t="s">
        <v>315</v>
      </c>
      <c r="F44" s="218">
        <v>22.7</v>
      </c>
      <c r="G44" s="218" t="s">
        <v>316</v>
      </c>
      <c r="P44" s="218">
        <v>39</v>
      </c>
      <c r="Q44" s="218">
        <v>9.9999999999997868E-2</v>
      </c>
      <c r="R44" s="218">
        <v>5</v>
      </c>
      <c r="S44" s="218">
        <v>0</v>
      </c>
      <c r="T44" s="218">
        <v>1.6999999999999993</v>
      </c>
      <c r="U44" s="273">
        <v>0.5882352941176473</v>
      </c>
      <c r="V44" s="218">
        <v>0.54001928640308605</v>
      </c>
      <c r="W44" s="250">
        <v>9.2245575940786209E-3</v>
      </c>
      <c r="X44" s="250">
        <v>3.752759381898453E-3</v>
      </c>
      <c r="Z44" s="218">
        <v>36</v>
      </c>
      <c r="AA44" s="435">
        <v>2.2810890360559217E-3</v>
      </c>
      <c r="AB44" s="435">
        <v>0.23871527777777787</v>
      </c>
      <c r="AC44" s="435">
        <v>0.12878787878787876</v>
      </c>
      <c r="AD44" s="435">
        <v>0.37301587301587291</v>
      </c>
      <c r="AE44" s="435">
        <v>0.34599156118143554</v>
      </c>
      <c r="AG44" s="218">
        <v>36</v>
      </c>
      <c r="AH44" s="218">
        <v>0.52032520325203424</v>
      </c>
      <c r="AI44" s="218">
        <v>0.88888888888888928</v>
      </c>
      <c r="AJ44" s="218">
        <v>1.0081300813008127</v>
      </c>
      <c r="AK44" s="218">
        <v>0.97674418604651148</v>
      </c>
      <c r="AL44" s="218">
        <v>1.0396825396825398</v>
      </c>
      <c r="AM44" s="218">
        <v>36</v>
      </c>
      <c r="AN44" s="218">
        <v>0.37984496124031047</v>
      </c>
      <c r="AO44" s="218">
        <v>0.99186991869918728</v>
      </c>
      <c r="AP44" s="218">
        <v>1.0166666666666693</v>
      </c>
      <c r="AQ44" s="218">
        <v>0.95934959349593862</v>
      </c>
      <c r="AR44" s="218">
        <v>0.98290598290598186</v>
      </c>
      <c r="AS44" s="218">
        <v>36</v>
      </c>
      <c r="AT44" s="218">
        <v>0.10569105691056827</v>
      </c>
      <c r="AU44" s="218">
        <v>0.61788617886178687</v>
      </c>
      <c r="AV44" s="218">
        <v>0.88333333333333541</v>
      </c>
      <c r="AW44" s="218">
        <v>0.93333333333332913</v>
      </c>
      <c r="AX44" s="218">
        <f>AX45</f>
        <v>0.99145299145299615</v>
      </c>
    </row>
    <row r="45" spans="1:50">
      <c r="A45" s="429">
        <v>0.67768518518518517</v>
      </c>
      <c r="B45" s="218">
        <v>20.399999999999999</v>
      </c>
      <c r="C45" s="218" t="s">
        <v>314</v>
      </c>
      <c r="D45" s="218">
        <v>10.199999999999999</v>
      </c>
      <c r="E45" s="218" t="s">
        <v>315</v>
      </c>
      <c r="F45" s="218">
        <v>22.7</v>
      </c>
      <c r="G45" s="218" t="s">
        <v>316</v>
      </c>
      <c r="P45" s="218">
        <v>40</v>
      </c>
      <c r="Q45" s="218">
        <v>0.19999999999999929</v>
      </c>
      <c r="R45" s="218">
        <v>6</v>
      </c>
      <c r="S45" s="218">
        <v>0</v>
      </c>
      <c r="T45" s="218">
        <v>2.0666666666666664</v>
      </c>
      <c r="U45" s="273">
        <v>0.48387096774193555</v>
      </c>
      <c r="V45" s="218">
        <v>0.53605313092979145</v>
      </c>
      <c r="W45" s="250">
        <v>9.1568081071405419E-3</v>
      </c>
      <c r="X45" s="250">
        <v>4.5621780721118461E-3</v>
      </c>
      <c r="Z45" s="218">
        <v>37</v>
      </c>
      <c r="AA45" s="435">
        <v>3.752759381898453E-3</v>
      </c>
      <c r="AB45" s="435">
        <v>0.2552083333333332</v>
      </c>
      <c r="AC45" s="435">
        <v>0.13636363636363652</v>
      </c>
      <c r="AD45" s="435">
        <v>0.39682539682539686</v>
      </c>
      <c r="AE45" s="435">
        <v>0.3713080168776382</v>
      </c>
      <c r="AG45" s="218">
        <v>37</v>
      </c>
      <c r="AH45" s="218">
        <v>0.54471544715447284</v>
      </c>
      <c r="AI45" s="218">
        <v>0.89711934156378603</v>
      </c>
      <c r="AJ45" s="218">
        <v>1.0243902439024393</v>
      </c>
      <c r="AK45" s="218">
        <v>0.98449612403100739</v>
      </c>
      <c r="AL45" s="218">
        <v>1.0396825396825398</v>
      </c>
      <c r="AM45" s="218">
        <v>37</v>
      </c>
      <c r="AN45" s="218">
        <v>0.42635658914728691</v>
      </c>
      <c r="AO45" s="218">
        <v>0.98373983739837434</v>
      </c>
      <c r="AP45" s="218">
        <v>1.0083333333333362</v>
      </c>
      <c r="AQ45" s="218">
        <v>0.95934959349593862</v>
      </c>
      <c r="AR45" s="218">
        <v>0.98290598290598186</v>
      </c>
      <c r="AS45" s="218">
        <v>37</v>
      </c>
      <c r="AT45" s="218">
        <v>0.12195121951219683</v>
      </c>
      <c r="AU45" s="218">
        <v>0.62601626016260103</v>
      </c>
      <c r="AV45" s="218">
        <v>0.90833333333333499</v>
      </c>
      <c r="AW45" s="218">
        <v>0.93333333333332913</v>
      </c>
      <c r="AX45" s="218">
        <v>0.99145299145299615</v>
      </c>
    </row>
    <row r="46" spans="1:50">
      <c r="A46" s="429">
        <v>0.67769675925925921</v>
      </c>
      <c r="B46" s="218">
        <v>20.3</v>
      </c>
      <c r="C46" s="218" t="s">
        <v>314</v>
      </c>
      <c r="D46" s="218">
        <v>10.199999999999999</v>
      </c>
      <c r="E46" s="218" t="s">
        <v>315</v>
      </c>
      <c r="F46" s="218">
        <v>22.7</v>
      </c>
      <c r="G46" s="218" t="s">
        <v>316</v>
      </c>
      <c r="P46" s="218">
        <v>41</v>
      </c>
      <c r="Q46" s="218">
        <v>0.19999999999999929</v>
      </c>
      <c r="R46" s="218">
        <v>6</v>
      </c>
      <c r="S46" s="218">
        <v>1</v>
      </c>
      <c r="T46" s="218">
        <v>2.4</v>
      </c>
      <c r="U46" s="273">
        <v>0.41666666666666669</v>
      </c>
      <c r="V46" s="218">
        <v>0.45026881720430112</v>
      </c>
      <c r="W46" s="250">
        <v>7.6914486976645095E-3</v>
      </c>
      <c r="X46" s="250">
        <v>5.2980132450331126E-3</v>
      </c>
      <c r="Z46" s="218">
        <v>38</v>
      </c>
      <c r="AA46" s="435">
        <v>4.4885945548197191E-3</v>
      </c>
      <c r="AB46" s="435">
        <v>0.27170138888888901</v>
      </c>
      <c r="AC46" s="435">
        <v>0.15151515151515135</v>
      </c>
      <c r="AD46" s="435">
        <v>0.42857142857142871</v>
      </c>
      <c r="AE46" s="435">
        <v>0.38818565400843957</v>
      </c>
      <c r="AG46" s="218">
        <v>38</v>
      </c>
      <c r="AH46" s="218">
        <v>0.56910569105691122</v>
      </c>
      <c r="AI46" s="218">
        <v>0.91358024691357997</v>
      </c>
      <c r="AJ46" s="218">
        <v>1.0243902439024393</v>
      </c>
      <c r="AK46" s="218">
        <v>0.99224806201550408</v>
      </c>
      <c r="AL46" s="218">
        <v>1.0396825396825398</v>
      </c>
      <c r="AM46" s="218">
        <v>38</v>
      </c>
      <c r="AN46" s="218">
        <v>0.45736434108527152</v>
      </c>
      <c r="AO46" s="218">
        <v>1</v>
      </c>
      <c r="AP46" s="218">
        <v>1.0000000000000029</v>
      </c>
      <c r="AQ46" s="218">
        <v>0.95934959349593862</v>
      </c>
      <c r="AR46" s="218">
        <v>0.97435897435897334</v>
      </c>
      <c r="AS46" s="218">
        <v>38</v>
      </c>
      <c r="AT46" s="218">
        <v>0.13821138211382247</v>
      </c>
      <c r="AU46" s="218">
        <v>0.65040650406503964</v>
      </c>
      <c r="AV46" s="218">
        <v>0.90833333333333499</v>
      </c>
      <c r="AW46" s="218">
        <v>0.94166666666666377</v>
      </c>
      <c r="AX46" s="218">
        <v>0.98290598290598608</v>
      </c>
    </row>
    <row r="47" spans="1:50">
      <c r="A47" s="429">
        <v>0.67770833333333336</v>
      </c>
      <c r="B47" s="218">
        <v>20.3</v>
      </c>
      <c r="C47" s="218" t="s">
        <v>314</v>
      </c>
      <c r="D47" s="218">
        <v>10.199999999999999</v>
      </c>
      <c r="E47" s="218" t="s">
        <v>315</v>
      </c>
      <c r="F47" s="218">
        <v>22.7</v>
      </c>
      <c r="G47" s="218" t="s">
        <v>316</v>
      </c>
      <c r="P47" s="218">
        <v>42</v>
      </c>
      <c r="Q47" s="218">
        <v>0.19999999999999929</v>
      </c>
      <c r="R47" s="218">
        <v>8</v>
      </c>
      <c r="S47" s="218">
        <v>1</v>
      </c>
      <c r="T47" s="218">
        <v>3.0666666666666664</v>
      </c>
      <c r="U47" s="273">
        <v>0.32608695652173914</v>
      </c>
      <c r="V47" s="218">
        <v>0.37137681159420288</v>
      </c>
      <c r="W47" s="250">
        <v>6.3438230335701434E-3</v>
      </c>
      <c r="X47" s="250">
        <v>6.769683590875643E-3</v>
      </c>
      <c r="Z47" s="218">
        <v>39</v>
      </c>
      <c r="AA47" s="435">
        <v>3.752759381898453E-3</v>
      </c>
      <c r="AB47" s="435">
        <v>0.29079861111111099</v>
      </c>
      <c r="AC47" s="435">
        <v>0.16666666666666616</v>
      </c>
      <c r="AD47" s="435">
        <v>0.4444444444444442</v>
      </c>
      <c r="AE47" s="435">
        <v>0.42194092827004215</v>
      </c>
      <c r="AG47" s="218">
        <v>39</v>
      </c>
      <c r="AH47" s="218">
        <v>0.59349593495934982</v>
      </c>
      <c r="AI47" s="218">
        <v>0.93827160493827078</v>
      </c>
      <c r="AJ47" s="218">
        <v>1.0162601626016265</v>
      </c>
      <c r="AK47" s="218">
        <v>1.0000000000000007</v>
      </c>
      <c r="AL47" s="218">
        <v>1.0317460317460321</v>
      </c>
      <c r="AM47" s="218">
        <v>39</v>
      </c>
      <c r="AN47" s="218">
        <v>0.49612403100775204</v>
      </c>
      <c r="AO47" s="218">
        <v>0.99186991869918728</v>
      </c>
      <c r="AP47" s="218">
        <v>1.0083333333333362</v>
      </c>
      <c r="AQ47" s="218">
        <v>0.95934959349593862</v>
      </c>
      <c r="AR47" s="218">
        <v>0.99145299145299015</v>
      </c>
      <c r="AS47" s="218">
        <v>39</v>
      </c>
      <c r="AT47" s="218">
        <v>0.16260162601626241</v>
      </c>
      <c r="AU47" s="218">
        <v>0.66666666666666385</v>
      </c>
      <c r="AV47" s="218">
        <v>0.93333333333333446</v>
      </c>
      <c r="AW47" s="218">
        <v>0.93333333333332913</v>
      </c>
      <c r="AX47" s="218">
        <v>0.99145299145299615</v>
      </c>
    </row>
    <row r="48" spans="1:50">
      <c r="A48" s="429">
        <v>0.67771990740740751</v>
      </c>
      <c r="B48" s="218">
        <v>20.399999999999999</v>
      </c>
      <c r="C48" s="218" t="s">
        <v>314</v>
      </c>
      <c r="D48" s="218">
        <v>10.199999999999999</v>
      </c>
      <c r="E48" s="218" t="s">
        <v>315</v>
      </c>
      <c r="F48" s="218">
        <v>22.7</v>
      </c>
      <c r="G48" s="218" t="s">
        <v>316</v>
      </c>
      <c r="P48" s="218">
        <v>43</v>
      </c>
      <c r="Q48" s="218">
        <v>0.30000000000000071</v>
      </c>
      <c r="R48" s="218">
        <v>8</v>
      </c>
      <c r="S48" s="218">
        <v>1</v>
      </c>
      <c r="T48" s="218">
        <v>3.1</v>
      </c>
      <c r="U48" s="273">
        <v>0.32258064516129031</v>
      </c>
      <c r="V48" s="218">
        <v>0.32433380084151475</v>
      </c>
      <c r="W48" s="250">
        <v>5.5402388412768367E-3</v>
      </c>
      <c r="X48" s="250">
        <v>6.8432671081677708E-3</v>
      </c>
      <c r="Z48" s="218">
        <v>40</v>
      </c>
      <c r="AA48" s="435">
        <v>4.5621780721118461E-3</v>
      </c>
      <c r="AB48" s="435">
        <v>0.29600694444444436</v>
      </c>
      <c r="AC48" s="435">
        <v>0.18181818181818199</v>
      </c>
      <c r="AD48" s="435">
        <v>0.476190476190476</v>
      </c>
      <c r="AE48" s="435">
        <v>0.4472573839662457</v>
      </c>
      <c r="AG48" s="218">
        <v>40</v>
      </c>
      <c r="AH48" s="218">
        <v>0.60975609756097549</v>
      </c>
      <c r="AI48" s="218">
        <v>0.93827160493827078</v>
      </c>
      <c r="AJ48" s="218">
        <v>1.0081300813008127</v>
      </c>
      <c r="AK48" s="218">
        <v>0.97674418604651148</v>
      </c>
      <c r="AL48" s="218">
        <v>1.0317460317460321</v>
      </c>
      <c r="AM48" s="218">
        <v>40</v>
      </c>
      <c r="AN48" s="218">
        <v>0.52713178294573726</v>
      </c>
      <c r="AO48" s="218">
        <v>0.99186991869918728</v>
      </c>
      <c r="AP48" s="218">
        <v>1.0083333333333362</v>
      </c>
      <c r="AQ48" s="218">
        <v>0.96747967479675145</v>
      </c>
      <c r="AR48" s="218">
        <v>0.97435897435897334</v>
      </c>
      <c r="AS48" s="218">
        <v>40</v>
      </c>
      <c r="AT48" s="218">
        <v>0.16260162601626241</v>
      </c>
      <c r="AU48" s="218">
        <v>0.69105691056910379</v>
      </c>
      <c r="AV48" s="218">
        <v>0.94166666666666776</v>
      </c>
      <c r="AW48" s="218">
        <v>0.94166666666666377</v>
      </c>
      <c r="AX48" s="218">
        <v>0.99145299145299615</v>
      </c>
    </row>
    <row r="49" spans="1:50">
      <c r="A49" s="429">
        <v>0.67773148148148143</v>
      </c>
      <c r="B49" s="218">
        <v>20.399999999999999</v>
      </c>
      <c r="C49" s="218" t="s">
        <v>314</v>
      </c>
      <c r="D49" s="218">
        <v>10.199999999999999</v>
      </c>
      <c r="E49" s="218" t="s">
        <v>315</v>
      </c>
      <c r="F49" s="218">
        <v>22.7</v>
      </c>
      <c r="G49" s="218" t="s">
        <v>316</v>
      </c>
      <c r="P49" s="218">
        <v>44</v>
      </c>
      <c r="Q49" s="218">
        <v>0.39999999999999858</v>
      </c>
      <c r="R49" s="218">
        <v>10</v>
      </c>
      <c r="S49" s="218">
        <v>1</v>
      </c>
      <c r="T49" s="218">
        <v>3.7999999999999994</v>
      </c>
      <c r="U49" s="273">
        <v>0.26315789473684215</v>
      </c>
      <c r="V49" s="218">
        <v>0.29286926994906626</v>
      </c>
      <c r="W49" s="250">
        <v>5.0027647460064526E-3</v>
      </c>
      <c r="X49" s="250">
        <v>8.3885209713024274E-3</v>
      </c>
      <c r="Z49" s="218">
        <v>41</v>
      </c>
      <c r="AA49" s="435">
        <v>5.2980132450331126E-3</v>
      </c>
      <c r="AB49" s="435">
        <v>0.32378472222222215</v>
      </c>
      <c r="AC49" s="435">
        <v>0.18939393939393942</v>
      </c>
      <c r="AD49" s="435">
        <v>0.5079365079365078</v>
      </c>
      <c r="AE49" s="435">
        <v>0.47257383966244837</v>
      </c>
      <c r="AG49" s="218">
        <v>41</v>
      </c>
      <c r="AH49" s="218">
        <v>0.61788617886178832</v>
      </c>
      <c r="AI49" s="218">
        <v>0.93827160493827078</v>
      </c>
      <c r="AJ49" s="218">
        <v>1.0081300813008127</v>
      </c>
      <c r="AK49" s="218">
        <v>0.97674418604651148</v>
      </c>
      <c r="AL49" s="218">
        <v>1.0317460317460321</v>
      </c>
      <c r="AM49" s="218">
        <v>41</v>
      </c>
      <c r="AN49" s="218">
        <v>0.57364341085271375</v>
      </c>
      <c r="AO49" s="218">
        <v>1</v>
      </c>
      <c r="AP49" s="218">
        <v>1.0083333333333362</v>
      </c>
      <c r="AQ49" s="218">
        <v>0.95934959349593862</v>
      </c>
      <c r="AR49" s="218">
        <v>0.99145299145299015</v>
      </c>
      <c r="AS49" s="218">
        <v>41</v>
      </c>
      <c r="AT49" s="218">
        <v>0.1788617886178881</v>
      </c>
      <c r="AU49" s="218">
        <v>0.70731707317072789</v>
      </c>
      <c r="AV49" s="218">
        <v>0.95833333333333404</v>
      </c>
      <c r="AW49" s="218">
        <v>0.93333333333332913</v>
      </c>
      <c r="AX49" s="218">
        <f>AX48</f>
        <v>0.99145299145299615</v>
      </c>
    </row>
    <row r="50" spans="1:50">
      <c r="A50" s="429">
        <v>0.67774305555555558</v>
      </c>
      <c r="B50" s="218">
        <v>20.399999999999999</v>
      </c>
      <c r="C50" s="218" t="s">
        <v>314</v>
      </c>
      <c r="D50" s="218">
        <v>10.199999999999999</v>
      </c>
      <c r="E50" s="218" t="s">
        <v>315</v>
      </c>
      <c r="F50" s="218">
        <v>22.7</v>
      </c>
      <c r="G50" s="218" t="s">
        <v>316</v>
      </c>
      <c r="P50" s="218">
        <v>45</v>
      </c>
      <c r="Q50" s="218">
        <v>0.5</v>
      </c>
      <c r="R50" s="218">
        <v>11</v>
      </c>
      <c r="S50" s="218">
        <v>0</v>
      </c>
      <c r="T50" s="218">
        <v>3.8333333333333335</v>
      </c>
      <c r="U50" s="273">
        <v>0.2608695652173913</v>
      </c>
      <c r="V50" s="218">
        <v>0.26201372997711669</v>
      </c>
      <c r="W50" s="250">
        <v>4.4756933751606554E-3</v>
      </c>
      <c r="X50" s="250">
        <v>8.4621044885945552E-3</v>
      </c>
      <c r="Z50" s="218">
        <v>42</v>
      </c>
      <c r="AA50" s="435">
        <v>6.769683590875643E-3</v>
      </c>
      <c r="AB50" s="435">
        <v>0.33246527777777773</v>
      </c>
      <c r="AC50" s="435">
        <v>0.21212121212121202</v>
      </c>
      <c r="AD50" s="435">
        <v>0.53174603174603174</v>
      </c>
      <c r="AE50" s="435">
        <v>0.49789029535865043</v>
      </c>
      <c r="AG50" s="218">
        <v>42</v>
      </c>
      <c r="AH50" s="218">
        <v>0.65853658536585391</v>
      </c>
      <c r="AI50" s="218">
        <v>0.93827160493827078</v>
      </c>
      <c r="AJ50" s="218">
        <v>1.0162601626016259</v>
      </c>
      <c r="AK50" s="218">
        <v>0.97674418604651148</v>
      </c>
      <c r="AL50" s="218">
        <v>1.0317460317460321</v>
      </c>
      <c r="AM50" s="218">
        <v>42</v>
      </c>
      <c r="AN50" s="218">
        <v>0.59689922480620228</v>
      </c>
      <c r="AO50" s="218">
        <v>1</v>
      </c>
      <c r="AP50" s="218">
        <v>1.0083333333333362</v>
      </c>
      <c r="AQ50" s="218">
        <v>0.98373983739837723</v>
      </c>
      <c r="AR50" s="218">
        <v>0.99145299145299015</v>
      </c>
      <c r="AS50" s="218">
        <v>42</v>
      </c>
      <c r="AT50" s="218">
        <v>0.19512195121951376</v>
      </c>
      <c r="AU50" s="218">
        <v>0.73170731707316794</v>
      </c>
      <c r="AV50" s="218">
        <v>0.95833333333333404</v>
      </c>
      <c r="AW50" s="218">
        <v>0.94166666666666377</v>
      </c>
      <c r="AX50" s="218">
        <v>0.99145299145299615</v>
      </c>
    </row>
    <row r="51" spans="1:50">
      <c r="A51" s="429">
        <v>0.67775462962962962</v>
      </c>
      <c r="B51" s="218">
        <v>20.399999999999999</v>
      </c>
      <c r="C51" s="218" t="s">
        <v>314</v>
      </c>
      <c r="D51" s="218">
        <v>10.199999999999999</v>
      </c>
      <c r="E51" s="218" t="s">
        <v>315</v>
      </c>
      <c r="F51" s="218">
        <v>22.7</v>
      </c>
      <c r="G51" s="218" t="s">
        <v>316</v>
      </c>
      <c r="P51" s="218">
        <v>46</v>
      </c>
      <c r="Q51" s="218">
        <v>0.5</v>
      </c>
      <c r="R51" s="218">
        <v>12</v>
      </c>
      <c r="S51" s="218">
        <v>0</v>
      </c>
      <c r="T51" s="218">
        <v>4.166666666666667</v>
      </c>
      <c r="U51" s="273">
        <v>0.24</v>
      </c>
      <c r="V51" s="218">
        <v>0.25043478260869567</v>
      </c>
      <c r="W51" s="250">
        <v>4.2779029081011543E-3</v>
      </c>
      <c r="X51" s="250">
        <v>9.1979396615158217E-3</v>
      </c>
      <c r="Z51" s="218">
        <v>43</v>
      </c>
      <c r="AA51" s="435">
        <v>6.8432671081677708E-3</v>
      </c>
      <c r="AB51" s="435">
        <v>0.33940972222222215</v>
      </c>
      <c r="AC51" s="435">
        <v>0.24242424242424199</v>
      </c>
      <c r="AD51" s="435">
        <v>0.54761904761904734</v>
      </c>
      <c r="AE51" s="435">
        <v>0.51476793248945174</v>
      </c>
      <c r="AG51" s="218">
        <v>43</v>
      </c>
      <c r="AH51" s="218">
        <v>0.67479674796748101</v>
      </c>
      <c r="AI51" s="218">
        <v>0.94650205761316775</v>
      </c>
      <c r="AJ51" s="218">
        <v>1.0081300813008127</v>
      </c>
      <c r="AK51" s="218">
        <v>0.97674418604651148</v>
      </c>
      <c r="AL51" s="218">
        <v>1.0317460317460321</v>
      </c>
      <c r="AM51" s="218">
        <v>43</v>
      </c>
      <c r="AN51" s="218">
        <v>0.63565891472868219</v>
      </c>
      <c r="AO51" s="218">
        <v>0.99186991869918728</v>
      </c>
      <c r="AP51" s="218">
        <v>0.99166666666666825</v>
      </c>
      <c r="AQ51" s="218">
        <v>0.9756097560975644</v>
      </c>
      <c r="AR51" s="218">
        <v>0.98290598290598186</v>
      </c>
      <c r="AS51" s="218">
        <v>43</v>
      </c>
      <c r="AT51" s="218">
        <v>0.21138211382114233</v>
      </c>
      <c r="AU51" s="218">
        <v>0.73983739837398077</v>
      </c>
      <c r="AV51" s="218">
        <v>0.96666666666666734</v>
      </c>
      <c r="AW51" s="218">
        <v>0.93333333333332913</v>
      </c>
      <c r="AX51" s="218">
        <f>AX50</f>
        <v>0.99145299145299615</v>
      </c>
    </row>
    <row r="52" spans="1:50">
      <c r="A52" s="429">
        <v>0.67776620370370377</v>
      </c>
      <c r="B52" s="218">
        <v>20.3</v>
      </c>
      <c r="C52" s="218" t="s">
        <v>314</v>
      </c>
      <c r="D52" s="218">
        <v>10.199999999999999</v>
      </c>
      <c r="E52" s="218" t="s">
        <v>315</v>
      </c>
      <c r="F52" s="218">
        <v>22.7</v>
      </c>
      <c r="G52" s="218" t="s">
        <v>316</v>
      </c>
      <c r="P52" s="218">
        <v>47</v>
      </c>
      <c r="Q52" s="218">
        <v>0.59999999999999787</v>
      </c>
      <c r="R52" s="218">
        <v>15</v>
      </c>
      <c r="S52" s="218">
        <v>1</v>
      </c>
      <c r="T52" s="218">
        <v>5.5333333333333323</v>
      </c>
      <c r="U52" s="273">
        <v>0.18072289156626509</v>
      </c>
      <c r="V52" s="218">
        <v>0.21036144578313254</v>
      </c>
      <c r="W52" s="250">
        <v>3.5933740165563538E-3</v>
      </c>
      <c r="X52" s="250">
        <v>1.2214863870493007E-2</v>
      </c>
      <c r="Z52" s="218">
        <v>44</v>
      </c>
      <c r="AA52" s="435">
        <v>8.3885209713024274E-3</v>
      </c>
      <c r="AB52" s="435">
        <v>0.36024305555555575</v>
      </c>
      <c r="AC52" s="435">
        <v>0.25000000000000011</v>
      </c>
      <c r="AD52" s="435">
        <v>0.56349206349206282</v>
      </c>
      <c r="AE52" s="435">
        <v>0.54008438818565452</v>
      </c>
      <c r="AG52" s="218">
        <v>44</v>
      </c>
      <c r="AH52" s="218">
        <v>0.69918699186992095</v>
      </c>
      <c r="AI52" s="218">
        <v>0.96296296296296158</v>
      </c>
      <c r="AJ52" s="218">
        <v>1.0243902439024393</v>
      </c>
      <c r="AK52" s="218">
        <v>0.97674418604651148</v>
      </c>
      <c r="AL52" s="218">
        <v>1.0317460317460321</v>
      </c>
      <c r="AM52" s="218">
        <v>44</v>
      </c>
      <c r="AN52" s="218">
        <v>0.65891472868217071</v>
      </c>
      <c r="AO52" s="218">
        <v>0.98373983739837434</v>
      </c>
      <c r="AP52" s="218">
        <v>0.99166666666666825</v>
      </c>
      <c r="AQ52" s="218">
        <v>0.9756097560975644</v>
      </c>
      <c r="AR52" s="218">
        <v>0.99145299145299015</v>
      </c>
      <c r="AS52" s="218">
        <v>44</v>
      </c>
      <c r="AT52" s="218">
        <v>0.21951219512195369</v>
      </c>
      <c r="AU52" s="218">
        <v>0.75609756097560932</v>
      </c>
      <c r="AV52" s="218">
        <v>0.96666666666666734</v>
      </c>
      <c r="AW52" s="218">
        <v>0.94166666666666377</v>
      </c>
      <c r="AX52" s="218">
        <f t="shared" ref="AX52:AX61" si="0">AX51</f>
        <v>0.99145299145299615</v>
      </c>
    </row>
    <row r="53" spans="1:50">
      <c r="A53" s="429">
        <v>0.6777777777777777</v>
      </c>
      <c r="B53" s="218">
        <v>20.399999999999999</v>
      </c>
      <c r="C53" s="218" t="s">
        <v>314</v>
      </c>
      <c r="D53" s="218">
        <v>10.199999999999999</v>
      </c>
      <c r="E53" s="218" t="s">
        <v>315</v>
      </c>
      <c r="F53" s="218">
        <v>22.7</v>
      </c>
      <c r="G53" s="218" t="s">
        <v>316</v>
      </c>
      <c r="P53" s="218">
        <v>48</v>
      </c>
      <c r="Q53" s="218">
        <v>0.89999999999999858</v>
      </c>
      <c r="R53" s="218">
        <v>18</v>
      </c>
      <c r="S53" s="218">
        <v>1</v>
      </c>
      <c r="T53" s="218">
        <v>6.6333333333333329</v>
      </c>
      <c r="U53" s="273">
        <v>0.15075376884422112</v>
      </c>
      <c r="V53" s="218">
        <v>0.16573833020524309</v>
      </c>
      <c r="W53" s="250">
        <v>2.8311262412644604E-3</v>
      </c>
      <c r="X53" s="250">
        <v>1.4643119941133185E-2</v>
      </c>
      <c r="Z53" s="218">
        <v>45</v>
      </c>
      <c r="AA53" s="435">
        <v>8.4621044885945552E-3</v>
      </c>
      <c r="AB53" s="435">
        <v>0.37152777777777773</v>
      </c>
      <c r="AC53" s="435">
        <v>0.25757575757575785</v>
      </c>
      <c r="AD53" s="435">
        <v>0.57936507936507908</v>
      </c>
      <c r="AE53" s="435">
        <v>0.54852320675105593</v>
      </c>
      <c r="AG53" s="218">
        <v>45</v>
      </c>
      <c r="AH53" s="218">
        <v>0.69105691056910667</v>
      </c>
      <c r="AI53" s="218">
        <v>0.97942386831275563</v>
      </c>
      <c r="AJ53" s="218">
        <v>1.0243902439024393</v>
      </c>
      <c r="AK53" s="218">
        <v>0.97674418604651148</v>
      </c>
      <c r="AL53" s="218">
        <v>1.0317460317460321</v>
      </c>
      <c r="AM53" s="218">
        <v>45</v>
      </c>
      <c r="AN53" s="218">
        <v>0.66666666666666663</v>
      </c>
      <c r="AO53" s="218">
        <v>1</v>
      </c>
      <c r="AP53" s="218">
        <v>1.0000000000000029</v>
      </c>
      <c r="AQ53" s="218">
        <v>0.98373983739837723</v>
      </c>
      <c r="AR53" s="218">
        <v>0.98290598290598186</v>
      </c>
      <c r="AS53" s="218">
        <v>45</v>
      </c>
      <c r="AT53" s="218">
        <v>0.24390243902439077</v>
      </c>
      <c r="AU53" s="218">
        <v>0.7642276422764207</v>
      </c>
      <c r="AV53" s="218">
        <v>0.97500000000000053</v>
      </c>
      <c r="AW53" s="218">
        <v>0.94999999999999829</v>
      </c>
      <c r="AX53" s="218">
        <f t="shared" si="0"/>
        <v>0.99145299145299615</v>
      </c>
    </row>
    <row r="54" spans="1:50">
      <c r="A54" s="429">
        <v>0.67778935185185185</v>
      </c>
      <c r="B54" s="218">
        <v>20.3</v>
      </c>
      <c r="C54" s="218" t="s">
        <v>314</v>
      </c>
      <c r="D54" s="218">
        <v>10.199999999999999</v>
      </c>
      <c r="E54" s="218" t="s">
        <v>315</v>
      </c>
      <c r="F54" s="218">
        <v>22.7</v>
      </c>
      <c r="G54" s="218" t="s">
        <v>316</v>
      </c>
      <c r="P54" s="218">
        <v>49</v>
      </c>
      <c r="Q54" s="218">
        <v>1</v>
      </c>
      <c r="R54" s="218">
        <v>19</v>
      </c>
      <c r="S54" s="218">
        <v>1</v>
      </c>
      <c r="T54" s="218">
        <v>7</v>
      </c>
      <c r="U54" s="273">
        <v>0.14285714285714285</v>
      </c>
      <c r="V54" s="218">
        <v>0.146805455850682</v>
      </c>
      <c r="W54" s="250">
        <v>2.5077166996009042E-3</v>
      </c>
      <c r="X54" s="250">
        <v>1.5452538631346579E-2</v>
      </c>
      <c r="Z54" s="218">
        <v>46</v>
      </c>
      <c r="AA54" s="435">
        <v>9.1979396615158217E-3</v>
      </c>
      <c r="AB54" s="435">
        <v>0.37760416666666657</v>
      </c>
      <c r="AC54" s="435">
        <v>0.28030303030303044</v>
      </c>
      <c r="AD54" s="435">
        <v>0.61111111111111149</v>
      </c>
      <c r="AE54" s="435">
        <v>0.5738396624472587</v>
      </c>
      <c r="AG54" s="218">
        <v>46</v>
      </c>
      <c r="AH54" s="218">
        <v>0.7154471544715465</v>
      </c>
      <c r="AI54" s="218">
        <v>0.97119341563785855</v>
      </c>
      <c r="AJ54" s="218">
        <v>1.0243902439024393</v>
      </c>
      <c r="AK54" s="218">
        <v>0.97674418604651148</v>
      </c>
      <c r="AL54" s="218">
        <v>1.0317460317460321</v>
      </c>
      <c r="AM54" s="218">
        <v>46</v>
      </c>
      <c r="AN54" s="218">
        <v>0.6899224806201566</v>
      </c>
      <c r="AO54" s="218">
        <v>0.98373983739837434</v>
      </c>
      <c r="AP54" s="218">
        <v>1.0083333333333362</v>
      </c>
      <c r="AQ54" s="218">
        <v>0.9756097560975644</v>
      </c>
      <c r="AR54" s="218">
        <v>0.98290598290598186</v>
      </c>
      <c r="AS54" s="218">
        <v>46</v>
      </c>
      <c r="AT54" s="218">
        <v>0.25203252032520507</v>
      </c>
      <c r="AU54" s="218">
        <v>0.7804878048780477</v>
      </c>
      <c r="AV54" s="218">
        <v>0.98333333333333361</v>
      </c>
      <c r="AW54" s="218">
        <v>0.94999999999999829</v>
      </c>
      <c r="AX54" s="218">
        <f t="shared" si="0"/>
        <v>0.99145299145299615</v>
      </c>
    </row>
    <row r="55" spans="1:50">
      <c r="A55" s="429">
        <v>0.677800925925926</v>
      </c>
      <c r="B55" s="218">
        <v>20.3</v>
      </c>
      <c r="C55" s="218" t="s">
        <v>314</v>
      </c>
      <c r="D55" s="218">
        <v>10.199999999999999</v>
      </c>
      <c r="E55" s="218" t="s">
        <v>315</v>
      </c>
      <c r="F55" s="218">
        <v>22.7</v>
      </c>
      <c r="G55" s="218" t="s">
        <v>316</v>
      </c>
      <c r="H55" s="218" t="s">
        <v>324</v>
      </c>
      <c r="I55" s="218" t="s">
        <v>325</v>
      </c>
      <c r="J55" s="218">
        <f>B56</f>
        <v>20.3</v>
      </c>
      <c r="K55" s="218" t="str">
        <f>C56</f>
        <v>uS</v>
      </c>
      <c r="P55" s="218">
        <v>50</v>
      </c>
      <c r="Q55" s="218">
        <v>1.0999999999999979</v>
      </c>
      <c r="R55" s="218">
        <v>21</v>
      </c>
      <c r="S55" s="218">
        <v>1</v>
      </c>
      <c r="T55" s="218">
        <v>7.6999999999999993</v>
      </c>
      <c r="U55" s="273">
        <v>0.12987012987012989</v>
      </c>
      <c r="V55" s="218">
        <v>0.13636363636363635</v>
      </c>
      <c r="W55" s="250">
        <v>2.3293505418164428E-3</v>
      </c>
      <c r="X55" s="250">
        <v>1.6997792494481235E-2</v>
      </c>
      <c r="Z55" s="218">
        <v>47</v>
      </c>
      <c r="AA55" s="435">
        <v>1.2214863870493007E-2</v>
      </c>
      <c r="AB55" s="435">
        <v>0.38975694444444459</v>
      </c>
      <c r="AC55" s="435">
        <v>0.30303030303030304</v>
      </c>
      <c r="AD55" s="435">
        <v>0.61904761904761929</v>
      </c>
      <c r="AE55" s="435">
        <v>0.59071729957805996</v>
      </c>
      <c r="AG55" s="218">
        <v>47</v>
      </c>
      <c r="AH55" s="218">
        <v>0.73983739837398499</v>
      </c>
      <c r="AI55" s="218">
        <v>0.97119341563785855</v>
      </c>
      <c r="AJ55" s="218">
        <v>1.0243902439024393</v>
      </c>
      <c r="AK55" s="218">
        <v>0.97674418604651214</v>
      </c>
      <c r="AL55" s="218">
        <v>1.0396825396825398</v>
      </c>
      <c r="AM55" s="218">
        <v>47</v>
      </c>
      <c r="AN55" s="218">
        <v>0.71317829457364446</v>
      </c>
      <c r="AO55" s="218">
        <v>0.98373983739837434</v>
      </c>
      <c r="AP55" s="218">
        <v>1.0083333333333362</v>
      </c>
      <c r="AQ55" s="218">
        <v>0.96747967479675145</v>
      </c>
      <c r="AR55" s="218">
        <v>0.98290598290598186</v>
      </c>
      <c r="AS55" s="218">
        <v>47</v>
      </c>
      <c r="AT55" s="218">
        <v>0.27642276422764206</v>
      </c>
      <c r="AU55" s="218">
        <v>0.79674796747967491</v>
      </c>
      <c r="AV55" s="218">
        <v>0.99166666666666681</v>
      </c>
      <c r="AW55" s="218">
        <v>0.94999999999999829</v>
      </c>
      <c r="AX55" s="218">
        <f t="shared" si="0"/>
        <v>0.99145299145299615</v>
      </c>
    </row>
    <row r="56" spans="1:50">
      <c r="A56" s="432">
        <v>0.67781249999999993</v>
      </c>
      <c r="B56" s="433">
        <v>20.3</v>
      </c>
      <c r="C56" s="433" t="s">
        <v>314</v>
      </c>
      <c r="D56" s="433">
        <v>10.199999999999999</v>
      </c>
      <c r="E56" s="433" t="s">
        <v>315</v>
      </c>
      <c r="F56" s="433">
        <v>22.7</v>
      </c>
      <c r="G56" s="433" t="s">
        <v>316</v>
      </c>
      <c r="H56" s="218" t="s">
        <v>317</v>
      </c>
      <c r="I56" s="218" t="s">
        <v>318</v>
      </c>
      <c r="J56" s="218" t="s">
        <v>319</v>
      </c>
      <c r="K56" s="218" t="s">
        <v>320</v>
      </c>
      <c r="L56" s="218" t="s">
        <v>321</v>
      </c>
      <c r="M56" s="218" t="s">
        <v>322</v>
      </c>
      <c r="N56" s="218" t="s">
        <v>326</v>
      </c>
      <c r="P56" s="218">
        <v>51</v>
      </c>
      <c r="Q56" s="218">
        <v>1.3000000000000007</v>
      </c>
      <c r="R56" s="218">
        <v>22</v>
      </c>
      <c r="S56" s="218">
        <v>3</v>
      </c>
      <c r="T56" s="218">
        <v>8.7666666666666675</v>
      </c>
      <c r="U56" s="273">
        <v>0.11406844106463877</v>
      </c>
      <c r="V56" s="218">
        <v>0.12196928546738434</v>
      </c>
      <c r="W56" s="250">
        <v>2.0834676220483849E-3</v>
      </c>
      <c r="X56" s="250">
        <v>1.9352465047829288E-2</v>
      </c>
      <c r="Z56" s="218">
        <v>48</v>
      </c>
      <c r="AA56" s="435">
        <v>1.4643119941133185E-2</v>
      </c>
      <c r="AB56" s="435">
        <v>0.39583333333333348</v>
      </c>
      <c r="AC56" s="435">
        <v>0.31818181818181784</v>
      </c>
      <c r="AD56" s="435">
        <v>0.64285714285714257</v>
      </c>
      <c r="AE56" s="435">
        <v>0.61603375527426196</v>
      </c>
      <c r="AG56" s="218">
        <v>48</v>
      </c>
      <c r="AH56" s="218">
        <v>0.75609756097561076</v>
      </c>
      <c r="AI56" s="218">
        <v>0.96296296296296158</v>
      </c>
      <c r="AJ56" s="218">
        <v>1.0162601626016259</v>
      </c>
      <c r="AK56" s="218">
        <v>0.96899224806201545</v>
      </c>
      <c r="AL56" s="218">
        <v>1.0396825396825398</v>
      </c>
      <c r="AM56" s="218">
        <v>48</v>
      </c>
      <c r="AN56" s="218">
        <v>0.72868217054263651</v>
      </c>
      <c r="AO56" s="218">
        <v>0.98373983739837434</v>
      </c>
      <c r="AP56" s="218">
        <v>1.0000000000000029</v>
      </c>
      <c r="AQ56" s="218">
        <v>0.96747967479675145</v>
      </c>
      <c r="AR56" s="218">
        <v>0.98290598290598186</v>
      </c>
      <c r="AS56" s="218">
        <v>48</v>
      </c>
      <c r="AT56" s="218">
        <v>0.29268292682926778</v>
      </c>
      <c r="AU56" s="218">
        <v>0.80487804878048774</v>
      </c>
      <c r="AV56" s="218">
        <v>0.99166666666666681</v>
      </c>
      <c r="AW56" s="218">
        <v>0.95833333333332993</v>
      </c>
      <c r="AX56" s="218">
        <f t="shared" si="0"/>
        <v>0.99145299145299615</v>
      </c>
    </row>
    <row r="57" spans="1:50">
      <c r="A57" s="429">
        <v>0.67782407407407408</v>
      </c>
      <c r="B57" s="218">
        <v>20.399999999999999</v>
      </c>
      <c r="C57" s="218" t="s">
        <v>314</v>
      </c>
      <c r="D57" s="218">
        <v>10.199999999999999</v>
      </c>
      <c r="E57" s="218" t="s">
        <v>315</v>
      </c>
      <c r="F57" s="218">
        <v>22.7</v>
      </c>
      <c r="G57" s="218" t="s">
        <v>316</v>
      </c>
      <c r="H57" s="218">
        <v>0</v>
      </c>
      <c r="I57" s="218">
        <f>B56</f>
        <v>20.3</v>
      </c>
      <c r="J57" s="218">
        <f>1/I57</f>
        <v>4.926108374384236E-2</v>
      </c>
      <c r="K57" s="218">
        <f>$J$57-J57</f>
        <v>0</v>
      </c>
      <c r="L57" s="218">
        <f>(B56-$J$55)</f>
        <v>0</v>
      </c>
      <c r="M57" s="218" t="s">
        <v>323</v>
      </c>
      <c r="N57" s="218" t="s">
        <v>327</v>
      </c>
      <c r="O57" s="218">
        <f>J55</f>
        <v>20.3</v>
      </c>
      <c r="P57" s="218">
        <v>52</v>
      </c>
      <c r="Q57" s="218">
        <v>1.5</v>
      </c>
      <c r="R57" s="218">
        <v>21</v>
      </c>
      <c r="S57" s="218">
        <v>3</v>
      </c>
      <c r="T57" s="218">
        <v>8.5</v>
      </c>
      <c r="U57" s="273">
        <v>0.11764705882352941</v>
      </c>
      <c r="V57" s="218">
        <v>0.1158577499440841</v>
      </c>
      <c r="W57" s="250">
        <v>1.9790709591098327E-3</v>
      </c>
      <c r="X57" s="250">
        <v>1.8763796909492272E-2</v>
      </c>
      <c r="Z57" s="218">
        <v>49</v>
      </c>
      <c r="AA57" s="435">
        <v>1.5452538631346579E-2</v>
      </c>
      <c r="AB57" s="435">
        <v>0.4088541666666668</v>
      </c>
      <c r="AC57" s="435">
        <v>0.34090909090909111</v>
      </c>
      <c r="AD57" s="435">
        <v>0.65873015873015817</v>
      </c>
      <c r="AE57" s="435">
        <v>0.62447257383966259</v>
      </c>
      <c r="AG57" s="218">
        <v>49</v>
      </c>
      <c r="AH57" s="218">
        <v>0.76422764227642359</v>
      </c>
      <c r="AI57" s="218">
        <v>0.97942386831275563</v>
      </c>
      <c r="AJ57" s="218">
        <v>1.0243902439024393</v>
      </c>
      <c r="AK57" s="218">
        <v>0.98449612403100806</v>
      </c>
      <c r="AL57" s="218">
        <v>1.0317460317460321</v>
      </c>
      <c r="AM57" s="218">
        <v>49</v>
      </c>
      <c r="AN57" s="218">
        <v>0.75193798449612503</v>
      </c>
      <c r="AO57" s="218">
        <v>0.98373983739837434</v>
      </c>
      <c r="AP57" s="218">
        <v>1.0083333333333362</v>
      </c>
      <c r="AQ57" s="218">
        <v>0.96341463414634421</v>
      </c>
      <c r="AR57" s="218">
        <v>0.98290598290598186</v>
      </c>
      <c r="AS57" s="218">
        <v>49</v>
      </c>
      <c r="AT57" s="218">
        <v>0.29268292682926778</v>
      </c>
      <c r="AU57" s="218">
        <v>0.81300813008130057</v>
      </c>
      <c r="AV57" s="218">
        <v>1.0000000000000016</v>
      </c>
      <c r="AW57" s="218">
        <v>0.95833333333332993</v>
      </c>
      <c r="AX57" s="218">
        <f t="shared" si="0"/>
        <v>0.99145299145299615</v>
      </c>
    </row>
    <row r="58" spans="1:50">
      <c r="A58" s="429">
        <v>0.67783564814814812</v>
      </c>
      <c r="B58" s="218">
        <v>20.3</v>
      </c>
      <c r="C58" s="218" t="s">
        <v>314</v>
      </c>
      <c r="D58" s="218">
        <v>10.199999999999999</v>
      </c>
      <c r="E58" s="218" t="s">
        <v>315</v>
      </c>
      <c r="F58" s="218">
        <v>22.7</v>
      </c>
      <c r="G58" s="218" t="s">
        <v>316</v>
      </c>
      <c r="H58" s="218">
        <v>1</v>
      </c>
      <c r="I58" s="218">
        <f t="shared" ref="I58:I121" si="1">B57</f>
        <v>20.399999999999999</v>
      </c>
      <c r="J58" s="218">
        <f t="shared" ref="J58:J121" si="2">1/I58</f>
        <v>4.9019607843137261E-2</v>
      </c>
      <c r="K58" s="218">
        <f t="shared" ref="K58:K121" si="3">$J$57-J58</f>
        <v>2.4147590070509872E-4</v>
      </c>
      <c r="L58" s="218">
        <f t="shared" ref="L58:L121" si="4">(B57-$J$55)</f>
        <v>9.9999999999997868E-2</v>
      </c>
      <c r="M58" s="218" t="s">
        <v>323</v>
      </c>
      <c r="N58" s="218" t="s">
        <v>328</v>
      </c>
      <c r="O58" s="218">
        <f>I913</f>
        <v>458</v>
      </c>
      <c r="P58" s="218">
        <v>53</v>
      </c>
      <c r="Q58" s="218">
        <v>1.5999999999999979</v>
      </c>
      <c r="R58" s="218">
        <v>22</v>
      </c>
      <c r="S58" s="218">
        <v>0</v>
      </c>
      <c r="T58" s="218">
        <v>7.8666666666666663</v>
      </c>
      <c r="U58" s="273">
        <v>0.1271186440677966</v>
      </c>
      <c r="V58" s="218">
        <v>0.12238285144566301</v>
      </c>
      <c r="W58" s="250">
        <v>2.0905321163759735E-3</v>
      </c>
      <c r="X58" s="250">
        <v>1.7365710080941867E-2</v>
      </c>
      <c r="Z58" s="218">
        <v>50</v>
      </c>
      <c r="AA58" s="435">
        <v>1.6997792494481235E-2</v>
      </c>
      <c r="AB58" s="435">
        <v>0.4236111111111111</v>
      </c>
      <c r="AC58" s="435">
        <v>0.3560606060606063</v>
      </c>
      <c r="AD58" s="435">
        <v>0.66666666666666596</v>
      </c>
      <c r="AE58" s="435">
        <v>0.64978902953586604</v>
      </c>
      <c r="AG58" s="218">
        <v>50</v>
      </c>
      <c r="AH58" s="218">
        <v>0.76422764227642359</v>
      </c>
      <c r="AI58" s="218">
        <v>0.97119341563785855</v>
      </c>
      <c r="AJ58" s="218">
        <v>1.0162601626016259</v>
      </c>
      <c r="AK58" s="218">
        <v>0.98449612403100806</v>
      </c>
      <c r="AL58" s="218">
        <v>1.0317460317460314</v>
      </c>
      <c r="AM58" s="218">
        <v>50</v>
      </c>
      <c r="AN58" s="218">
        <v>0.77519379844961289</v>
      </c>
      <c r="AO58" s="218">
        <v>0.99186991869918728</v>
      </c>
      <c r="AP58" s="218">
        <v>1.0000000000000029</v>
      </c>
      <c r="AQ58" s="218">
        <v>0.96341463414634421</v>
      </c>
      <c r="AR58" s="218">
        <v>0.98290598290598186</v>
      </c>
      <c r="AS58" s="218">
        <v>50</v>
      </c>
      <c r="AT58" s="218">
        <v>0.31707317073170771</v>
      </c>
      <c r="AU58" s="218">
        <v>0.82926829268292479</v>
      </c>
      <c r="AV58" s="218">
        <v>1.0000000000000016</v>
      </c>
      <c r="AW58" s="218">
        <v>0.94999999999999829</v>
      </c>
      <c r="AX58" s="218">
        <f t="shared" si="0"/>
        <v>0.99145299145299615</v>
      </c>
    </row>
    <row r="59" spans="1:50">
      <c r="A59" s="429">
        <v>0.67784722222222227</v>
      </c>
      <c r="B59" s="218">
        <v>20.3</v>
      </c>
      <c r="C59" s="218" t="s">
        <v>314</v>
      </c>
      <c r="D59" s="218">
        <v>10.199999999999999</v>
      </c>
      <c r="E59" s="218" t="s">
        <v>315</v>
      </c>
      <c r="F59" s="218">
        <v>22.7</v>
      </c>
      <c r="G59" s="218" t="s">
        <v>316</v>
      </c>
      <c r="H59" s="218">
        <v>2</v>
      </c>
      <c r="I59" s="218">
        <f t="shared" si="1"/>
        <v>20.3</v>
      </c>
      <c r="J59" s="218">
        <f t="shared" si="2"/>
        <v>4.926108374384236E-2</v>
      </c>
      <c r="K59" s="218">
        <f t="shared" si="3"/>
        <v>0</v>
      </c>
      <c r="L59" s="218">
        <f t="shared" si="4"/>
        <v>0</v>
      </c>
      <c r="M59" s="218" t="s">
        <v>323</v>
      </c>
      <c r="P59" s="218">
        <v>54</v>
      </c>
      <c r="Q59" s="218">
        <v>1.8999999999999986</v>
      </c>
      <c r="R59" s="218">
        <v>23</v>
      </c>
      <c r="S59" s="218">
        <v>0</v>
      </c>
      <c r="T59" s="218">
        <v>8.2999999999999989</v>
      </c>
      <c r="U59" s="273">
        <v>0.12048192771084339</v>
      </c>
      <c r="V59" s="218">
        <v>0.12380028588931999</v>
      </c>
      <c r="W59" s="250">
        <v>2.1147445954309992E-3</v>
      </c>
      <c r="X59" s="250">
        <v>1.8322295805739512E-2</v>
      </c>
      <c r="Z59" s="218">
        <v>51</v>
      </c>
      <c r="AA59" s="435">
        <v>1.9352465047829288E-2</v>
      </c>
      <c r="AB59" s="435">
        <v>0.44184027777777796</v>
      </c>
      <c r="AC59" s="435">
        <v>0.37121212121212144</v>
      </c>
      <c r="AD59" s="435">
        <v>0.682539682539683</v>
      </c>
      <c r="AE59" s="435">
        <v>0.66666666666666752</v>
      </c>
      <c r="AG59" s="218">
        <v>51</v>
      </c>
      <c r="AH59" s="218">
        <v>0.78861788617886208</v>
      </c>
      <c r="AI59" s="218">
        <v>0.97942386831275563</v>
      </c>
      <c r="AJ59" s="218">
        <v>1.0162601626016259</v>
      </c>
      <c r="AK59" s="218">
        <v>0.99224806201550408</v>
      </c>
      <c r="AL59" s="218">
        <v>1.0396825396825398</v>
      </c>
      <c r="AM59" s="218">
        <v>51</v>
      </c>
      <c r="AN59" s="218">
        <v>0.78294573643410892</v>
      </c>
      <c r="AO59" s="218">
        <v>1</v>
      </c>
      <c r="AP59" s="218">
        <v>1.0000000000000029</v>
      </c>
      <c r="AQ59" s="218">
        <v>0.96341463414634421</v>
      </c>
      <c r="AR59" s="218">
        <v>0.99145299145299015</v>
      </c>
      <c r="AS59" s="218">
        <v>51</v>
      </c>
      <c r="AT59" s="218">
        <v>0.33333333333333337</v>
      </c>
      <c r="AU59" s="218">
        <v>0.83739837398373895</v>
      </c>
      <c r="AV59" s="218">
        <v>1.0083333333333346</v>
      </c>
      <c r="AW59" s="218">
        <v>0.95833333333332993</v>
      </c>
      <c r="AX59" s="218">
        <f t="shared" si="0"/>
        <v>0.99145299145299615</v>
      </c>
    </row>
    <row r="60" spans="1:50">
      <c r="A60" s="429">
        <v>0.6778587962962962</v>
      </c>
      <c r="B60" s="218">
        <v>20.3</v>
      </c>
      <c r="C60" s="218" t="s">
        <v>314</v>
      </c>
      <c r="D60" s="218">
        <v>10.199999999999999</v>
      </c>
      <c r="E60" s="218" t="s">
        <v>315</v>
      </c>
      <c r="F60" s="218">
        <v>22.7</v>
      </c>
      <c r="G60" s="218" t="s">
        <v>316</v>
      </c>
      <c r="H60" s="218">
        <v>3</v>
      </c>
      <c r="I60" s="218">
        <f t="shared" si="1"/>
        <v>20.3</v>
      </c>
      <c r="J60" s="218">
        <f t="shared" si="2"/>
        <v>4.926108374384236E-2</v>
      </c>
      <c r="K60" s="218">
        <f t="shared" si="3"/>
        <v>0</v>
      </c>
      <c r="L60" s="218">
        <f t="shared" si="4"/>
        <v>0</v>
      </c>
      <c r="M60" s="218" t="s">
        <v>323</v>
      </c>
      <c r="N60" s="218" t="s">
        <v>329</v>
      </c>
      <c r="O60" s="224">
        <f>O57-(0.95*(O57-O58))</f>
        <v>436.11500000000001</v>
      </c>
      <c r="P60" s="218">
        <v>55</v>
      </c>
      <c r="Q60" s="218">
        <v>2.0999999999999979</v>
      </c>
      <c r="R60" s="218">
        <v>25</v>
      </c>
      <c r="S60" s="218">
        <v>2</v>
      </c>
      <c r="T60" s="218">
        <v>9.6999999999999993</v>
      </c>
      <c r="U60" s="273">
        <v>0.10309278350515465</v>
      </c>
      <c r="V60" s="218">
        <v>0.11178735560799902</v>
      </c>
      <c r="W60" s="250">
        <v>1.9095408739272792E-3</v>
      </c>
      <c r="X60" s="250">
        <v>2.1412803532008827E-2</v>
      </c>
      <c r="Z60" s="218">
        <v>52</v>
      </c>
      <c r="AA60" s="435">
        <v>1.8763796909492272E-2</v>
      </c>
      <c r="AB60" s="435">
        <v>0.46006944444444442</v>
      </c>
      <c r="AC60" s="435">
        <v>0.3863636363636363</v>
      </c>
      <c r="AD60" s="435">
        <v>0.69841269841269837</v>
      </c>
      <c r="AE60" s="435">
        <v>0.67510548523206815</v>
      </c>
      <c r="AG60" s="218">
        <v>52</v>
      </c>
      <c r="AH60" s="218">
        <v>0.78861788617886208</v>
      </c>
      <c r="AI60" s="218">
        <v>0.97942386831275696</v>
      </c>
      <c r="AJ60" s="218">
        <v>1.0162601626016265</v>
      </c>
      <c r="AK60" s="218">
        <v>0.98449612403100806</v>
      </c>
      <c r="AL60" s="218">
        <v>1.0396825396825391</v>
      </c>
      <c r="AM60" s="218">
        <v>52</v>
      </c>
      <c r="AN60" s="218">
        <v>0.79844961240310075</v>
      </c>
      <c r="AO60" s="218">
        <v>0.99186991869918728</v>
      </c>
      <c r="AP60" s="218">
        <v>1.0083333333333362</v>
      </c>
      <c r="AQ60" s="218">
        <v>0.96341463414634421</v>
      </c>
      <c r="AR60" s="218">
        <v>0.99145299145299015</v>
      </c>
      <c r="AS60" s="218">
        <v>52</v>
      </c>
      <c r="AT60" s="218">
        <v>0.34146341463414764</v>
      </c>
      <c r="AU60" s="218">
        <v>0.85365853658536484</v>
      </c>
      <c r="AV60" s="218">
        <v>1</v>
      </c>
      <c r="AW60" s="218">
        <v>0.95833333333332993</v>
      </c>
      <c r="AX60" s="218">
        <f t="shared" si="0"/>
        <v>0.99145299145299615</v>
      </c>
    </row>
    <row r="61" spans="1:50">
      <c r="A61" s="429">
        <v>0.67787037037037035</v>
      </c>
      <c r="B61" s="218">
        <v>20.399999999999999</v>
      </c>
      <c r="C61" s="218" t="s">
        <v>314</v>
      </c>
      <c r="D61" s="218">
        <v>10.199999999999999</v>
      </c>
      <c r="E61" s="218" t="s">
        <v>315</v>
      </c>
      <c r="F61" s="218">
        <v>22.7</v>
      </c>
      <c r="G61" s="218" t="s">
        <v>316</v>
      </c>
      <c r="H61" s="218">
        <v>4</v>
      </c>
      <c r="I61" s="218">
        <f t="shared" si="1"/>
        <v>20.3</v>
      </c>
      <c r="J61" s="218">
        <f t="shared" si="2"/>
        <v>4.926108374384236E-2</v>
      </c>
      <c r="K61" s="218">
        <f t="shared" si="3"/>
        <v>0</v>
      </c>
      <c r="L61" s="218">
        <f t="shared" si="4"/>
        <v>0</v>
      </c>
      <c r="M61" s="218" t="s">
        <v>323</v>
      </c>
      <c r="P61" s="218">
        <v>56</v>
      </c>
      <c r="Q61" s="218">
        <v>2.3999999999999986</v>
      </c>
      <c r="R61" s="218">
        <v>28</v>
      </c>
      <c r="S61" s="218">
        <v>2</v>
      </c>
      <c r="T61" s="218">
        <v>10.799999999999999</v>
      </c>
      <c r="U61" s="273">
        <v>9.2592592592592601E-2</v>
      </c>
      <c r="V61" s="218">
        <v>9.7842688048873624E-2</v>
      </c>
      <c r="W61" s="250">
        <v>1.6713394017424206E-3</v>
      </c>
      <c r="X61" s="250">
        <v>2.3841059602649005E-2</v>
      </c>
      <c r="Z61" s="218">
        <v>53</v>
      </c>
      <c r="AA61" s="435">
        <v>1.7365710080941867E-2</v>
      </c>
      <c r="AB61" s="435">
        <v>0.46354166666666669</v>
      </c>
      <c r="AC61" s="435">
        <v>0.40151515151515144</v>
      </c>
      <c r="AD61" s="435">
        <v>0.72222222222222243</v>
      </c>
      <c r="AE61" s="435">
        <v>0.69198312236286941</v>
      </c>
      <c r="AG61" s="218">
        <v>53</v>
      </c>
      <c r="AH61" s="218">
        <v>0.81300813008130057</v>
      </c>
      <c r="AI61" s="218">
        <v>0.98765432098765393</v>
      </c>
      <c r="AJ61" s="218">
        <v>1.0243902439024393</v>
      </c>
      <c r="AK61" s="218">
        <v>0.99224806201550408</v>
      </c>
      <c r="AL61" s="218">
        <v>1.0317460317460321</v>
      </c>
      <c r="AM61" s="218">
        <v>53</v>
      </c>
      <c r="AN61" s="218">
        <v>0.81395348837209347</v>
      </c>
      <c r="AO61" s="218">
        <v>0.98373983739837434</v>
      </c>
      <c r="AP61" s="218">
        <v>1.0083333333333362</v>
      </c>
      <c r="AQ61" s="218">
        <v>0.97560975609756362</v>
      </c>
      <c r="AR61" s="218">
        <v>0.99145299145299015</v>
      </c>
      <c r="AS61" s="218">
        <v>53</v>
      </c>
      <c r="AT61" s="218">
        <v>0.35772357723577325</v>
      </c>
      <c r="AU61" s="218">
        <v>0.85365853658536484</v>
      </c>
      <c r="AV61" s="218">
        <v>1.0083333333333346</v>
      </c>
      <c r="AW61" s="218">
        <v>0.95833333333332993</v>
      </c>
      <c r="AX61" s="218">
        <f t="shared" si="0"/>
        <v>0.99145299145299615</v>
      </c>
    </row>
    <row r="62" spans="1:50">
      <c r="A62" s="429">
        <v>0.6778819444444445</v>
      </c>
      <c r="B62" s="218">
        <v>20.399999999999999</v>
      </c>
      <c r="C62" s="218" t="s">
        <v>314</v>
      </c>
      <c r="D62" s="218">
        <v>10.199999999999999</v>
      </c>
      <c r="E62" s="218" t="s">
        <v>315</v>
      </c>
      <c r="F62" s="218">
        <v>22.7</v>
      </c>
      <c r="G62" s="218" t="s">
        <v>316</v>
      </c>
      <c r="H62" s="218">
        <v>5</v>
      </c>
      <c r="I62" s="218">
        <f t="shared" si="1"/>
        <v>20.399999999999999</v>
      </c>
      <c r="J62" s="218">
        <f t="shared" si="2"/>
        <v>4.9019607843137261E-2</v>
      </c>
      <c r="K62" s="218">
        <f t="shared" si="3"/>
        <v>2.4147590070509872E-4</v>
      </c>
      <c r="L62" s="218">
        <f t="shared" si="4"/>
        <v>9.9999999999997868E-2</v>
      </c>
      <c r="M62" s="218" t="s">
        <v>323</v>
      </c>
      <c r="P62" s="218">
        <v>57</v>
      </c>
      <c r="Q62" s="218">
        <v>2.8000000000000007</v>
      </c>
      <c r="R62" s="218">
        <v>29</v>
      </c>
      <c r="S62" s="218">
        <v>2</v>
      </c>
      <c r="T62" s="218">
        <v>11.266666666666666</v>
      </c>
      <c r="U62" s="273">
        <v>8.8757396449704151E-2</v>
      </c>
      <c r="V62" s="218">
        <v>9.0674994521148383E-2</v>
      </c>
      <c r="W62" s="250">
        <v>1.5489015491916265E-3</v>
      </c>
      <c r="X62" s="250">
        <v>2.4871228844738778E-2</v>
      </c>
      <c r="Z62" s="218">
        <v>54</v>
      </c>
      <c r="AA62" s="435">
        <v>1.8322295805739512E-2</v>
      </c>
      <c r="AB62" s="435">
        <v>0.4748263888888889</v>
      </c>
      <c r="AC62" s="435">
        <v>0.42424242424242403</v>
      </c>
      <c r="AD62" s="435">
        <v>0.73015873015873012</v>
      </c>
      <c r="AE62" s="435">
        <v>0.69198312236286941</v>
      </c>
      <c r="AG62" s="218">
        <v>54</v>
      </c>
      <c r="AH62" s="218">
        <v>0.81300813008130057</v>
      </c>
      <c r="AI62" s="218">
        <v>1.0041152263374493</v>
      </c>
      <c r="AJ62" s="218">
        <v>1.0243902439024393</v>
      </c>
      <c r="AK62" s="218">
        <v>0.99224806201550408</v>
      </c>
      <c r="AL62" s="218">
        <v>1.0238095238095237</v>
      </c>
      <c r="AM62" s="218">
        <v>54</v>
      </c>
      <c r="AN62" s="218">
        <v>0.82170542635659005</v>
      </c>
      <c r="AO62" s="218">
        <v>0.98373983739837434</v>
      </c>
      <c r="AP62" s="218">
        <v>1.0000000000000029</v>
      </c>
      <c r="AQ62" s="218">
        <v>0.97560975609756362</v>
      </c>
      <c r="AR62" s="218">
        <v>0.99145299145299015</v>
      </c>
      <c r="AS62" s="218">
        <v>54</v>
      </c>
      <c r="AT62" s="218">
        <v>0.37398373983740185</v>
      </c>
      <c r="AU62" s="218">
        <v>0.85365853658536484</v>
      </c>
      <c r="AV62" s="218">
        <v>1.0083333333333346</v>
      </c>
      <c r="AW62" s="218">
        <v>0.96666666666666168</v>
      </c>
      <c r="AX62" s="218">
        <v>1.0269230769230833</v>
      </c>
    </row>
    <row r="63" spans="1:50">
      <c r="A63" s="429">
        <v>0.67789351851851853</v>
      </c>
      <c r="B63" s="218">
        <v>20.3</v>
      </c>
      <c r="C63" s="218" t="s">
        <v>314</v>
      </c>
      <c r="D63" s="218">
        <v>10.199999999999999</v>
      </c>
      <c r="E63" s="218" t="s">
        <v>315</v>
      </c>
      <c r="F63" s="218">
        <v>22.7</v>
      </c>
      <c r="G63" s="218" t="s">
        <v>316</v>
      </c>
      <c r="H63" s="218">
        <v>6</v>
      </c>
      <c r="I63" s="218">
        <f t="shared" si="1"/>
        <v>20.399999999999999</v>
      </c>
      <c r="J63" s="218">
        <f t="shared" si="2"/>
        <v>4.9019607843137261E-2</v>
      </c>
      <c r="K63" s="218">
        <f t="shared" si="3"/>
        <v>2.4147590070509872E-4</v>
      </c>
      <c r="L63" s="218">
        <f t="shared" si="4"/>
        <v>9.9999999999997868E-2</v>
      </c>
      <c r="M63" s="218" t="s">
        <v>323</v>
      </c>
      <c r="P63" s="218">
        <v>58</v>
      </c>
      <c r="Q63" s="218">
        <v>3.3000000000000007</v>
      </c>
      <c r="R63" s="218">
        <v>32</v>
      </c>
      <c r="S63" s="218">
        <v>2</v>
      </c>
      <c r="T63" s="218">
        <v>12.433333333333332</v>
      </c>
      <c r="U63" s="273">
        <v>8.0428954423592505E-2</v>
      </c>
      <c r="V63" s="218">
        <v>8.4593175436648321E-2</v>
      </c>
      <c r="W63" s="250">
        <v>1.445012499607088E-3</v>
      </c>
      <c r="X63" s="250">
        <v>2.7446651949963204E-2</v>
      </c>
      <c r="Z63" s="218">
        <v>55</v>
      </c>
      <c r="AA63" s="435">
        <v>2.1412803532008827E-2</v>
      </c>
      <c r="AB63" s="435">
        <v>0.49045138888888906</v>
      </c>
      <c r="AC63" s="435">
        <v>0.43181818181818205</v>
      </c>
      <c r="AD63" s="435">
        <v>0.74603174603174582</v>
      </c>
      <c r="AE63" s="435">
        <v>0.70886075949367144</v>
      </c>
      <c r="AG63" s="218">
        <v>55</v>
      </c>
      <c r="AH63" s="218">
        <v>0.82926829268292634</v>
      </c>
      <c r="AI63" s="218">
        <v>0.99588477366255079</v>
      </c>
      <c r="AJ63" s="218">
        <v>1.0162601626016259</v>
      </c>
      <c r="AK63" s="218">
        <v>0.98449612403100806</v>
      </c>
      <c r="AL63" s="218">
        <v>1.0396825396825398</v>
      </c>
      <c r="AM63" s="218">
        <v>55</v>
      </c>
      <c r="AN63" s="218">
        <v>0.84496124031007791</v>
      </c>
      <c r="AO63" s="218">
        <v>0.99186991869918728</v>
      </c>
      <c r="AP63" s="218">
        <v>1.0083333333333362</v>
      </c>
      <c r="AQ63" s="218">
        <v>0.96341463414634421</v>
      </c>
      <c r="AR63" s="218">
        <v>0.99999999999999845</v>
      </c>
      <c r="AS63" s="218">
        <v>55</v>
      </c>
      <c r="AT63" s="218">
        <v>0.38211382113821613</v>
      </c>
      <c r="AU63" s="218">
        <v>0.86178861788617622</v>
      </c>
      <c r="AV63" s="218">
        <v>1.0083333333333346</v>
      </c>
      <c r="AW63" s="218">
        <v>0.96666666666666168</v>
      </c>
      <c r="AX63" s="218">
        <v>1.0354700854700933</v>
      </c>
    </row>
    <row r="64" spans="1:50">
      <c r="A64" s="429">
        <v>0.67790509259259257</v>
      </c>
      <c r="B64" s="218">
        <v>20.3</v>
      </c>
      <c r="C64" s="218" t="s">
        <v>314</v>
      </c>
      <c r="D64" s="218">
        <v>10.199999999999999</v>
      </c>
      <c r="E64" s="218" t="s">
        <v>315</v>
      </c>
      <c r="F64" s="218">
        <v>22.7</v>
      </c>
      <c r="G64" s="218" t="s">
        <v>316</v>
      </c>
      <c r="H64" s="218">
        <v>7</v>
      </c>
      <c r="I64" s="218">
        <f t="shared" si="1"/>
        <v>20.3</v>
      </c>
      <c r="J64" s="218">
        <f t="shared" si="2"/>
        <v>4.926108374384236E-2</v>
      </c>
      <c r="K64" s="218">
        <f t="shared" si="3"/>
        <v>0</v>
      </c>
      <c r="L64" s="218">
        <f t="shared" si="4"/>
        <v>0</v>
      </c>
      <c r="M64" s="218" t="s">
        <v>323</v>
      </c>
      <c r="P64" s="218">
        <v>59</v>
      </c>
      <c r="Q64" s="218">
        <v>3.5</v>
      </c>
      <c r="R64" s="218">
        <v>33</v>
      </c>
      <c r="S64" s="218">
        <v>2</v>
      </c>
      <c r="T64" s="218">
        <v>12.833333333333334</v>
      </c>
      <c r="U64" s="273">
        <v>7.792207792207792E-2</v>
      </c>
      <c r="V64" s="218">
        <v>7.917551617283522E-2</v>
      </c>
      <c r="W64" s="250">
        <v>1.3524685643024619E-3</v>
      </c>
      <c r="X64" s="250">
        <v>2.8329654157468728E-2</v>
      </c>
      <c r="Z64" s="218">
        <v>56</v>
      </c>
      <c r="AA64" s="435">
        <v>2.3841059602649005E-2</v>
      </c>
      <c r="AB64" s="435">
        <v>0.49739583333333354</v>
      </c>
      <c r="AC64" s="435">
        <v>0.44696969696969724</v>
      </c>
      <c r="AD64" s="435">
        <v>0.76190476190476197</v>
      </c>
      <c r="AE64" s="435">
        <v>0.72573839662447293</v>
      </c>
      <c r="AG64" s="218">
        <v>56</v>
      </c>
      <c r="AH64" s="218">
        <v>0.83739837398373895</v>
      </c>
      <c r="AI64" s="218">
        <v>1.0123456790123462</v>
      </c>
      <c r="AJ64" s="218">
        <v>1.0243902439024393</v>
      </c>
      <c r="AK64" s="218">
        <v>0.98449612403100806</v>
      </c>
      <c r="AL64" s="218">
        <v>1.0396825396825391</v>
      </c>
      <c r="AM64" s="218">
        <v>56</v>
      </c>
      <c r="AN64" s="218">
        <v>0.84496124031007791</v>
      </c>
      <c r="AO64" s="218">
        <v>0.99186991869918728</v>
      </c>
      <c r="AP64" s="218">
        <v>1.0083333333333362</v>
      </c>
      <c r="AQ64" s="218">
        <v>0.97560975609756362</v>
      </c>
      <c r="AR64" s="218">
        <v>0.99145299145299015</v>
      </c>
      <c r="AS64" s="218">
        <v>56</v>
      </c>
      <c r="AT64" s="218">
        <v>0.3983739837398389</v>
      </c>
      <c r="AU64" s="218">
        <v>0.86991869918698905</v>
      </c>
      <c r="AV64" s="218">
        <v>1.0166666666666677</v>
      </c>
      <c r="AW64" s="218">
        <v>0.95833333333332993</v>
      </c>
      <c r="AX64" s="218">
        <v>1.0354700854700933</v>
      </c>
    </row>
    <row r="65" spans="1:50">
      <c r="A65" s="429">
        <v>0.67791666666666661</v>
      </c>
      <c r="B65" s="218">
        <v>20.399999999999999</v>
      </c>
      <c r="C65" s="218" t="s">
        <v>314</v>
      </c>
      <c r="D65" s="218">
        <v>10.199999999999999</v>
      </c>
      <c r="E65" s="218" t="s">
        <v>315</v>
      </c>
      <c r="F65" s="218">
        <v>22.7</v>
      </c>
      <c r="G65" s="218" t="s">
        <v>316</v>
      </c>
      <c r="H65" s="218">
        <v>8</v>
      </c>
      <c r="I65" s="218">
        <f t="shared" si="1"/>
        <v>20.3</v>
      </c>
      <c r="J65" s="218">
        <f t="shared" si="2"/>
        <v>4.926108374384236E-2</v>
      </c>
      <c r="K65" s="218">
        <f t="shared" si="3"/>
        <v>0</v>
      </c>
      <c r="L65" s="218">
        <f t="shared" si="4"/>
        <v>0</v>
      </c>
      <c r="M65" s="218" t="s">
        <v>323</v>
      </c>
      <c r="P65" s="218">
        <v>60</v>
      </c>
      <c r="Q65" s="218">
        <v>3.6999999999999993</v>
      </c>
      <c r="R65" s="218">
        <v>37</v>
      </c>
      <c r="S65" s="218">
        <v>2</v>
      </c>
      <c r="T65" s="218">
        <v>14.233333333333334</v>
      </c>
      <c r="U65" s="273">
        <v>7.0257611241217793E-2</v>
      </c>
      <c r="V65" s="218">
        <v>7.4089844581647857E-2</v>
      </c>
      <c r="W65" s="250">
        <v>1.2655956105419549E-3</v>
      </c>
      <c r="X65" s="250">
        <v>3.1420161883738043E-2</v>
      </c>
      <c r="Z65" s="218">
        <v>57</v>
      </c>
      <c r="AA65" s="435">
        <v>2.4871228844738778E-2</v>
      </c>
      <c r="AB65" s="435">
        <v>0.51475694444444442</v>
      </c>
      <c r="AC65" s="435">
        <v>0.4696969696969695</v>
      </c>
      <c r="AD65" s="435">
        <v>0.76984126984126977</v>
      </c>
      <c r="AE65" s="435">
        <v>0.74261603375527563</v>
      </c>
      <c r="AG65" s="218">
        <v>57</v>
      </c>
      <c r="AH65" s="218">
        <v>0.85365853658536484</v>
      </c>
      <c r="AI65" s="218">
        <v>1.0123456790123462</v>
      </c>
      <c r="AJ65" s="218">
        <v>1.0162601626016259</v>
      </c>
      <c r="AK65" s="218">
        <v>0.97674418604651148</v>
      </c>
      <c r="AL65" s="218">
        <v>1.0476190476190477</v>
      </c>
      <c r="AM65" s="218">
        <v>57</v>
      </c>
      <c r="AN65" s="218">
        <v>0.86046511627906996</v>
      </c>
      <c r="AO65" s="218">
        <v>0.99186991869918728</v>
      </c>
      <c r="AP65" s="218">
        <v>1.0083333333333362</v>
      </c>
      <c r="AQ65" s="218">
        <v>0.96341463414634421</v>
      </c>
      <c r="AR65" s="218">
        <v>0.99999999999999845</v>
      </c>
      <c r="AS65" s="218">
        <v>57</v>
      </c>
      <c r="AT65" s="218">
        <v>0.42276422764227883</v>
      </c>
      <c r="AU65" s="218">
        <v>0.87804878048780177</v>
      </c>
      <c r="AV65" s="218">
        <v>1.0166666666666677</v>
      </c>
      <c r="AW65" s="218">
        <v>0.95833333333332993</v>
      </c>
      <c r="AX65" s="218">
        <v>1.0354700854700933</v>
      </c>
    </row>
    <row r="66" spans="1:50">
      <c r="A66" s="429">
        <v>0.67792824074074076</v>
      </c>
      <c r="B66" s="218">
        <v>20.3</v>
      </c>
      <c r="C66" s="218" t="s">
        <v>314</v>
      </c>
      <c r="D66" s="218">
        <v>10.199999999999999</v>
      </c>
      <c r="E66" s="218" t="s">
        <v>315</v>
      </c>
      <c r="F66" s="218">
        <v>22.7</v>
      </c>
      <c r="G66" s="218" t="s">
        <v>316</v>
      </c>
      <c r="H66" s="218">
        <v>9</v>
      </c>
      <c r="I66" s="218">
        <f t="shared" si="1"/>
        <v>20.399999999999999</v>
      </c>
      <c r="J66" s="218">
        <f t="shared" si="2"/>
        <v>4.9019607843137261E-2</v>
      </c>
      <c r="K66" s="218">
        <f t="shared" si="3"/>
        <v>2.4147590070509872E-4</v>
      </c>
      <c r="L66" s="218">
        <f t="shared" si="4"/>
        <v>9.9999999999997868E-2</v>
      </c>
      <c r="M66" s="218" t="s">
        <v>323</v>
      </c>
      <c r="P66" s="218">
        <v>61</v>
      </c>
      <c r="Q66" s="218">
        <v>4.1999999999999993</v>
      </c>
      <c r="R66" s="218">
        <v>38</v>
      </c>
      <c r="S66" s="218">
        <v>3</v>
      </c>
      <c r="T66" s="218">
        <v>15.066666666666668</v>
      </c>
      <c r="U66" s="273">
        <v>6.6371681415929196E-2</v>
      </c>
      <c r="V66" s="218">
        <v>6.8314646328573495E-2</v>
      </c>
      <c r="W66" s="250">
        <v>1.1669442285560498E-3</v>
      </c>
      <c r="X66" s="250">
        <v>3.3259749816041212E-2</v>
      </c>
      <c r="Z66" s="218">
        <v>58</v>
      </c>
      <c r="AA66" s="435">
        <v>2.7446651949963204E-2</v>
      </c>
      <c r="AB66" s="435">
        <v>0.52777777777777801</v>
      </c>
      <c r="AC66" s="435">
        <v>0.47727272727272729</v>
      </c>
      <c r="AD66" s="435">
        <v>0.77777777777777757</v>
      </c>
      <c r="AE66" s="435">
        <v>0.75105485232067626</v>
      </c>
      <c r="AG66" s="218">
        <v>58</v>
      </c>
      <c r="AH66" s="218">
        <v>0.85365853658536484</v>
      </c>
      <c r="AI66" s="218">
        <v>1.0123456790123462</v>
      </c>
      <c r="AJ66" s="218">
        <v>1.0162601626016259</v>
      </c>
      <c r="AK66" s="218">
        <v>0.97674418604651214</v>
      </c>
      <c r="AL66" s="218">
        <v>1.0396825396825391</v>
      </c>
      <c r="AM66" s="218">
        <v>58</v>
      </c>
      <c r="AN66" s="218">
        <v>0.86821705426356588</v>
      </c>
      <c r="AO66" s="218">
        <v>0.99186991869918728</v>
      </c>
      <c r="AP66" s="218">
        <v>1.0083333333333362</v>
      </c>
      <c r="AQ66" s="218">
        <v>0.96341463414634421</v>
      </c>
      <c r="AR66" s="218">
        <v>0.99145299145299015</v>
      </c>
      <c r="AS66" s="218">
        <v>58</v>
      </c>
      <c r="AT66" s="218">
        <v>0.42276422764227883</v>
      </c>
      <c r="AU66" s="218">
        <v>0.88617886178861605</v>
      </c>
      <c r="AV66" s="218">
        <v>1.0166666666666677</v>
      </c>
      <c r="AW66" s="218">
        <v>0.95833333333332993</v>
      </c>
      <c r="AX66" s="218">
        <v>1.000000000000006</v>
      </c>
    </row>
    <row r="67" spans="1:50">
      <c r="A67" s="429">
        <v>0.67793981481481491</v>
      </c>
      <c r="B67" s="218">
        <v>20.3</v>
      </c>
      <c r="C67" s="218" t="s">
        <v>314</v>
      </c>
      <c r="D67" s="218">
        <v>10.199999999999999</v>
      </c>
      <c r="E67" s="218" t="s">
        <v>315</v>
      </c>
      <c r="F67" s="218">
        <v>22.7</v>
      </c>
      <c r="G67" s="218" t="s">
        <v>316</v>
      </c>
      <c r="H67" s="218">
        <v>10</v>
      </c>
      <c r="I67" s="218">
        <f t="shared" si="1"/>
        <v>20.3</v>
      </c>
      <c r="J67" s="218">
        <f t="shared" si="2"/>
        <v>4.926108374384236E-2</v>
      </c>
      <c r="K67" s="218">
        <f t="shared" si="3"/>
        <v>0</v>
      </c>
      <c r="L67" s="218">
        <f t="shared" si="4"/>
        <v>0</v>
      </c>
      <c r="M67" s="218" t="s">
        <v>323</v>
      </c>
      <c r="P67" s="218">
        <v>62</v>
      </c>
      <c r="Q67" s="218">
        <v>4.3999999999999986</v>
      </c>
      <c r="R67" s="218">
        <v>41</v>
      </c>
      <c r="S67" s="218">
        <v>3</v>
      </c>
      <c r="T67" s="218">
        <v>16.133333333333333</v>
      </c>
      <c r="U67" s="273">
        <v>6.1983471074380167E-2</v>
      </c>
      <c r="V67" s="218">
        <v>6.4177576245154688E-2</v>
      </c>
      <c r="W67" s="250">
        <v>1.0962751946601923E-3</v>
      </c>
      <c r="X67" s="250">
        <v>3.5614422369389255E-2</v>
      </c>
      <c r="Z67" s="218">
        <v>59</v>
      </c>
      <c r="AA67" s="435">
        <v>2.8329654157468728E-2</v>
      </c>
      <c r="AB67" s="435">
        <v>0.53732638888888906</v>
      </c>
      <c r="AC67" s="435">
        <v>0.4924242424242421</v>
      </c>
      <c r="AD67" s="435">
        <v>0.77777777777777757</v>
      </c>
      <c r="AE67" s="435">
        <v>0.75949367088607711</v>
      </c>
      <c r="AG67" s="218">
        <v>59</v>
      </c>
      <c r="AH67" s="218">
        <v>0.861788617886179</v>
      </c>
      <c r="AI67" s="218">
        <v>1.0041152263374493</v>
      </c>
      <c r="AJ67" s="218">
        <v>1.0243902439024393</v>
      </c>
      <c r="AK67" s="218">
        <v>0.97674418604651148</v>
      </c>
      <c r="AL67" s="218">
        <v>1.0476190476190477</v>
      </c>
      <c r="AM67" s="218">
        <v>59</v>
      </c>
      <c r="AN67" s="218">
        <v>0.87596899224806313</v>
      </c>
      <c r="AO67" s="218">
        <v>0.99186991869918728</v>
      </c>
      <c r="AP67" s="218">
        <v>1.0000000000000029</v>
      </c>
      <c r="AQ67" s="218">
        <v>0.96341463414634421</v>
      </c>
      <c r="AR67" s="218">
        <v>0.99999999999999845</v>
      </c>
      <c r="AS67" s="218">
        <v>59</v>
      </c>
      <c r="AT67" s="218">
        <v>0.44715447154471588</v>
      </c>
      <c r="AU67" s="218">
        <v>0.89430894308942888</v>
      </c>
      <c r="AV67" s="218">
        <v>1.025000000000001</v>
      </c>
      <c r="AW67" s="218">
        <v>0.94999999999999829</v>
      </c>
      <c r="AX67" s="218">
        <v>1.0269230769230833</v>
      </c>
    </row>
    <row r="68" spans="1:50">
      <c r="A68" s="429">
        <v>0.67795138888888884</v>
      </c>
      <c r="B68" s="218">
        <v>20.399999999999999</v>
      </c>
      <c r="C68" s="218" t="s">
        <v>314</v>
      </c>
      <c r="D68" s="218">
        <v>10.199999999999999</v>
      </c>
      <c r="E68" s="218" t="s">
        <v>315</v>
      </c>
      <c r="F68" s="218">
        <v>22.7</v>
      </c>
      <c r="G68" s="218" t="s">
        <v>316</v>
      </c>
      <c r="H68" s="218">
        <v>11</v>
      </c>
      <c r="I68" s="218">
        <f t="shared" si="1"/>
        <v>20.3</v>
      </c>
      <c r="J68" s="218">
        <f t="shared" si="2"/>
        <v>4.926108374384236E-2</v>
      </c>
      <c r="K68" s="218">
        <f t="shared" si="3"/>
        <v>0</v>
      </c>
      <c r="L68" s="218">
        <f t="shared" si="4"/>
        <v>0</v>
      </c>
      <c r="M68" s="218" t="s">
        <v>323</v>
      </c>
      <c r="P68" s="218">
        <v>63</v>
      </c>
      <c r="Q68" s="218">
        <v>4.8999999999999986</v>
      </c>
      <c r="R68" s="218">
        <v>40</v>
      </c>
      <c r="S68" s="218">
        <v>3</v>
      </c>
      <c r="T68" s="218">
        <v>15.966666666666667</v>
      </c>
      <c r="U68" s="273">
        <v>6.2630480167014613E-2</v>
      </c>
      <c r="V68" s="218">
        <v>6.230697562069739E-2</v>
      </c>
      <c r="W68" s="250">
        <v>1.0643217744207793E-3</v>
      </c>
      <c r="X68" s="250">
        <v>3.5246504782928623E-2</v>
      </c>
      <c r="Z68" s="218">
        <v>60</v>
      </c>
      <c r="AA68" s="435">
        <v>3.1420161883738043E-2</v>
      </c>
      <c r="AB68" s="435">
        <v>0.55121527777777779</v>
      </c>
      <c r="AC68" s="435">
        <v>0.49999999999999983</v>
      </c>
      <c r="AD68" s="435">
        <v>0.77777777777777757</v>
      </c>
      <c r="AE68" s="435">
        <v>0.78481012658227911</v>
      </c>
      <c r="AG68" s="218">
        <v>60</v>
      </c>
      <c r="AH68" s="218">
        <v>0.861788617886179</v>
      </c>
      <c r="AI68" s="218">
        <v>1.0041152263374493</v>
      </c>
      <c r="AJ68" s="218">
        <v>1.0243902439024393</v>
      </c>
      <c r="AK68" s="218">
        <v>0.96899224806201545</v>
      </c>
      <c r="AL68" s="218">
        <v>1.0396825396825391</v>
      </c>
      <c r="AM68" s="218">
        <v>60</v>
      </c>
      <c r="AN68" s="218">
        <v>0.89147286821705518</v>
      </c>
      <c r="AO68" s="218">
        <v>0.98373983739837434</v>
      </c>
      <c r="AP68" s="218">
        <v>0.99166666666666825</v>
      </c>
      <c r="AQ68" s="218">
        <v>0.97560975609756362</v>
      </c>
      <c r="AR68" s="218">
        <v>0.99145299145299015</v>
      </c>
      <c r="AS68" s="218">
        <v>60</v>
      </c>
      <c r="AT68" s="218">
        <v>0.46341463414634154</v>
      </c>
      <c r="AU68" s="218">
        <v>0.90243902439024171</v>
      </c>
      <c r="AV68" s="218">
        <v>1.0250000000000026</v>
      </c>
      <c r="AW68" s="218">
        <v>0.96666666666666168</v>
      </c>
      <c r="AX68" s="218">
        <v>1.0354700854700933</v>
      </c>
    </row>
    <row r="69" spans="1:50">
      <c r="A69" s="429">
        <v>0.67796296296296299</v>
      </c>
      <c r="B69" s="218">
        <v>20.3</v>
      </c>
      <c r="C69" s="218" t="s">
        <v>314</v>
      </c>
      <c r="D69" s="218">
        <v>10.199999999999999</v>
      </c>
      <c r="E69" s="218" t="s">
        <v>315</v>
      </c>
      <c r="F69" s="218">
        <v>22.7</v>
      </c>
      <c r="G69" s="218" t="s">
        <v>316</v>
      </c>
      <c r="H69" s="218">
        <v>12</v>
      </c>
      <c r="I69" s="218">
        <f t="shared" si="1"/>
        <v>20.399999999999999</v>
      </c>
      <c r="J69" s="218">
        <f t="shared" si="2"/>
        <v>4.9019607843137261E-2</v>
      </c>
      <c r="K69" s="218">
        <f t="shared" si="3"/>
        <v>2.4147590070509872E-4</v>
      </c>
      <c r="L69" s="218">
        <f t="shared" si="4"/>
        <v>9.9999999999997868E-2</v>
      </c>
      <c r="M69" s="218" t="s">
        <v>323</v>
      </c>
      <c r="P69" s="218">
        <v>64</v>
      </c>
      <c r="Q69" s="218">
        <v>5.6999999999999993</v>
      </c>
      <c r="R69" s="218">
        <v>45</v>
      </c>
      <c r="S69" s="218">
        <v>3</v>
      </c>
      <c r="T69" s="218">
        <v>17.900000000000002</v>
      </c>
      <c r="U69" s="273">
        <v>5.5865921787709494E-2</v>
      </c>
      <c r="V69" s="218">
        <v>5.9248200977362053E-2</v>
      </c>
      <c r="W69" s="250">
        <v>1.0120720796872973E-3</v>
      </c>
      <c r="X69" s="250">
        <v>3.9514348785871969E-2</v>
      </c>
      <c r="Z69" s="218">
        <v>61</v>
      </c>
      <c r="AA69" s="435">
        <v>3.3259749816041212E-2</v>
      </c>
      <c r="AB69" s="435">
        <v>0.55729166666666663</v>
      </c>
      <c r="AC69" s="435">
        <v>0.5075757575757579</v>
      </c>
      <c r="AD69" s="435">
        <v>0.79365079365079372</v>
      </c>
      <c r="AE69" s="435">
        <v>0.78481012658227911</v>
      </c>
      <c r="AG69" s="218">
        <v>61</v>
      </c>
      <c r="AH69" s="218">
        <v>0.87804878048780621</v>
      </c>
      <c r="AI69" s="218">
        <v>1.0041152263374493</v>
      </c>
      <c r="AJ69" s="218">
        <v>1.0162601626016265</v>
      </c>
      <c r="AK69" s="218">
        <v>0.97674418604651148</v>
      </c>
      <c r="AL69" s="218">
        <v>1.0555555555555554</v>
      </c>
      <c r="AM69" s="218">
        <v>61</v>
      </c>
      <c r="AN69" s="218">
        <v>0.89147286821705518</v>
      </c>
      <c r="AO69" s="218">
        <v>0.99186991869918728</v>
      </c>
      <c r="AP69" s="218">
        <v>0.99166666666666825</v>
      </c>
      <c r="AQ69" s="218">
        <v>0.97560975609756362</v>
      </c>
      <c r="AR69" s="218">
        <v>0.99145299145299015</v>
      </c>
      <c r="AS69" s="218">
        <v>61</v>
      </c>
      <c r="AT69" s="218">
        <v>0.47154471544715582</v>
      </c>
      <c r="AU69" s="218">
        <v>0.90243902439024171</v>
      </c>
      <c r="AV69" s="218">
        <v>1.0333333333333357</v>
      </c>
      <c r="AW69" s="218">
        <v>0.95833333333332993</v>
      </c>
      <c r="AX69" s="218">
        <v>1.000000000000006</v>
      </c>
    </row>
    <row r="70" spans="1:50">
      <c r="A70" s="429">
        <v>0.67797453703703703</v>
      </c>
      <c r="B70" s="218">
        <v>20.3</v>
      </c>
      <c r="C70" s="218" t="s">
        <v>314</v>
      </c>
      <c r="D70" s="218">
        <v>10.199999999999999</v>
      </c>
      <c r="E70" s="218" t="s">
        <v>315</v>
      </c>
      <c r="F70" s="218">
        <v>22.7</v>
      </c>
      <c r="G70" s="218" t="s">
        <v>316</v>
      </c>
      <c r="H70" s="218">
        <v>13</v>
      </c>
      <c r="I70" s="218">
        <f t="shared" si="1"/>
        <v>20.3</v>
      </c>
      <c r="J70" s="218">
        <f t="shared" si="2"/>
        <v>4.926108374384236E-2</v>
      </c>
      <c r="K70" s="218">
        <f t="shared" si="3"/>
        <v>0</v>
      </c>
      <c r="L70" s="218">
        <f t="shared" si="4"/>
        <v>0</v>
      </c>
      <c r="M70" s="218" t="s">
        <v>323</v>
      </c>
      <c r="P70" s="218">
        <v>65</v>
      </c>
      <c r="Q70" s="218">
        <v>6.5999999999999979</v>
      </c>
      <c r="R70" s="218">
        <v>46</v>
      </c>
      <c r="S70" s="218">
        <v>4</v>
      </c>
      <c r="T70" s="218">
        <v>18.866666666666664</v>
      </c>
      <c r="U70" s="273">
        <v>5.3003533568904602E-2</v>
      </c>
      <c r="V70" s="218">
        <v>5.4434727678307052E-2</v>
      </c>
      <c r="W70" s="250">
        <v>9.2984879101469704E-4</v>
      </c>
      <c r="X70" s="250">
        <v>4.1648270787343629E-2</v>
      </c>
      <c r="Z70" s="218">
        <v>62</v>
      </c>
      <c r="AA70" s="435">
        <v>3.5614422369389255E-2</v>
      </c>
      <c r="AB70" s="435">
        <v>0.56770833333333337</v>
      </c>
      <c r="AC70" s="435">
        <v>0.5303030303030305</v>
      </c>
      <c r="AD70" s="435">
        <v>0.80158730158730163</v>
      </c>
      <c r="AE70" s="435">
        <v>0.81012658227848178</v>
      </c>
      <c r="AG70" s="218">
        <v>62</v>
      </c>
      <c r="AH70" s="218">
        <v>0.88617886178861893</v>
      </c>
      <c r="AI70" s="218">
        <v>1.0205761316872433</v>
      </c>
      <c r="AJ70" s="218">
        <v>1.0243902439024393</v>
      </c>
      <c r="AK70" s="218">
        <v>0.97674418604651148</v>
      </c>
      <c r="AL70" s="218">
        <v>1.0396825396825391</v>
      </c>
      <c r="AM70" s="218">
        <v>62</v>
      </c>
      <c r="AN70" s="218">
        <v>0.89147286821705518</v>
      </c>
      <c r="AO70" s="218">
        <v>0.98373983739837434</v>
      </c>
      <c r="AP70" s="218">
        <v>1.0083333333333362</v>
      </c>
      <c r="AQ70" s="218">
        <v>0.98780487804878292</v>
      </c>
      <c r="AR70" s="218">
        <v>1.0128205128205126</v>
      </c>
      <c r="AS70" s="218">
        <v>62</v>
      </c>
      <c r="AT70" s="218">
        <v>0.47967479674797009</v>
      </c>
      <c r="AU70" s="218">
        <v>0.91056910569105609</v>
      </c>
      <c r="AV70" s="218">
        <v>1.025000000000001</v>
      </c>
      <c r="AW70" s="218">
        <v>0.94999999999999829</v>
      </c>
      <c r="AX70" s="218">
        <v>1.000000000000006</v>
      </c>
    </row>
    <row r="71" spans="1:50">
      <c r="A71" s="429">
        <v>0.67798611111111118</v>
      </c>
      <c r="B71" s="218">
        <v>20.3</v>
      </c>
      <c r="C71" s="218" t="s">
        <v>314</v>
      </c>
      <c r="D71" s="218">
        <v>10.199999999999999</v>
      </c>
      <c r="E71" s="218" t="s">
        <v>315</v>
      </c>
      <c r="F71" s="218">
        <v>22.7</v>
      </c>
      <c r="G71" s="218" t="s">
        <v>316</v>
      </c>
      <c r="H71" s="218">
        <v>14</v>
      </c>
      <c r="I71" s="218">
        <f t="shared" si="1"/>
        <v>20.3</v>
      </c>
      <c r="J71" s="218">
        <f t="shared" si="2"/>
        <v>4.926108374384236E-2</v>
      </c>
      <c r="K71" s="218">
        <f t="shared" si="3"/>
        <v>0</v>
      </c>
      <c r="L71" s="218">
        <f t="shared" si="4"/>
        <v>0</v>
      </c>
      <c r="M71" s="218" t="s">
        <v>323</v>
      </c>
      <c r="P71" s="218">
        <v>66</v>
      </c>
      <c r="Q71" s="218">
        <v>7</v>
      </c>
      <c r="R71" s="218">
        <v>51</v>
      </c>
      <c r="S71" s="218">
        <v>4</v>
      </c>
      <c r="T71" s="218">
        <v>20.666666666666668</v>
      </c>
      <c r="U71" s="273">
        <v>4.8387096774193547E-2</v>
      </c>
      <c r="V71" s="218">
        <v>5.0695315171549071E-2</v>
      </c>
      <c r="W71" s="250">
        <v>8.659725056576232E-4</v>
      </c>
      <c r="X71" s="250">
        <v>4.5621780721118471E-2</v>
      </c>
      <c r="Z71" s="218">
        <v>63</v>
      </c>
      <c r="AA71" s="435">
        <v>3.5246504782928623E-2</v>
      </c>
      <c r="AB71" s="435">
        <v>0.58159722222222199</v>
      </c>
      <c r="AC71" s="435">
        <v>0.53787878787878796</v>
      </c>
      <c r="AD71" s="435">
        <v>0.80952380952380931</v>
      </c>
      <c r="AE71" s="435">
        <v>0.81012658227848244</v>
      </c>
      <c r="AG71" s="218">
        <v>63</v>
      </c>
      <c r="AH71" s="218">
        <v>0.88617886178861893</v>
      </c>
      <c r="AI71" s="218">
        <v>1.0041152263374493</v>
      </c>
      <c r="AJ71" s="218">
        <v>1.0162601626016259</v>
      </c>
      <c r="AK71" s="218">
        <v>0.96899224806201545</v>
      </c>
      <c r="AL71" s="218">
        <v>1.0555555555555554</v>
      </c>
      <c r="AM71" s="218">
        <v>63</v>
      </c>
      <c r="AN71" s="218">
        <v>0.89922480620155121</v>
      </c>
      <c r="AO71" s="218">
        <v>0.98373983739837434</v>
      </c>
      <c r="AP71" s="218">
        <v>1.0083333333333362</v>
      </c>
      <c r="AQ71" s="218">
        <v>0.97560975609756362</v>
      </c>
      <c r="AR71" s="218">
        <v>1</v>
      </c>
      <c r="AS71" s="218">
        <v>63</v>
      </c>
      <c r="AT71" s="218">
        <v>0.49593495934959292</v>
      </c>
      <c r="AU71" s="218">
        <v>0.91056910569105454</v>
      </c>
      <c r="AV71" s="218">
        <v>1.0333333333333357</v>
      </c>
      <c r="AW71" s="218">
        <v>0.96666666666666168</v>
      </c>
      <c r="AX71" s="218">
        <v>1.0440170940171032</v>
      </c>
    </row>
    <row r="72" spans="1:50">
      <c r="A72" s="429">
        <v>0.67799768518518511</v>
      </c>
      <c r="B72" s="218">
        <v>20.3</v>
      </c>
      <c r="C72" s="218" t="s">
        <v>314</v>
      </c>
      <c r="D72" s="218">
        <v>10.199999999999999</v>
      </c>
      <c r="E72" s="218" t="s">
        <v>315</v>
      </c>
      <c r="F72" s="218">
        <v>22.7</v>
      </c>
      <c r="G72" s="218" t="s">
        <v>316</v>
      </c>
      <c r="H72" s="218">
        <v>15</v>
      </c>
      <c r="I72" s="218">
        <f t="shared" si="1"/>
        <v>20.3</v>
      </c>
      <c r="J72" s="218">
        <f t="shared" si="2"/>
        <v>4.926108374384236E-2</v>
      </c>
      <c r="K72" s="218">
        <f t="shared" si="3"/>
        <v>0</v>
      </c>
      <c r="L72" s="218">
        <f t="shared" si="4"/>
        <v>0</v>
      </c>
      <c r="M72" s="218" t="s">
        <v>323</v>
      </c>
      <c r="P72" s="218">
        <v>67</v>
      </c>
      <c r="Q72" s="218">
        <v>7.1999999999999993</v>
      </c>
      <c r="R72" s="218">
        <v>50</v>
      </c>
      <c r="S72" s="218">
        <v>1</v>
      </c>
      <c r="T72" s="218">
        <v>19.400000000000002</v>
      </c>
      <c r="U72" s="273">
        <v>5.1546391752577317E-2</v>
      </c>
      <c r="V72" s="218">
        <v>4.9966744263385432E-2</v>
      </c>
      <c r="W72" s="250">
        <v>8.5352712736661701E-4</v>
      </c>
      <c r="X72" s="250">
        <v>4.2825607064017668E-2</v>
      </c>
      <c r="Z72" s="218">
        <v>64</v>
      </c>
      <c r="AA72" s="435">
        <v>3.9514348785871969E-2</v>
      </c>
      <c r="AB72" s="435">
        <v>0.58940972222222199</v>
      </c>
      <c r="AC72" s="435">
        <v>0.53787878787878796</v>
      </c>
      <c r="AD72" s="435">
        <v>0.82539682539682557</v>
      </c>
      <c r="AE72" s="435">
        <v>0.81012658227848178</v>
      </c>
      <c r="AG72" s="218">
        <v>64</v>
      </c>
      <c r="AH72" s="218">
        <v>0.89430894308943176</v>
      </c>
      <c r="AI72" s="218">
        <v>0.99588477366255235</v>
      </c>
      <c r="AJ72" s="218">
        <v>1.0162601626016259</v>
      </c>
      <c r="AK72" s="218">
        <v>0.97674418604651148</v>
      </c>
      <c r="AL72" s="218">
        <v>1.0396825396825391</v>
      </c>
      <c r="AM72" s="218">
        <v>64</v>
      </c>
      <c r="AN72" s="218">
        <v>0.90697674418604779</v>
      </c>
      <c r="AO72" s="218">
        <v>0.98373983739837434</v>
      </c>
      <c r="AP72" s="218">
        <v>1.0083333333333362</v>
      </c>
      <c r="AQ72" s="218">
        <v>0.97560975609756362</v>
      </c>
      <c r="AR72" s="218">
        <v>1.0128205128205126</v>
      </c>
      <c r="AS72" s="218">
        <v>64</v>
      </c>
      <c r="AT72" s="218">
        <v>0.49593495934959292</v>
      </c>
      <c r="AU72" s="218">
        <v>0.91869918699186892</v>
      </c>
      <c r="AV72" s="218">
        <v>1.0333333333333357</v>
      </c>
      <c r="AW72" s="218">
        <v>0.96666666666666168</v>
      </c>
      <c r="AX72" s="218">
        <v>1.0354700854700933</v>
      </c>
    </row>
    <row r="73" spans="1:50">
      <c r="A73" s="429">
        <v>0.67800925925925926</v>
      </c>
      <c r="B73" s="218">
        <v>20.3</v>
      </c>
      <c r="C73" s="218" t="s">
        <v>314</v>
      </c>
      <c r="D73" s="218">
        <v>10.199999999999999</v>
      </c>
      <c r="E73" s="218" t="s">
        <v>315</v>
      </c>
      <c r="F73" s="218">
        <v>22.7</v>
      </c>
      <c r="G73" s="218" t="s">
        <v>316</v>
      </c>
      <c r="H73" s="218">
        <v>16</v>
      </c>
      <c r="I73" s="218">
        <f t="shared" si="1"/>
        <v>20.3</v>
      </c>
      <c r="J73" s="218">
        <f t="shared" si="2"/>
        <v>4.926108374384236E-2</v>
      </c>
      <c r="K73" s="218">
        <f t="shared" si="3"/>
        <v>0</v>
      </c>
      <c r="L73" s="218">
        <f t="shared" si="4"/>
        <v>0</v>
      </c>
      <c r="M73" s="218" t="s">
        <v>323</v>
      </c>
      <c r="P73" s="218">
        <v>68</v>
      </c>
      <c r="Q73" s="218">
        <v>8</v>
      </c>
      <c r="R73" s="218">
        <v>52</v>
      </c>
      <c r="S73" s="218">
        <v>1</v>
      </c>
      <c r="T73" s="218">
        <v>20.333333333333332</v>
      </c>
      <c r="U73" s="273">
        <v>4.9180327868852465E-2</v>
      </c>
      <c r="V73" s="218">
        <v>5.0363359810714894E-2</v>
      </c>
      <c r="W73" s="250">
        <v>8.6030207606042485E-4</v>
      </c>
      <c r="X73" s="250">
        <v>4.4885945548197199E-2</v>
      </c>
      <c r="Z73" s="218">
        <v>65</v>
      </c>
      <c r="AA73" s="435">
        <v>4.1648270787343629E-2</v>
      </c>
      <c r="AB73" s="435">
        <v>0.59374999999999978</v>
      </c>
      <c r="AC73" s="435">
        <v>0.55303030303030309</v>
      </c>
      <c r="AD73" s="435">
        <v>0.84126984126984106</v>
      </c>
      <c r="AE73" s="435">
        <v>0.8185654008438833</v>
      </c>
      <c r="AG73" s="218">
        <v>65</v>
      </c>
      <c r="AH73" s="218">
        <v>0.89430894308943176</v>
      </c>
      <c r="AI73" s="218">
        <v>0.99588477366255235</v>
      </c>
      <c r="AJ73" s="218">
        <v>1.0243902439024393</v>
      </c>
      <c r="AK73" s="218">
        <v>0.97674418604651148</v>
      </c>
      <c r="AL73" s="218">
        <v>1.0555555555555554</v>
      </c>
      <c r="AM73" s="218">
        <v>65</v>
      </c>
      <c r="AN73" s="218">
        <v>0.90697674418604779</v>
      </c>
      <c r="AO73" s="218">
        <v>0.98373983739837434</v>
      </c>
      <c r="AP73" s="218">
        <v>1.0083333333333362</v>
      </c>
      <c r="AQ73" s="218">
        <v>0.98780487804878292</v>
      </c>
      <c r="AR73" s="218">
        <v>1</v>
      </c>
      <c r="AS73" s="218">
        <v>65</v>
      </c>
      <c r="AT73" s="218">
        <v>0.5203252032520328</v>
      </c>
      <c r="AU73" s="218">
        <v>0.91869918699186892</v>
      </c>
      <c r="AV73" s="218">
        <v>1.0166666666666677</v>
      </c>
      <c r="AW73" s="218">
        <v>0.95833333333332993</v>
      </c>
      <c r="AX73" s="218">
        <v>1.0440170940171032</v>
      </c>
    </row>
    <row r="74" spans="1:50">
      <c r="A74" s="429">
        <v>0.67802083333333341</v>
      </c>
      <c r="B74" s="218">
        <v>20.3</v>
      </c>
      <c r="C74" s="218" t="s">
        <v>314</v>
      </c>
      <c r="D74" s="218">
        <v>10.199999999999999</v>
      </c>
      <c r="E74" s="218" t="s">
        <v>315</v>
      </c>
      <c r="F74" s="218">
        <v>22.7</v>
      </c>
      <c r="G74" s="218" t="s">
        <v>316</v>
      </c>
      <c r="H74" s="218">
        <v>17</v>
      </c>
      <c r="I74" s="218">
        <f t="shared" si="1"/>
        <v>20.3</v>
      </c>
      <c r="J74" s="218">
        <f t="shared" si="2"/>
        <v>4.926108374384236E-2</v>
      </c>
      <c r="K74" s="218">
        <f t="shared" si="3"/>
        <v>0</v>
      </c>
      <c r="L74" s="218">
        <f t="shared" si="4"/>
        <v>0</v>
      </c>
      <c r="M74" s="218" t="s">
        <v>323</v>
      </c>
      <c r="P74" s="218">
        <v>69</v>
      </c>
      <c r="Q74" s="218">
        <v>8.5</v>
      </c>
      <c r="R74" s="218">
        <v>51</v>
      </c>
      <c r="S74" s="218">
        <v>3</v>
      </c>
      <c r="T74" s="218">
        <v>20.833333333333332</v>
      </c>
      <c r="U74" s="273">
        <v>4.8000000000000001E-2</v>
      </c>
      <c r="V74" s="218">
        <v>4.8590163934426236E-2</v>
      </c>
      <c r="W74" s="250">
        <v>8.3001251437577394E-4</v>
      </c>
      <c r="X74" s="250">
        <v>4.5989698307579097E-2</v>
      </c>
      <c r="Z74" s="218">
        <v>66</v>
      </c>
      <c r="AA74" s="435">
        <v>4.5621780721118471E-2</v>
      </c>
      <c r="AB74" s="435">
        <v>0.60850694444444442</v>
      </c>
      <c r="AC74" s="435">
        <v>0.5681818181818179</v>
      </c>
      <c r="AD74" s="435">
        <v>0.84126984126984172</v>
      </c>
      <c r="AE74" s="435">
        <v>0.83544303797468444</v>
      </c>
      <c r="AG74" s="218">
        <v>66</v>
      </c>
      <c r="AH74" s="218">
        <v>0.91056910569105887</v>
      </c>
      <c r="AI74" s="218">
        <v>1.0041152263374493</v>
      </c>
      <c r="AJ74" s="218">
        <v>1.0081300813008127</v>
      </c>
      <c r="AK74" s="218">
        <v>0.97674418604651148</v>
      </c>
      <c r="AL74" s="218">
        <v>1.047619047619047</v>
      </c>
      <c r="AM74" s="218">
        <v>66</v>
      </c>
      <c r="AN74" s="218">
        <v>0.92248062015504029</v>
      </c>
      <c r="AO74" s="218">
        <v>1.0081300813008127</v>
      </c>
      <c r="AP74" s="218">
        <v>1.0000000000000029</v>
      </c>
      <c r="AQ74" s="218">
        <v>0.98780487804878292</v>
      </c>
      <c r="AR74" s="218">
        <v>1</v>
      </c>
      <c r="AS74" s="218">
        <v>66</v>
      </c>
      <c r="AT74" s="218">
        <v>0.52845528455284707</v>
      </c>
      <c r="AU74" s="218">
        <v>0.91869918699186892</v>
      </c>
      <c r="AV74" s="218">
        <v>1.025000000000001</v>
      </c>
      <c r="AW74" s="218">
        <v>0.97499999999999321</v>
      </c>
      <c r="AX74" s="218">
        <v>1.0440170940171032</v>
      </c>
    </row>
    <row r="75" spans="1:50">
      <c r="A75" s="429">
        <v>0.67803240740740733</v>
      </c>
      <c r="B75" s="218">
        <v>20.3</v>
      </c>
      <c r="C75" s="218" t="s">
        <v>314</v>
      </c>
      <c r="D75" s="218">
        <v>10.199999999999999</v>
      </c>
      <c r="E75" s="218" t="s">
        <v>315</v>
      </c>
      <c r="F75" s="218">
        <v>22.7</v>
      </c>
      <c r="G75" s="218" t="s">
        <v>316</v>
      </c>
      <c r="H75" s="218">
        <v>18</v>
      </c>
      <c r="I75" s="218">
        <f t="shared" si="1"/>
        <v>20.3</v>
      </c>
      <c r="J75" s="218">
        <f t="shared" si="2"/>
        <v>4.926108374384236E-2</v>
      </c>
      <c r="K75" s="218">
        <f t="shared" si="3"/>
        <v>0</v>
      </c>
      <c r="L75" s="218">
        <f t="shared" si="4"/>
        <v>0</v>
      </c>
      <c r="M75" s="218" t="s">
        <v>323</v>
      </c>
      <c r="P75" s="218">
        <v>70</v>
      </c>
      <c r="Q75" s="218">
        <v>8.8999999999999986</v>
      </c>
      <c r="R75" s="218">
        <v>53</v>
      </c>
      <c r="S75" s="218">
        <v>3</v>
      </c>
      <c r="T75" s="218">
        <v>21.633333333333336</v>
      </c>
      <c r="U75" s="273">
        <v>4.6224961479198759E-2</v>
      </c>
      <c r="V75" s="218">
        <v>4.711248073959938E-2</v>
      </c>
      <c r="W75" s="250">
        <v>8.04770871938752E-4</v>
      </c>
      <c r="X75" s="250">
        <v>4.7755702722590145E-2</v>
      </c>
      <c r="Z75" s="218">
        <v>67</v>
      </c>
      <c r="AA75" s="435">
        <v>4.2825607064017668E-2</v>
      </c>
      <c r="AB75" s="435">
        <v>0.58680555555555558</v>
      </c>
      <c r="AC75" s="435">
        <v>0.58333333333333304</v>
      </c>
      <c r="AD75" s="435">
        <v>0.84920634920634952</v>
      </c>
      <c r="AE75" s="435">
        <v>0.84388185654008518</v>
      </c>
      <c r="AG75" s="218">
        <v>67</v>
      </c>
      <c r="AH75" s="218">
        <v>0.91869918699187181</v>
      </c>
      <c r="AI75" s="218">
        <v>1.0123456790123462</v>
      </c>
      <c r="AJ75" s="218">
        <v>1.0243902439024393</v>
      </c>
      <c r="AK75" s="218">
        <v>0.97674418604651148</v>
      </c>
      <c r="AL75" s="218">
        <v>1.0476190476190477</v>
      </c>
      <c r="AM75" s="218">
        <v>67</v>
      </c>
      <c r="AN75" s="218">
        <v>0.92248062015504029</v>
      </c>
      <c r="AO75" s="218">
        <v>1</v>
      </c>
      <c r="AP75" s="218">
        <v>1.0083333333333362</v>
      </c>
      <c r="AQ75" s="218">
        <v>0.98780487804878292</v>
      </c>
      <c r="AR75" s="218">
        <v>1</v>
      </c>
      <c r="AS75" s="218">
        <v>67</v>
      </c>
      <c r="AT75" s="218">
        <v>0.53658536585366134</v>
      </c>
      <c r="AU75" s="218">
        <v>0.91869918699186892</v>
      </c>
      <c r="AV75" s="218">
        <v>1.0166666666666677</v>
      </c>
      <c r="AW75" s="218">
        <v>0.97499999999999321</v>
      </c>
      <c r="AX75" s="218">
        <v>1.0354700854700933</v>
      </c>
    </row>
    <row r="76" spans="1:50">
      <c r="A76" s="429">
        <v>0.67804398148148148</v>
      </c>
      <c r="B76" s="218">
        <v>20.3</v>
      </c>
      <c r="C76" s="218" t="s">
        <v>314</v>
      </c>
      <c r="D76" s="218">
        <v>10.199999999999999</v>
      </c>
      <c r="E76" s="218" t="s">
        <v>315</v>
      </c>
      <c r="F76" s="218">
        <v>22.7</v>
      </c>
      <c r="G76" s="218" t="s">
        <v>316</v>
      </c>
      <c r="H76" s="218">
        <v>19</v>
      </c>
      <c r="I76" s="218">
        <f t="shared" si="1"/>
        <v>20.3</v>
      </c>
      <c r="J76" s="218">
        <f t="shared" si="2"/>
        <v>4.926108374384236E-2</v>
      </c>
      <c r="K76" s="218">
        <f t="shared" si="3"/>
        <v>0</v>
      </c>
      <c r="L76" s="218">
        <f t="shared" si="4"/>
        <v>0</v>
      </c>
      <c r="M76" s="218" t="s">
        <v>323</v>
      </c>
      <c r="P76" s="218">
        <v>71</v>
      </c>
      <c r="Q76" s="218">
        <v>13.2</v>
      </c>
      <c r="R76" s="218">
        <v>53</v>
      </c>
      <c r="S76" s="218">
        <v>3</v>
      </c>
      <c r="T76" s="218">
        <v>23.066666666666666</v>
      </c>
      <c r="U76" s="273">
        <v>4.3352601156069363E-2</v>
      </c>
      <c r="V76" s="218">
        <v>4.4788781317634058E-2</v>
      </c>
      <c r="W76" s="250">
        <v>7.6507766154987984E-4</v>
      </c>
      <c r="X76" s="250">
        <v>5.091979396615158E-2</v>
      </c>
      <c r="Z76" s="218">
        <v>68</v>
      </c>
      <c r="AA76" s="435">
        <v>4.4885945548197199E-2</v>
      </c>
      <c r="AB76" s="435">
        <v>0.62413194444444431</v>
      </c>
      <c r="AC76" s="435">
        <v>0.59090909090909083</v>
      </c>
      <c r="AD76" s="435">
        <v>0.84920634920634952</v>
      </c>
      <c r="AE76" s="435">
        <v>0.86075949367088633</v>
      </c>
      <c r="AG76" s="218">
        <v>68</v>
      </c>
      <c r="AH76" s="218">
        <v>0.92682926829268464</v>
      </c>
      <c r="AI76" s="218">
        <v>1.0041152263374493</v>
      </c>
      <c r="AJ76" s="218">
        <v>1.0325203252032529</v>
      </c>
      <c r="AK76" s="218">
        <v>0.98449612403100739</v>
      </c>
      <c r="AL76" s="218">
        <v>1.0396825396825391</v>
      </c>
      <c r="AM76" s="218">
        <v>68</v>
      </c>
      <c r="AN76" s="218">
        <v>0.92248062015504029</v>
      </c>
      <c r="AO76" s="218">
        <v>0.98373983739837434</v>
      </c>
      <c r="AP76" s="218">
        <v>1.0083333333333362</v>
      </c>
      <c r="AQ76" s="218">
        <v>0.96341463414634421</v>
      </c>
      <c r="AR76" s="218">
        <v>1</v>
      </c>
      <c r="AS76" s="218">
        <v>68</v>
      </c>
      <c r="AT76" s="218">
        <v>0.55284552845528712</v>
      </c>
      <c r="AU76" s="218">
        <v>0.92682926829268175</v>
      </c>
      <c r="AV76" s="218">
        <v>1.025000000000001</v>
      </c>
      <c r="AW76" s="218">
        <v>0.94999999999999829</v>
      </c>
      <c r="AX76" s="218">
        <v>1.000000000000006</v>
      </c>
    </row>
    <row r="77" spans="1:50">
      <c r="A77" s="429">
        <v>0.67805555555555552</v>
      </c>
      <c r="B77" s="218">
        <v>20.3</v>
      </c>
      <c r="C77" s="218" t="s">
        <v>314</v>
      </c>
      <c r="D77" s="218">
        <v>10.199999999999999</v>
      </c>
      <c r="E77" s="218" t="s">
        <v>315</v>
      </c>
      <c r="F77" s="218">
        <v>22.7</v>
      </c>
      <c r="G77" s="218" t="s">
        <v>316</v>
      </c>
      <c r="H77" s="218">
        <v>20</v>
      </c>
      <c r="I77" s="218">
        <f t="shared" si="1"/>
        <v>20.3</v>
      </c>
      <c r="J77" s="218">
        <f t="shared" si="2"/>
        <v>4.926108374384236E-2</v>
      </c>
      <c r="K77" s="218">
        <f t="shared" si="3"/>
        <v>0</v>
      </c>
      <c r="L77" s="218">
        <f t="shared" si="4"/>
        <v>0</v>
      </c>
      <c r="M77" s="218" t="s">
        <v>323</v>
      </c>
      <c r="P77" s="218">
        <v>72</v>
      </c>
      <c r="Q77" s="218">
        <v>13.900000000000002</v>
      </c>
      <c r="R77" s="218">
        <v>56</v>
      </c>
      <c r="S77" s="218">
        <v>3</v>
      </c>
      <c r="T77" s="218">
        <v>24.3</v>
      </c>
      <c r="U77" s="273">
        <v>4.1152263374485597E-2</v>
      </c>
      <c r="V77" s="218">
        <v>4.225243226527748E-2</v>
      </c>
      <c r="W77" s="250">
        <v>7.2175199059470215E-4</v>
      </c>
      <c r="X77" s="250">
        <v>5.364238410596027E-2</v>
      </c>
      <c r="Z77" s="218">
        <v>69</v>
      </c>
      <c r="AA77" s="435">
        <v>4.5989698307579097E-2</v>
      </c>
      <c r="AB77" s="435">
        <v>0.61197916666666641</v>
      </c>
      <c r="AC77" s="435">
        <v>0.58333333333333304</v>
      </c>
      <c r="AD77" s="435">
        <v>0.85714285714285743</v>
      </c>
      <c r="AE77" s="435">
        <v>0.86075949367088722</v>
      </c>
      <c r="AG77" s="218">
        <v>69</v>
      </c>
      <c r="AH77" s="218">
        <v>0.92682926829268464</v>
      </c>
      <c r="AI77" s="218">
        <v>0.99588477366255235</v>
      </c>
      <c r="AJ77" s="218">
        <v>1.0243902439024393</v>
      </c>
      <c r="AK77" s="218">
        <v>0.97674418604651148</v>
      </c>
      <c r="AL77" s="218">
        <v>1.0595238095238086</v>
      </c>
      <c r="AM77" s="218">
        <v>69</v>
      </c>
      <c r="AN77" s="218">
        <v>0.93023255813953631</v>
      </c>
      <c r="AO77" s="218">
        <v>0.99186991869918728</v>
      </c>
      <c r="AP77" s="218">
        <v>1.0083333333333362</v>
      </c>
      <c r="AQ77" s="218">
        <v>0.96341463414634421</v>
      </c>
      <c r="AR77" s="218">
        <v>1</v>
      </c>
      <c r="AS77" s="218">
        <v>69</v>
      </c>
      <c r="AT77" s="218">
        <v>0.56097560975609839</v>
      </c>
      <c r="AU77" s="218">
        <v>0.93495934959349303</v>
      </c>
      <c r="AV77" s="218">
        <v>1.025000000000001</v>
      </c>
      <c r="AW77" s="218">
        <v>0.97499999999999321</v>
      </c>
      <c r="AX77" s="218">
        <v>1.0440170940171032</v>
      </c>
    </row>
    <row r="78" spans="1:50">
      <c r="A78" s="429">
        <v>0.67806712962962967</v>
      </c>
      <c r="B78" s="218">
        <v>20.3</v>
      </c>
      <c r="C78" s="218" t="s">
        <v>314</v>
      </c>
      <c r="D78" s="218">
        <v>10.199999999999999</v>
      </c>
      <c r="E78" s="218" t="s">
        <v>315</v>
      </c>
      <c r="F78" s="218">
        <v>22.7</v>
      </c>
      <c r="G78" s="218" t="s">
        <v>316</v>
      </c>
      <c r="H78" s="218">
        <v>21</v>
      </c>
      <c r="I78" s="218">
        <f t="shared" si="1"/>
        <v>20.3</v>
      </c>
      <c r="J78" s="218">
        <f t="shared" si="2"/>
        <v>4.926108374384236E-2</v>
      </c>
      <c r="K78" s="218">
        <f t="shared" si="3"/>
        <v>0</v>
      </c>
      <c r="L78" s="218">
        <f t="shared" si="4"/>
        <v>0</v>
      </c>
      <c r="M78" s="218" t="s">
        <v>323</v>
      </c>
      <c r="P78" s="218">
        <v>73</v>
      </c>
      <c r="Q78" s="218">
        <v>14.2</v>
      </c>
      <c r="R78" s="218">
        <v>57</v>
      </c>
      <c r="S78" s="218">
        <v>4</v>
      </c>
      <c r="T78" s="218">
        <v>25.066666666666666</v>
      </c>
      <c r="U78" s="273">
        <v>3.9893617021276598E-2</v>
      </c>
      <c r="V78" s="218">
        <v>4.0522940197881094E-2</v>
      </c>
      <c r="W78" s="250">
        <v>6.9220897317681738E-4</v>
      </c>
      <c r="X78" s="250">
        <v>5.5334805003679176E-2</v>
      </c>
      <c r="Z78" s="218">
        <v>70</v>
      </c>
      <c r="AA78" s="435">
        <v>4.7755702722590145E-2</v>
      </c>
      <c r="AB78" s="435">
        <v>0.63020833333333315</v>
      </c>
      <c r="AC78" s="435">
        <v>0.60606060606060641</v>
      </c>
      <c r="AD78" s="435">
        <v>0.84920634920634952</v>
      </c>
      <c r="AE78" s="435">
        <v>0.86919831223628785</v>
      </c>
      <c r="AG78" s="218">
        <v>70</v>
      </c>
      <c r="AH78" s="218">
        <v>0.92682926829268464</v>
      </c>
      <c r="AI78" s="218">
        <v>0.99588477366255235</v>
      </c>
      <c r="AJ78" s="218">
        <v>1.0162601626016265</v>
      </c>
      <c r="AK78" s="218">
        <v>0.97674418604651148</v>
      </c>
      <c r="AL78" s="218">
        <v>1.0357142857142854</v>
      </c>
      <c r="AM78" s="218">
        <v>70</v>
      </c>
      <c r="AN78" s="218">
        <v>0.93023255813953631</v>
      </c>
      <c r="AO78" s="218">
        <v>1</v>
      </c>
      <c r="AP78" s="218">
        <v>1.0000000000000029</v>
      </c>
      <c r="AQ78" s="218">
        <v>0.96341463414634421</v>
      </c>
      <c r="AR78" s="218">
        <v>1</v>
      </c>
      <c r="AS78" s="218">
        <v>70</v>
      </c>
      <c r="AT78" s="218">
        <v>0.56910569105691278</v>
      </c>
      <c r="AU78" s="218">
        <v>0.93495934959349303</v>
      </c>
      <c r="AV78" s="218">
        <v>1.0333333333333357</v>
      </c>
      <c r="AW78" s="218">
        <v>0.97499999999999321</v>
      </c>
      <c r="AX78" s="218">
        <v>1.0354700854700933</v>
      </c>
    </row>
    <row r="79" spans="1:50">
      <c r="A79" s="429">
        <v>0.6780787037037036</v>
      </c>
      <c r="B79" s="218">
        <v>20.3</v>
      </c>
      <c r="C79" s="218" t="s">
        <v>314</v>
      </c>
      <c r="D79" s="218">
        <v>10.199999999999999</v>
      </c>
      <c r="E79" s="218" t="s">
        <v>315</v>
      </c>
      <c r="F79" s="218">
        <v>22.7</v>
      </c>
      <c r="G79" s="218" t="s">
        <v>316</v>
      </c>
      <c r="H79" s="218">
        <v>22</v>
      </c>
      <c r="I79" s="218">
        <f t="shared" si="1"/>
        <v>20.3</v>
      </c>
      <c r="J79" s="218">
        <f t="shared" si="2"/>
        <v>4.926108374384236E-2</v>
      </c>
      <c r="K79" s="218">
        <f t="shared" si="3"/>
        <v>0</v>
      </c>
      <c r="L79" s="218">
        <f t="shared" si="4"/>
        <v>0</v>
      </c>
      <c r="M79" s="218" t="s">
        <v>323</v>
      </c>
      <c r="P79" s="218">
        <v>74</v>
      </c>
      <c r="Q79" s="218">
        <v>14.999999999999996</v>
      </c>
      <c r="R79" s="218">
        <v>59</v>
      </c>
      <c r="S79" s="218">
        <v>4</v>
      </c>
      <c r="T79" s="218">
        <v>26</v>
      </c>
      <c r="U79" s="273">
        <v>3.8461538461538464E-2</v>
      </c>
      <c r="V79" s="218">
        <v>3.9177577741407531E-2</v>
      </c>
      <c r="W79" s="250">
        <v>6.6922762088602531E-4</v>
      </c>
      <c r="X79" s="250">
        <v>5.7395143487858721E-2</v>
      </c>
      <c r="Z79" s="218">
        <v>71</v>
      </c>
      <c r="AA79" s="435">
        <v>5.091979396615158E-2</v>
      </c>
      <c r="AB79" s="435">
        <v>0.63628472222222221</v>
      </c>
      <c r="AC79" s="435">
        <v>0.6287878787878789</v>
      </c>
      <c r="AD79" s="435">
        <v>0.85714285714285743</v>
      </c>
      <c r="AE79" s="435">
        <v>0.86919831223628785</v>
      </c>
      <c r="AG79" s="218">
        <v>71</v>
      </c>
      <c r="AH79" s="218">
        <v>0.91869918699187025</v>
      </c>
      <c r="AI79" s="218">
        <v>0.99588477366255235</v>
      </c>
      <c r="AJ79" s="218">
        <v>1.0243902439024393</v>
      </c>
      <c r="AK79" s="218">
        <v>0.96899224806201545</v>
      </c>
      <c r="AL79" s="218">
        <v>1.0357142857142854</v>
      </c>
      <c r="AM79" s="218">
        <v>71</v>
      </c>
      <c r="AN79" s="218">
        <v>0.93798449612403223</v>
      </c>
      <c r="AO79" s="218">
        <v>1</v>
      </c>
      <c r="AP79" s="218">
        <v>1.0083333333333362</v>
      </c>
      <c r="AQ79" s="218">
        <v>0.96341463414634421</v>
      </c>
      <c r="AR79" s="218">
        <v>1</v>
      </c>
      <c r="AS79" s="218">
        <v>71</v>
      </c>
      <c r="AT79" s="218">
        <v>0.58536585365853833</v>
      </c>
      <c r="AU79" s="218">
        <v>0.94308943089430597</v>
      </c>
      <c r="AV79" s="218">
        <v>1.0333333333333357</v>
      </c>
      <c r="AW79" s="218">
        <v>0.95833333333332993</v>
      </c>
      <c r="AX79" s="218">
        <v>0.95854700854701602</v>
      </c>
    </row>
    <row r="80" spans="1:50">
      <c r="A80" s="429">
        <v>0.67809027777777775</v>
      </c>
      <c r="B80" s="218">
        <v>20.3</v>
      </c>
      <c r="C80" s="218" t="s">
        <v>314</v>
      </c>
      <c r="D80" s="218">
        <v>10.199999999999999</v>
      </c>
      <c r="E80" s="218" t="s">
        <v>315</v>
      </c>
      <c r="F80" s="218">
        <v>22.7</v>
      </c>
      <c r="G80" s="218" t="s">
        <v>316</v>
      </c>
      <c r="H80" s="218">
        <v>23</v>
      </c>
      <c r="I80" s="218">
        <f t="shared" si="1"/>
        <v>20.3</v>
      </c>
      <c r="J80" s="218">
        <f t="shared" si="2"/>
        <v>4.926108374384236E-2</v>
      </c>
      <c r="K80" s="218">
        <f t="shared" si="3"/>
        <v>0</v>
      </c>
      <c r="L80" s="218">
        <f t="shared" si="4"/>
        <v>0</v>
      </c>
      <c r="M80" s="218" t="s">
        <v>323</v>
      </c>
      <c r="P80" s="218">
        <v>75</v>
      </c>
      <c r="Q80" s="218">
        <v>19.999999999999996</v>
      </c>
      <c r="R80" s="218">
        <v>59</v>
      </c>
      <c r="S80" s="218">
        <v>6</v>
      </c>
      <c r="T80" s="218">
        <v>28.333333333333332</v>
      </c>
      <c r="U80" s="273">
        <v>3.5294117647058823E-2</v>
      </c>
      <c r="V80" s="218">
        <v>3.6877828054298643E-2</v>
      </c>
      <c r="W80" s="250">
        <v>6.2994351756815717E-4</v>
      </c>
      <c r="X80" s="250">
        <v>6.2545989698307575E-2</v>
      </c>
      <c r="Z80" s="218">
        <v>72</v>
      </c>
      <c r="AA80" s="435">
        <v>5.364238410596027E-2</v>
      </c>
      <c r="AB80" s="435">
        <v>0.64670138888888895</v>
      </c>
      <c r="AC80" s="435">
        <v>0.63636363636363635</v>
      </c>
      <c r="AD80" s="435">
        <v>0.85714285714285743</v>
      </c>
      <c r="AE80" s="435">
        <v>0.86919831223628785</v>
      </c>
      <c r="AG80" s="218">
        <v>72</v>
      </c>
      <c r="AH80" s="218">
        <v>0.92682926829268464</v>
      </c>
      <c r="AI80" s="218">
        <v>1.0123456790123462</v>
      </c>
      <c r="AJ80" s="218">
        <v>1.0243902439024393</v>
      </c>
      <c r="AK80" s="218">
        <v>0.98449612403100806</v>
      </c>
      <c r="AL80" s="218">
        <v>1.047619047619047</v>
      </c>
      <c r="AM80" s="218">
        <v>72</v>
      </c>
      <c r="AN80" s="218">
        <v>0.94573643410852837</v>
      </c>
      <c r="AO80" s="218">
        <v>0.99186991869918728</v>
      </c>
      <c r="AP80" s="218">
        <v>1.0083333333333362</v>
      </c>
      <c r="AQ80" s="218">
        <v>0.96341463414634421</v>
      </c>
      <c r="AR80" s="218">
        <v>0.97435897435897501</v>
      </c>
      <c r="AS80" s="218">
        <v>72</v>
      </c>
      <c r="AT80" s="218">
        <v>0.5934959349593526</v>
      </c>
      <c r="AU80" s="218">
        <v>0.9512195121951188</v>
      </c>
      <c r="AV80" s="218">
        <v>1.0250000000000026</v>
      </c>
      <c r="AW80" s="218">
        <v>0.97499999999999321</v>
      </c>
      <c r="AX80" s="218">
        <v>1.0354700854700933</v>
      </c>
    </row>
    <row r="81" spans="1:50">
      <c r="A81" s="429">
        <v>0.6781018518518519</v>
      </c>
      <c r="B81" s="218">
        <v>20.3</v>
      </c>
      <c r="C81" s="218" t="s">
        <v>314</v>
      </c>
      <c r="D81" s="218">
        <v>10.199999999999999</v>
      </c>
      <c r="E81" s="218" t="s">
        <v>315</v>
      </c>
      <c r="F81" s="218">
        <v>22.7</v>
      </c>
      <c r="G81" s="218" t="s">
        <v>316</v>
      </c>
      <c r="H81" s="218">
        <v>24</v>
      </c>
      <c r="I81" s="218">
        <f t="shared" si="1"/>
        <v>20.3</v>
      </c>
      <c r="J81" s="218">
        <f t="shared" si="2"/>
        <v>4.926108374384236E-2</v>
      </c>
      <c r="K81" s="218">
        <f t="shared" si="3"/>
        <v>0</v>
      </c>
      <c r="L81" s="218">
        <f t="shared" si="4"/>
        <v>0</v>
      </c>
      <c r="M81" s="218" t="s">
        <v>323</v>
      </c>
      <c r="P81" s="218">
        <v>76</v>
      </c>
      <c r="Q81" s="218">
        <v>20.3</v>
      </c>
      <c r="R81" s="218">
        <v>60</v>
      </c>
      <c r="S81" s="218">
        <v>6</v>
      </c>
      <c r="T81" s="218">
        <v>28.766666666666666</v>
      </c>
      <c r="U81" s="273">
        <v>3.4762456546929318E-2</v>
      </c>
      <c r="V81" s="218">
        <v>3.5028287096994071E-2</v>
      </c>
      <c r="W81" s="250">
        <v>5.983498365407571E-4</v>
      </c>
      <c r="X81" s="250">
        <v>6.3502575423105223E-2</v>
      </c>
      <c r="Z81" s="218">
        <v>73</v>
      </c>
      <c r="AA81" s="435">
        <v>5.5334805003679176E-2</v>
      </c>
      <c r="AB81" s="435">
        <v>0.65017361111111105</v>
      </c>
      <c r="AC81" s="435">
        <v>0.65151515151515194</v>
      </c>
      <c r="AD81" s="435">
        <v>0.88095238095238071</v>
      </c>
      <c r="AE81" s="435">
        <v>0.87763713080168848</v>
      </c>
      <c r="AG81" s="218">
        <v>73</v>
      </c>
      <c r="AH81" s="218">
        <v>0.92682926829268464</v>
      </c>
      <c r="AI81" s="218">
        <v>1.0041152263374493</v>
      </c>
      <c r="AJ81" s="218">
        <v>1.0162601626016259</v>
      </c>
      <c r="AK81" s="218">
        <v>0.98449612403100806</v>
      </c>
      <c r="AL81" s="218">
        <v>1.047619047619047</v>
      </c>
      <c r="AM81" s="218">
        <v>73</v>
      </c>
      <c r="AN81" s="218">
        <v>0.94573643410852837</v>
      </c>
      <c r="AO81" s="218">
        <v>0.98373983739837434</v>
      </c>
      <c r="AP81" s="218">
        <v>1.0083333333333362</v>
      </c>
      <c r="AQ81" s="218">
        <v>0.96341463414634421</v>
      </c>
      <c r="AR81" s="218">
        <v>1</v>
      </c>
      <c r="AS81" s="218">
        <v>73</v>
      </c>
      <c r="AT81" s="218">
        <v>0.60975609756097826</v>
      </c>
      <c r="AU81" s="218">
        <v>0.94308943089430597</v>
      </c>
      <c r="AV81" s="218">
        <v>1.0333333333333357</v>
      </c>
      <c r="AW81" s="218">
        <v>0.96666666666666168</v>
      </c>
      <c r="AX81" s="218">
        <v>1.0354700854700933</v>
      </c>
    </row>
    <row r="82" spans="1:50">
      <c r="A82" s="429">
        <v>0.67811342592592594</v>
      </c>
      <c r="B82" s="218">
        <v>20.3</v>
      </c>
      <c r="C82" s="218" t="s">
        <v>314</v>
      </c>
      <c r="D82" s="218">
        <v>10.199999999999999</v>
      </c>
      <c r="E82" s="218" t="s">
        <v>315</v>
      </c>
      <c r="F82" s="218">
        <v>22.7</v>
      </c>
      <c r="G82" s="218" t="s">
        <v>316</v>
      </c>
      <c r="H82" s="218">
        <v>25</v>
      </c>
      <c r="I82" s="218">
        <f t="shared" si="1"/>
        <v>20.3</v>
      </c>
      <c r="J82" s="218">
        <f t="shared" si="2"/>
        <v>4.926108374384236E-2</v>
      </c>
      <c r="K82" s="218">
        <f t="shared" si="3"/>
        <v>0</v>
      </c>
      <c r="L82" s="218">
        <f t="shared" si="4"/>
        <v>0</v>
      </c>
      <c r="M82" s="218" t="s">
        <v>323</v>
      </c>
      <c r="P82" s="218">
        <v>77</v>
      </c>
      <c r="Q82" s="218">
        <v>20.499999999999996</v>
      </c>
      <c r="R82" s="218">
        <v>59</v>
      </c>
      <c r="S82" s="218">
        <v>6</v>
      </c>
      <c r="T82" s="218">
        <v>28.5</v>
      </c>
      <c r="U82" s="273">
        <v>3.5087719298245612E-2</v>
      </c>
      <c r="V82" s="218">
        <v>3.4925087922587465E-2</v>
      </c>
      <c r="W82" s="250">
        <v>5.9658699815341753E-4</v>
      </c>
      <c r="X82" s="250">
        <v>6.2913907284768214E-2</v>
      </c>
      <c r="Z82" s="218">
        <v>74</v>
      </c>
      <c r="AA82" s="435">
        <v>5.7395143487858721E-2</v>
      </c>
      <c r="AB82" s="435">
        <v>0.66927083333333293</v>
      </c>
      <c r="AC82" s="435">
        <v>0.65151515151515194</v>
      </c>
      <c r="AD82" s="435">
        <v>0.88095238095238071</v>
      </c>
      <c r="AE82" s="435">
        <v>0.87763713080168848</v>
      </c>
      <c r="AG82" s="218">
        <v>74</v>
      </c>
      <c r="AH82" s="218">
        <v>0.9430894308943103</v>
      </c>
      <c r="AI82" s="218">
        <v>1.0041152263374493</v>
      </c>
      <c r="AJ82" s="218">
        <v>1.0243902439024393</v>
      </c>
      <c r="AK82" s="218">
        <v>0.98449612403100806</v>
      </c>
      <c r="AL82" s="218">
        <v>1.047619047619047</v>
      </c>
      <c r="AM82" s="218">
        <v>74</v>
      </c>
      <c r="AN82" s="218">
        <v>0.94573643410852837</v>
      </c>
      <c r="AO82" s="218">
        <v>0.98373983739837434</v>
      </c>
      <c r="AP82" s="218">
        <v>1.0083333333333362</v>
      </c>
      <c r="AQ82" s="218">
        <v>0.96341463414634421</v>
      </c>
      <c r="AR82" s="218">
        <v>0.97435897435897501</v>
      </c>
      <c r="AS82" s="218">
        <v>74</v>
      </c>
      <c r="AT82" s="218">
        <v>0.61788617886178976</v>
      </c>
      <c r="AU82" s="218">
        <v>0.93495934959349303</v>
      </c>
      <c r="AV82" s="218">
        <v>1.0333333333333357</v>
      </c>
      <c r="AW82" s="218">
        <v>0.95833333333332993</v>
      </c>
      <c r="AX82" s="218">
        <v>1.0354700854700933</v>
      </c>
    </row>
    <row r="83" spans="1:50">
      <c r="A83" s="429">
        <v>0.67812499999999998</v>
      </c>
      <c r="B83" s="218">
        <v>20.3</v>
      </c>
      <c r="C83" s="218" t="s">
        <v>314</v>
      </c>
      <c r="D83" s="218">
        <v>10.199999999999999</v>
      </c>
      <c r="E83" s="218" t="s">
        <v>315</v>
      </c>
      <c r="F83" s="218">
        <v>22.7</v>
      </c>
      <c r="G83" s="218" t="s">
        <v>316</v>
      </c>
      <c r="H83" s="218">
        <v>26</v>
      </c>
      <c r="I83" s="218">
        <f t="shared" si="1"/>
        <v>20.3</v>
      </c>
      <c r="J83" s="218">
        <f t="shared" si="2"/>
        <v>4.926108374384236E-2</v>
      </c>
      <c r="K83" s="218">
        <f t="shared" si="3"/>
        <v>0</v>
      </c>
      <c r="L83" s="218">
        <f t="shared" si="4"/>
        <v>0</v>
      </c>
      <c r="M83" s="218" t="s">
        <v>323</v>
      </c>
      <c r="P83" s="218">
        <v>78</v>
      </c>
      <c r="Q83" s="218">
        <v>24.900000000000002</v>
      </c>
      <c r="R83" s="218">
        <v>62</v>
      </c>
      <c r="S83" s="218">
        <v>6</v>
      </c>
      <c r="T83" s="218">
        <v>30.966666666666669</v>
      </c>
      <c r="U83" s="273">
        <v>3.2292787944025833E-2</v>
      </c>
      <c r="V83" s="218">
        <v>3.3690253621135723E-2</v>
      </c>
      <c r="W83" s="250">
        <v>5.7549367719305646E-4</v>
      </c>
      <c r="X83" s="250">
        <v>6.8359087564385579E-2</v>
      </c>
      <c r="Z83" s="218">
        <v>75</v>
      </c>
      <c r="AA83" s="435">
        <v>6.2545989698307575E-2</v>
      </c>
      <c r="AB83" s="435">
        <v>0.67795138888888873</v>
      </c>
      <c r="AC83" s="435">
        <v>0.66666666666666663</v>
      </c>
      <c r="AD83" s="435">
        <v>0.88095238095238071</v>
      </c>
      <c r="AE83" s="435">
        <v>0.90295358649789137</v>
      </c>
      <c r="AG83" s="218">
        <v>75</v>
      </c>
      <c r="AH83" s="218">
        <v>0.9430894308943103</v>
      </c>
      <c r="AI83" s="218">
        <v>0.99588477366255235</v>
      </c>
      <c r="AJ83" s="218">
        <v>1.0325203252032529</v>
      </c>
      <c r="AK83" s="218">
        <v>0.98449612403100806</v>
      </c>
      <c r="AL83" s="218">
        <v>1.047619047619047</v>
      </c>
      <c r="AM83" s="218">
        <v>75</v>
      </c>
      <c r="AN83" s="218">
        <v>0.95348837209302417</v>
      </c>
      <c r="AO83" s="218">
        <v>1</v>
      </c>
      <c r="AP83" s="218">
        <v>1.0000000000000029</v>
      </c>
      <c r="AQ83" s="218">
        <v>0.96341463414634421</v>
      </c>
      <c r="AR83" s="218">
        <v>1</v>
      </c>
      <c r="AS83" s="218">
        <v>75</v>
      </c>
      <c r="AT83" s="218">
        <v>0.62601626016260103</v>
      </c>
      <c r="AU83" s="218">
        <v>0.94308943089430597</v>
      </c>
      <c r="AV83" s="218">
        <v>1.0333333333333357</v>
      </c>
      <c r="AW83" s="218">
        <v>0.97499999999999321</v>
      </c>
      <c r="AX83" s="218">
        <v>1.0354700854700933</v>
      </c>
    </row>
    <row r="84" spans="1:50">
      <c r="A84" s="429">
        <v>0.67813657407407402</v>
      </c>
      <c r="B84" s="218">
        <v>20.3</v>
      </c>
      <c r="C84" s="218" t="s">
        <v>314</v>
      </c>
      <c r="D84" s="218">
        <v>10.199999999999999</v>
      </c>
      <c r="E84" s="218" t="s">
        <v>315</v>
      </c>
      <c r="F84" s="218">
        <v>22.7</v>
      </c>
      <c r="G84" s="218" t="s">
        <v>316</v>
      </c>
      <c r="H84" s="218">
        <v>27</v>
      </c>
      <c r="I84" s="218">
        <f t="shared" si="1"/>
        <v>20.3</v>
      </c>
      <c r="J84" s="218">
        <f t="shared" si="2"/>
        <v>4.926108374384236E-2</v>
      </c>
      <c r="K84" s="218">
        <f t="shared" si="3"/>
        <v>0</v>
      </c>
      <c r="L84" s="218">
        <f t="shared" si="4"/>
        <v>0</v>
      </c>
      <c r="M84" s="218" t="s">
        <v>323</v>
      </c>
      <c r="P84" s="218">
        <v>79</v>
      </c>
      <c r="Q84" s="218">
        <v>24.599999999999998</v>
      </c>
      <c r="R84" s="218">
        <v>64</v>
      </c>
      <c r="S84" s="218">
        <v>6</v>
      </c>
      <c r="T84" s="218">
        <v>31.533333333333331</v>
      </c>
      <c r="U84" s="273">
        <v>3.1712473572938694E-2</v>
      </c>
      <c r="V84" s="218">
        <v>3.2002630758482267E-2</v>
      </c>
      <c r="W84" s="250">
        <v>5.4666586551002975E-4</v>
      </c>
      <c r="X84" s="250">
        <v>6.9610007358351725E-2</v>
      </c>
      <c r="Z84" s="218">
        <v>76</v>
      </c>
      <c r="AA84" s="435">
        <v>6.3502575423105223E-2</v>
      </c>
      <c r="AB84" s="435">
        <v>0.68142361111111083</v>
      </c>
      <c r="AC84" s="435">
        <v>0.66666666666666663</v>
      </c>
      <c r="AD84" s="435">
        <v>0.8888888888888884</v>
      </c>
      <c r="AE84" s="435">
        <v>0.89451476793248985</v>
      </c>
      <c r="AG84" s="218">
        <v>76</v>
      </c>
      <c r="AH84" s="218">
        <v>0.9430894308943103</v>
      </c>
      <c r="AI84" s="218">
        <v>1.0041152263374493</v>
      </c>
      <c r="AJ84" s="218">
        <v>1.0243902439024393</v>
      </c>
      <c r="AK84" s="218">
        <v>0.99224806201550408</v>
      </c>
      <c r="AL84" s="218">
        <v>1.047619047619047</v>
      </c>
      <c r="AM84" s="218">
        <v>76</v>
      </c>
      <c r="AN84" s="218">
        <v>0.96124031007752009</v>
      </c>
      <c r="AO84" s="218">
        <v>0.99186991869918728</v>
      </c>
      <c r="AP84" s="218">
        <v>1.0000000000000029</v>
      </c>
      <c r="AQ84" s="218">
        <v>0.97560975609756362</v>
      </c>
      <c r="AR84" s="218">
        <v>0.97435897435897501</v>
      </c>
      <c r="AS84" s="218">
        <v>76</v>
      </c>
      <c r="AT84" s="218">
        <v>0.63414634146341542</v>
      </c>
      <c r="AU84" s="218">
        <v>0.9512195121951188</v>
      </c>
      <c r="AV84" s="218">
        <v>1.0333333333333357</v>
      </c>
      <c r="AW84" s="218">
        <v>0.96666666666666168</v>
      </c>
      <c r="AX84" s="218">
        <v>1.0525641025641101</v>
      </c>
    </row>
    <row r="85" spans="1:50">
      <c r="A85" s="429">
        <v>0.67814814814814817</v>
      </c>
      <c r="B85" s="218">
        <v>20.399999999999999</v>
      </c>
      <c r="C85" s="218" t="s">
        <v>314</v>
      </c>
      <c r="D85" s="218">
        <v>10.199999999999999</v>
      </c>
      <c r="E85" s="218" t="s">
        <v>315</v>
      </c>
      <c r="F85" s="218">
        <v>22.7</v>
      </c>
      <c r="G85" s="218" t="s">
        <v>316</v>
      </c>
      <c r="H85" s="218">
        <v>28</v>
      </c>
      <c r="I85" s="218">
        <f t="shared" si="1"/>
        <v>20.3</v>
      </c>
      <c r="J85" s="218">
        <f t="shared" si="2"/>
        <v>4.926108374384236E-2</v>
      </c>
      <c r="K85" s="218">
        <f t="shared" si="3"/>
        <v>0</v>
      </c>
      <c r="L85" s="218">
        <f t="shared" si="4"/>
        <v>0</v>
      </c>
      <c r="M85" s="218" t="s">
        <v>323</v>
      </c>
      <c r="P85" s="218">
        <v>80</v>
      </c>
      <c r="Q85" s="218">
        <v>24.3</v>
      </c>
      <c r="R85" s="218">
        <v>67</v>
      </c>
      <c r="S85" s="218">
        <v>6</v>
      </c>
      <c r="T85" s="218">
        <v>32.43333333333333</v>
      </c>
      <c r="U85" s="273">
        <v>3.0832476875642348E-2</v>
      </c>
      <c r="V85" s="218">
        <v>3.1272475224290525E-2</v>
      </c>
      <c r="W85" s="250">
        <v>5.3419341878937771E-4</v>
      </c>
      <c r="X85" s="250">
        <v>7.1596762325239136E-2</v>
      </c>
      <c r="Z85" s="218">
        <v>77</v>
      </c>
      <c r="AA85" s="435">
        <v>6.2913907284768214E-2</v>
      </c>
      <c r="AB85" s="435">
        <v>0.69270833333333337</v>
      </c>
      <c r="AC85" s="435">
        <v>0.68181818181818155</v>
      </c>
      <c r="AD85" s="435">
        <v>0.8888888888888884</v>
      </c>
      <c r="AE85" s="435">
        <v>0.91139240506329278</v>
      </c>
      <c r="AG85" s="218">
        <v>77</v>
      </c>
      <c r="AH85" s="218">
        <v>0.95121951219512313</v>
      </c>
      <c r="AI85" s="218">
        <v>1.0041152263374478</v>
      </c>
      <c r="AJ85" s="218">
        <v>1.0243902439024393</v>
      </c>
      <c r="AK85" s="218">
        <v>0.98449612403100806</v>
      </c>
      <c r="AL85" s="218">
        <v>1.047619047619047</v>
      </c>
      <c r="AM85" s="218">
        <v>77</v>
      </c>
      <c r="AN85" s="218">
        <v>0.95348837209302417</v>
      </c>
      <c r="AO85" s="218">
        <v>0.99186991869918728</v>
      </c>
      <c r="AP85" s="218">
        <v>1.0083333333333362</v>
      </c>
      <c r="AQ85" s="218">
        <v>0.97560975609756362</v>
      </c>
      <c r="AR85" s="218">
        <v>1</v>
      </c>
      <c r="AS85" s="218">
        <v>77</v>
      </c>
      <c r="AT85" s="218">
        <v>0.64227642276422958</v>
      </c>
      <c r="AU85" s="218">
        <v>0.9512195121951188</v>
      </c>
      <c r="AV85" s="218">
        <v>1.025000000000001</v>
      </c>
      <c r="AW85" s="218">
        <v>0.95833333333332993</v>
      </c>
      <c r="AX85" s="218">
        <v>1.0440170940171001</v>
      </c>
    </row>
    <row r="86" spans="1:50">
      <c r="A86" s="429">
        <v>0.67815972222222232</v>
      </c>
      <c r="B86" s="218">
        <v>20.399999999999999</v>
      </c>
      <c r="C86" s="218" t="s">
        <v>314</v>
      </c>
      <c r="D86" s="218">
        <v>10.199999999999999</v>
      </c>
      <c r="E86" s="218" t="s">
        <v>315</v>
      </c>
      <c r="F86" s="218">
        <v>22.7</v>
      </c>
      <c r="G86" s="218" t="s">
        <v>316</v>
      </c>
      <c r="H86" s="218">
        <v>29</v>
      </c>
      <c r="I86" s="218">
        <f t="shared" si="1"/>
        <v>20.399999999999999</v>
      </c>
      <c r="J86" s="218">
        <f t="shared" si="2"/>
        <v>4.9019607843137261E-2</v>
      </c>
      <c r="K86" s="218">
        <f t="shared" si="3"/>
        <v>2.4147590070509872E-4</v>
      </c>
      <c r="L86" s="218">
        <f t="shared" si="4"/>
        <v>9.9999999999997868E-2</v>
      </c>
      <c r="M86" s="218" t="s">
        <v>323</v>
      </c>
      <c r="P86" s="218">
        <v>81</v>
      </c>
      <c r="Q86" s="218">
        <v>24.3</v>
      </c>
      <c r="R86" s="218">
        <v>68</v>
      </c>
      <c r="S86" s="218">
        <v>5</v>
      </c>
      <c r="T86" s="218">
        <v>32.43333333333333</v>
      </c>
      <c r="U86" s="273">
        <v>3.0832476875642348E-2</v>
      </c>
      <c r="V86" s="218">
        <v>3.0832476875642348E-2</v>
      </c>
      <c r="W86" s="250">
        <v>5.2667740924934993E-4</v>
      </c>
      <c r="X86" s="250">
        <v>7.1596762325239136E-2</v>
      </c>
      <c r="Z86" s="218">
        <v>78</v>
      </c>
      <c r="AA86" s="435">
        <v>6.8359087564385579E-2</v>
      </c>
      <c r="AB86" s="435">
        <v>0.69531249999999956</v>
      </c>
      <c r="AC86" s="435">
        <v>0.68939393939393934</v>
      </c>
      <c r="AD86" s="435">
        <v>0.90476190476190399</v>
      </c>
      <c r="AE86" s="435">
        <v>0.91983122362869341</v>
      </c>
      <c r="AG86" s="218">
        <v>78</v>
      </c>
      <c r="AH86" s="218">
        <v>0.95121951219512313</v>
      </c>
      <c r="AI86" s="218">
        <v>1.0041152263374493</v>
      </c>
      <c r="AJ86" s="218">
        <v>1.0243902439024393</v>
      </c>
      <c r="AK86" s="218">
        <v>0.97674418604651214</v>
      </c>
      <c r="AL86" s="218">
        <v>1.047619047619047</v>
      </c>
      <c r="AM86" s="218">
        <v>78</v>
      </c>
      <c r="AN86" s="218">
        <v>0.96124031007752009</v>
      </c>
      <c r="AO86" s="218">
        <v>0.99186991869918728</v>
      </c>
      <c r="AP86" s="218">
        <v>1.0083333333333362</v>
      </c>
      <c r="AQ86" s="218">
        <v>0.97560975609756362</v>
      </c>
      <c r="AR86" s="218">
        <v>0.97435897435897501</v>
      </c>
      <c r="AS86" s="218">
        <v>78</v>
      </c>
      <c r="AT86" s="218">
        <v>0.65853658536585524</v>
      </c>
      <c r="AU86" s="218">
        <v>0.9512195121951188</v>
      </c>
      <c r="AV86" s="218">
        <v>1.0333333333333357</v>
      </c>
      <c r="AW86" s="218">
        <v>0.97499999999999321</v>
      </c>
      <c r="AX86" s="218">
        <v>1.0440170940171032</v>
      </c>
    </row>
    <row r="87" spans="1:50">
      <c r="A87" s="429">
        <v>0.67817129629629624</v>
      </c>
      <c r="B87" s="218">
        <v>20.399999999999999</v>
      </c>
      <c r="C87" s="218" t="s">
        <v>314</v>
      </c>
      <c r="D87" s="218">
        <v>10.199999999999999</v>
      </c>
      <c r="E87" s="218" t="s">
        <v>315</v>
      </c>
      <c r="F87" s="218">
        <v>22.7</v>
      </c>
      <c r="G87" s="218" t="s">
        <v>316</v>
      </c>
      <c r="H87" s="218">
        <v>30</v>
      </c>
      <c r="I87" s="218">
        <f t="shared" si="1"/>
        <v>20.399999999999999</v>
      </c>
      <c r="J87" s="218">
        <f t="shared" si="2"/>
        <v>4.9019607843137261E-2</v>
      </c>
      <c r="K87" s="218">
        <f t="shared" si="3"/>
        <v>2.4147590070509872E-4</v>
      </c>
      <c r="L87" s="218">
        <f t="shared" si="4"/>
        <v>9.9999999999997868E-2</v>
      </c>
      <c r="M87" s="218" t="s">
        <v>323</v>
      </c>
      <c r="P87" s="218">
        <v>82</v>
      </c>
      <c r="Q87" s="218">
        <v>28.900000000000002</v>
      </c>
      <c r="R87" s="218">
        <v>70</v>
      </c>
      <c r="S87" s="218">
        <v>5</v>
      </c>
      <c r="T87" s="218">
        <v>34.633333333333333</v>
      </c>
      <c r="U87" s="273">
        <v>2.8873917228103948E-2</v>
      </c>
      <c r="V87" s="218">
        <v>2.985319705187315E-2</v>
      </c>
      <c r="W87" s="250">
        <v>5.0994944533671422E-4</v>
      </c>
      <c r="X87" s="250">
        <v>7.6453274466519505E-2</v>
      </c>
      <c r="Z87" s="218">
        <v>79</v>
      </c>
      <c r="AA87" s="435">
        <v>6.9610007358351725E-2</v>
      </c>
      <c r="AB87" s="435">
        <v>0.70746527777777757</v>
      </c>
      <c r="AC87" s="435">
        <v>0.68939393939393934</v>
      </c>
      <c r="AD87" s="435">
        <v>0.90476190476190399</v>
      </c>
      <c r="AE87" s="435">
        <v>0.911392405063292</v>
      </c>
      <c r="AG87" s="218">
        <v>79</v>
      </c>
      <c r="AH87" s="218">
        <v>0.95121951219512313</v>
      </c>
      <c r="AI87" s="218">
        <v>0.99588477366255235</v>
      </c>
      <c r="AJ87" s="218">
        <v>1.0162601626016265</v>
      </c>
      <c r="AK87" s="218">
        <v>0.98449612403100806</v>
      </c>
      <c r="AL87" s="218">
        <v>1.047619047619047</v>
      </c>
      <c r="AM87" s="218">
        <v>79</v>
      </c>
      <c r="AN87" s="218">
        <v>0.95348837209302417</v>
      </c>
      <c r="AO87" s="218">
        <v>1.0081300813008127</v>
      </c>
      <c r="AP87" s="218">
        <v>1.0000000000000029</v>
      </c>
      <c r="AQ87" s="218">
        <v>0.96341463414634421</v>
      </c>
      <c r="AR87" s="218">
        <v>1</v>
      </c>
      <c r="AS87" s="218">
        <v>79</v>
      </c>
      <c r="AT87" s="218">
        <v>0.66666666666666674</v>
      </c>
      <c r="AU87" s="218">
        <v>0.9512195121951188</v>
      </c>
      <c r="AV87" s="218">
        <v>1.0333333333333357</v>
      </c>
      <c r="AW87" s="218">
        <v>0.96666666666666168</v>
      </c>
      <c r="AX87" s="218">
        <v>1.0440170940171032</v>
      </c>
    </row>
    <row r="88" spans="1:50">
      <c r="A88" s="429">
        <v>0.67818287037037039</v>
      </c>
      <c r="B88" s="218">
        <v>20.399999999999999</v>
      </c>
      <c r="C88" s="218" t="s">
        <v>314</v>
      </c>
      <c r="D88" s="218">
        <v>10.199999999999999</v>
      </c>
      <c r="E88" s="218" t="s">
        <v>315</v>
      </c>
      <c r="F88" s="218">
        <v>22.7</v>
      </c>
      <c r="G88" s="218" t="s">
        <v>316</v>
      </c>
      <c r="H88" s="218">
        <v>31</v>
      </c>
      <c r="I88" s="218">
        <f t="shared" si="1"/>
        <v>20.399999999999999</v>
      </c>
      <c r="J88" s="218">
        <f t="shared" si="2"/>
        <v>4.9019607843137261E-2</v>
      </c>
      <c r="K88" s="218">
        <f t="shared" si="3"/>
        <v>2.4147590070509872E-4</v>
      </c>
      <c r="L88" s="218">
        <f t="shared" si="4"/>
        <v>9.9999999999997868E-2</v>
      </c>
      <c r="M88" s="218" t="s">
        <v>323</v>
      </c>
      <c r="P88" s="218">
        <v>83</v>
      </c>
      <c r="Q88" s="218">
        <v>29.499999999999996</v>
      </c>
      <c r="R88" s="218">
        <v>72</v>
      </c>
      <c r="S88" s="218">
        <v>8</v>
      </c>
      <c r="T88" s="218">
        <v>36.5</v>
      </c>
      <c r="U88" s="273">
        <v>2.7397260273972601E-2</v>
      </c>
      <c r="V88" s="218">
        <v>2.8135588751038276E-2</v>
      </c>
      <c r="W88" s="250">
        <v>4.8060942527807459E-4</v>
      </c>
      <c r="X88" s="250">
        <v>8.0573951434878582E-2</v>
      </c>
      <c r="Z88" s="218">
        <v>80</v>
      </c>
      <c r="AA88" s="435">
        <v>7.1596762325239136E-2</v>
      </c>
      <c r="AB88" s="435">
        <v>0.70833333333333315</v>
      </c>
      <c r="AC88" s="435">
        <v>0.70454545454545436</v>
      </c>
      <c r="AD88" s="435">
        <v>0.90476190476190399</v>
      </c>
      <c r="AE88" s="435">
        <v>0.91983122362869341</v>
      </c>
      <c r="AG88" s="218">
        <v>80</v>
      </c>
      <c r="AH88" s="218">
        <v>0.95934959349593585</v>
      </c>
      <c r="AI88" s="218">
        <v>1.0041152263374493</v>
      </c>
      <c r="AJ88" s="218">
        <v>1.0162601626016259</v>
      </c>
      <c r="AK88" s="218">
        <v>0.98449612403100806</v>
      </c>
      <c r="AL88" s="218">
        <v>1.047619047619047</v>
      </c>
      <c r="AM88" s="218">
        <v>80</v>
      </c>
      <c r="AN88" s="218">
        <v>0.96124031007752009</v>
      </c>
      <c r="AO88" s="218">
        <v>1.0081300813008127</v>
      </c>
      <c r="AP88" s="218">
        <v>1.0083333333333362</v>
      </c>
      <c r="AQ88" s="218">
        <v>0.96341463414634421</v>
      </c>
      <c r="AR88" s="218">
        <v>1</v>
      </c>
      <c r="AS88" s="218">
        <v>80</v>
      </c>
      <c r="AT88" s="218">
        <v>0.66666666666666674</v>
      </c>
      <c r="AU88" s="218">
        <v>0.95934959349593296</v>
      </c>
      <c r="AV88" s="218">
        <v>1.0333333333333357</v>
      </c>
      <c r="AW88" s="218">
        <v>0.95833333333332993</v>
      </c>
      <c r="AX88" s="218">
        <v>1.0354700854700933</v>
      </c>
    </row>
    <row r="89" spans="1:50">
      <c r="A89" s="429">
        <v>0.67819444444444443</v>
      </c>
      <c r="B89" s="218">
        <v>20.399999999999999</v>
      </c>
      <c r="C89" s="218" t="s">
        <v>314</v>
      </c>
      <c r="D89" s="218">
        <v>10.199999999999999</v>
      </c>
      <c r="E89" s="218" t="s">
        <v>315</v>
      </c>
      <c r="F89" s="218">
        <v>22.7</v>
      </c>
      <c r="G89" s="218" t="s">
        <v>316</v>
      </c>
      <c r="H89" s="218">
        <v>32</v>
      </c>
      <c r="I89" s="218">
        <f t="shared" si="1"/>
        <v>20.399999999999999</v>
      </c>
      <c r="J89" s="218">
        <f t="shared" si="2"/>
        <v>4.9019607843137261E-2</v>
      </c>
      <c r="K89" s="218">
        <f t="shared" si="3"/>
        <v>2.4147590070509872E-4</v>
      </c>
      <c r="L89" s="218">
        <f t="shared" si="4"/>
        <v>9.9999999999997868E-2</v>
      </c>
      <c r="M89" s="218" t="s">
        <v>323</v>
      </c>
      <c r="P89" s="218">
        <v>84</v>
      </c>
      <c r="Q89" s="218">
        <v>30.400000000000002</v>
      </c>
      <c r="R89" s="218">
        <v>74</v>
      </c>
      <c r="S89" s="218">
        <v>8</v>
      </c>
      <c r="T89" s="218">
        <v>37.466666666666669</v>
      </c>
      <c r="U89" s="273">
        <v>2.669039145907473E-2</v>
      </c>
      <c r="V89" s="218">
        <v>2.7043825866523666E-2</v>
      </c>
      <c r="W89" s="250">
        <v>4.619600365231605E-4</v>
      </c>
      <c r="X89" s="250">
        <v>8.2707873436350263E-2</v>
      </c>
      <c r="Z89" s="218">
        <v>81</v>
      </c>
      <c r="AA89" s="435">
        <v>7.1596762325239136E-2</v>
      </c>
      <c r="AB89" s="435">
        <v>0.72135416666666663</v>
      </c>
      <c r="AC89" s="435">
        <v>0.71212121212121193</v>
      </c>
      <c r="AD89" s="435">
        <v>0.92063492063492092</v>
      </c>
      <c r="AE89" s="435">
        <v>0.91139240506329278</v>
      </c>
      <c r="AG89" s="218">
        <v>81</v>
      </c>
      <c r="AH89" s="218">
        <v>0.95934959349593585</v>
      </c>
      <c r="AI89" s="218">
        <v>0.99588477366255079</v>
      </c>
      <c r="AJ89" s="218">
        <v>1.0243902439024393</v>
      </c>
      <c r="AK89" s="218">
        <v>0.98449612403100806</v>
      </c>
      <c r="AL89" s="218">
        <v>1.0595238095238086</v>
      </c>
      <c r="AM89" s="218">
        <v>81</v>
      </c>
      <c r="AN89" s="218">
        <v>0.96124031007752009</v>
      </c>
      <c r="AO89" s="218">
        <v>1</v>
      </c>
      <c r="AP89" s="218">
        <v>1.0083333333333362</v>
      </c>
      <c r="AQ89" s="218">
        <v>0.96341463414634421</v>
      </c>
      <c r="AR89" s="218">
        <v>1</v>
      </c>
      <c r="AS89" s="218">
        <v>81</v>
      </c>
      <c r="AT89" s="218">
        <v>0.67479674796747813</v>
      </c>
      <c r="AU89" s="218">
        <v>0.95934959349593296</v>
      </c>
      <c r="AV89" s="218">
        <v>1.0333333333333357</v>
      </c>
      <c r="AW89" s="218">
        <v>0.95833333333332993</v>
      </c>
      <c r="AX89" s="218">
        <v>0.95854700854701602</v>
      </c>
    </row>
    <row r="90" spans="1:50">
      <c r="A90" s="429">
        <v>0.67820601851851858</v>
      </c>
      <c r="B90" s="218">
        <v>20.3</v>
      </c>
      <c r="C90" s="218" t="s">
        <v>314</v>
      </c>
      <c r="D90" s="218">
        <v>10.199999999999999</v>
      </c>
      <c r="E90" s="218" t="s">
        <v>315</v>
      </c>
      <c r="F90" s="218">
        <v>22.7</v>
      </c>
      <c r="G90" s="218" t="s">
        <v>316</v>
      </c>
      <c r="H90" s="218">
        <v>33</v>
      </c>
      <c r="I90" s="218">
        <f t="shared" si="1"/>
        <v>20.399999999999999</v>
      </c>
      <c r="J90" s="218">
        <f t="shared" si="2"/>
        <v>4.9019607843137261E-2</v>
      </c>
      <c r="K90" s="218">
        <f t="shared" si="3"/>
        <v>2.4147590070509872E-4</v>
      </c>
      <c r="L90" s="218">
        <f t="shared" si="4"/>
        <v>9.9999999999997868E-2</v>
      </c>
      <c r="M90" s="218" t="s">
        <v>323</v>
      </c>
      <c r="P90" s="218">
        <v>85</v>
      </c>
      <c r="Q90" s="218">
        <v>34.5</v>
      </c>
      <c r="R90" s="218">
        <v>75</v>
      </c>
      <c r="S90" s="218">
        <v>9</v>
      </c>
      <c r="T90" s="218">
        <v>39.5</v>
      </c>
      <c r="U90" s="273">
        <v>2.5316455696202531E-2</v>
      </c>
      <c r="V90" s="218">
        <v>2.6003423577638629E-2</v>
      </c>
      <c r="W90" s="250">
        <v>4.4418798453080337E-4</v>
      </c>
      <c r="X90" s="250">
        <v>8.7196467991169979E-2</v>
      </c>
      <c r="Z90" s="218">
        <v>82</v>
      </c>
      <c r="AA90" s="435">
        <v>7.6453274466519505E-2</v>
      </c>
      <c r="AB90" s="435">
        <v>0.73263888888888884</v>
      </c>
      <c r="AC90" s="435">
        <v>0.71212121212121193</v>
      </c>
      <c r="AD90" s="435">
        <v>0.92063492063492092</v>
      </c>
      <c r="AE90" s="435">
        <v>0.92827004219409404</v>
      </c>
      <c r="AG90" s="218">
        <v>82</v>
      </c>
      <c r="AH90" s="218">
        <v>0.95934959349593585</v>
      </c>
      <c r="AI90" s="218">
        <v>1.0123456790123462</v>
      </c>
      <c r="AJ90" s="218">
        <v>1.0243902439024393</v>
      </c>
      <c r="AK90" s="218">
        <v>0.96899224806201545</v>
      </c>
      <c r="AL90" s="218">
        <v>1.047619047619047</v>
      </c>
      <c r="AM90" s="218">
        <v>82</v>
      </c>
      <c r="AN90" s="218">
        <v>0.96124031007752009</v>
      </c>
      <c r="AO90" s="218">
        <v>0.98373983739837434</v>
      </c>
      <c r="AP90" s="218">
        <v>1.0083333333333362</v>
      </c>
      <c r="AQ90" s="218">
        <v>0.96341463414634421</v>
      </c>
      <c r="AR90" s="218">
        <v>1</v>
      </c>
      <c r="AS90" s="218">
        <v>82</v>
      </c>
      <c r="AT90" s="218">
        <v>0.6829268292682924</v>
      </c>
      <c r="AU90" s="218">
        <v>0.95934959349593296</v>
      </c>
      <c r="AV90" s="218">
        <v>1.025000000000001</v>
      </c>
      <c r="AW90" s="218">
        <v>0.97499999999999321</v>
      </c>
      <c r="AX90" s="218">
        <v>1.0440170940171032</v>
      </c>
    </row>
    <row r="91" spans="1:50">
      <c r="A91" s="429">
        <v>0.67821759259259251</v>
      </c>
      <c r="B91" s="218">
        <v>20.399999999999999</v>
      </c>
      <c r="C91" s="218" t="s">
        <v>314</v>
      </c>
      <c r="D91" s="218">
        <v>10.199999999999999</v>
      </c>
      <c r="E91" s="218" t="s">
        <v>315</v>
      </c>
      <c r="F91" s="218">
        <v>22.7</v>
      </c>
      <c r="G91" s="218" t="s">
        <v>316</v>
      </c>
      <c r="H91" s="218">
        <v>34</v>
      </c>
      <c r="I91" s="218">
        <f t="shared" si="1"/>
        <v>20.3</v>
      </c>
      <c r="J91" s="218">
        <f t="shared" si="2"/>
        <v>4.926108374384236E-2</v>
      </c>
      <c r="K91" s="218">
        <f t="shared" si="3"/>
        <v>0</v>
      </c>
      <c r="L91" s="218">
        <f t="shared" si="4"/>
        <v>0</v>
      </c>
      <c r="M91" s="218" t="s">
        <v>323</v>
      </c>
      <c r="P91" s="218">
        <v>86</v>
      </c>
      <c r="Q91" s="218">
        <v>29.999999999999996</v>
      </c>
      <c r="R91" s="218">
        <v>76</v>
      </c>
      <c r="S91" s="218">
        <v>9</v>
      </c>
      <c r="T91" s="218">
        <v>38.333333333333336</v>
      </c>
      <c r="U91" s="273">
        <v>2.6086956521739129E-2</v>
      </c>
      <c r="V91" s="218">
        <v>2.570170610897083E-2</v>
      </c>
      <c r="W91" s="250">
        <v>4.3903407570394668E-4</v>
      </c>
      <c r="X91" s="250">
        <v>8.4621044885945559E-2</v>
      </c>
      <c r="Z91" s="218">
        <v>83</v>
      </c>
      <c r="AA91" s="435">
        <v>8.0573951434878582E-2</v>
      </c>
      <c r="AB91" s="435">
        <v>0.74305555555555547</v>
      </c>
      <c r="AC91" s="435">
        <v>0.71212121212121193</v>
      </c>
      <c r="AD91" s="435">
        <v>0.92063492063492092</v>
      </c>
      <c r="AE91" s="435">
        <v>0.91983122362869341</v>
      </c>
      <c r="AG91" s="218">
        <v>83</v>
      </c>
      <c r="AH91" s="218">
        <v>0.95934959349593585</v>
      </c>
      <c r="AI91" s="218">
        <v>1.0041152263374493</v>
      </c>
      <c r="AJ91" s="218">
        <v>1.0243902439024393</v>
      </c>
      <c r="AK91" s="218">
        <v>0.99224806201550408</v>
      </c>
      <c r="AL91" s="218">
        <v>1.0595238095238086</v>
      </c>
      <c r="AM91" s="218">
        <v>83</v>
      </c>
      <c r="AN91" s="218">
        <v>0.96124031007752009</v>
      </c>
      <c r="AO91" s="218">
        <v>0.99186991869918728</v>
      </c>
      <c r="AP91" s="218">
        <v>1.0083333333333362</v>
      </c>
      <c r="AQ91" s="218">
        <v>0.97560975609756362</v>
      </c>
      <c r="AR91" s="218">
        <v>1</v>
      </c>
      <c r="AS91" s="218">
        <v>83</v>
      </c>
      <c r="AT91" s="218">
        <v>0.69105691056910667</v>
      </c>
      <c r="AU91" s="218">
        <v>0.95934959349593296</v>
      </c>
      <c r="AV91" s="218">
        <v>1.0416666666666705</v>
      </c>
      <c r="AW91" s="218">
        <v>0.98333333333332784</v>
      </c>
      <c r="AX91" s="218">
        <v>1.0354700854700933</v>
      </c>
    </row>
    <row r="92" spans="1:50">
      <c r="A92" s="429">
        <v>0.67822916666666666</v>
      </c>
      <c r="B92" s="218">
        <v>20.399999999999999</v>
      </c>
      <c r="C92" s="218" t="s">
        <v>314</v>
      </c>
      <c r="D92" s="218">
        <v>10.199999999999999</v>
      </c>
      <c r="E92" s="218" t="s">
        <v>315</v>
      </c>
      <c r="F92" s="218">
        <v>22.7</v>
      </c>
      <c r="G92" s="218" t="s">
        <v>316</v>
      </c>
      <c r="H92" s="218">
        <v>35</v>
      </c>
      <c r="I92" s="218">
        <f t="shared" si="1"/>
        <v>20.399999999999999</v>
      </c>
      <c r="J92" s="218">
        <f t="shared" si="2"/>
        <v>4.9019607843137261E-2</v>
      </c>
      <c r="K92" s="218">
        <f t="shared" si="3"/>
        <v>2.4147590070509872E-4</v>
      </c>
      <c r="L92" s="218">
        <f t="shared" si="4"/>
        <v>9.9999999999997868E-2</v>
      </c>
      <c r="M92" s="218" t="s">
        <v>323</v>
      </c>
      <c r="P92" s="218">
        <v>87</v>
      </c>
      <c r="Q92" s="218">
        <v>30.400000000000002</v>
      </c>
      <c r="R92" s="218">
        <v>78</v>
      </c>
      <c r="S92" s="218">
        <v>12</v>
      </c>
      <c r="T92" s="218">
        <v>40.133333333333333</v>
      </c>
      <c r="U92" s="273">
        <v>2.4916943521594685E-2</v>
      </c>
      <c r="V92" s="218">
        <v>2.5501950021666907E-2</v>
      </c>
      <c r="W92" s="250">
        <v>4.3562186140253483E-4</v>
      </c>
      <c r="X92" s="250">
        <v>8.8594554819720381E-2</v>
      </c>
      <c r="Z92" s="218">
        <v>84</v>
      </c>
      <c r="AA92" s="435">
        <v>8.2707873436350263E-2</v>
      </c>
      <c r="AB92" s="435">
        <v>0.74479166666666652</v>
      </c>
      <c r="AC92" s="435">
        <v>0.71212121212121193</v>
      </c>
      <c r="AD92" s="435">
        <v>0.9285714285714286</v>
      </c>
      <c r="AE92" s="435">
        <v>0.91983122362869341</v>
      </c>
      <c r="AG92" s="218">
        <v>84</v>
      </c>
      <c r="AH92" s="218">
        <v>0.96747967479674868</v>
      </c>
      <c r="AI92" s="218">
        <v>1.0041152263374493</v>
      </c>
      <c r="AJ92" s="218">
        <v>1.0162601626016265</v>
      </c>
      <c r="AK92" s="218">
        <v>0.98449612403100739</v>
      </c>
      <c r="AL92" s="218">
        <v>1.047619047619047</v>
      </c>
      <c r="AM92" s="218">
        <v>84</v>
      </c>
      <c r="AN92" s="218">
        <v>0.97674418604651214</v>
      </c>
      <c r="AO92" s="218">
        <v>1</v>
      </c>
      <c r="AP92" s="218">
        <v>1.0000000000000029</v>
      </c>
      <c r="AQ92" s="218">
        <v>0.98780487804878292</v>
      </c>
      <c r="AR92" s="218">
        <v>1</v>
      </c>
      <c r="AS92" s="218">
        <v>84</v>
      </c>
      <c r="AT92" s="218">
        <v>0.69918699186992095</v>
      </c>
      <c r="AU92" s="218">
        <v>0.96747967479674735</v>
      </c>
      <c r="AV92" s="218">
        <v>1.0333333333333357</v>
      </c>
      <c r="AW92" s="218">
        <v>0.96666666666666168</v>
      </c>
      <c r="AX92" s="218">
        <v>1.0440170940171032</v>
      </c>
    </row>
    <row r="93" spans="1:50">
      <c r="A93" s="429">
        <v>0.67824074074074081</v>
      </c>
      <c r="B93" s="218">
        <v>20.399999999999999</v>
      </c>
      <c r="C93" s="218" t="s">
        <v>314</v>
      </c>
      <c r="D93" s="218">
        <v>10.199999999999999</v>
      </c>
      <c r="E93" s="218" t="s">
        <v>315</v>
      </c>
      <c r="F93" s="218">
        <v>22.7</v>
      </c>
      <c r="G93" s="218" t="s">
        <v>316</v>
      </c>
      <c r="H93" s="218">
        <v>36</v>
      </c>
      <c r="I93" s="218">
        <f t="shared" si="1"/>
        <v>20.399999999999999</v>
      </c>
      <c r="J93" s="218">
        <f t="shared" si="2"/>
        <v>4.9019607843137261E-2</v>
      </c>
      <c r="K93" s="218">
        <f t="shared" si="3"/>
        <v>2.4147590070509872E-4</v>
      </c>
      <c r="L93" s="218">
        <f t="shared" si="4"/>
        <v>9.9999999999997868E-2</v>
      </c>
      <c r="M93" s="218" t="s">
        <v>323</v>
      </c>
      <c r="P93" s="218">
        <v>88</v>
      </c>
      <c r="Q93" s="218">
        <v>30.999999999999996</v>
      </c>
      <c r="R93" s="218">
        <v>80</v>
      </c>
      <c r="S93" s="218">
        <v>12</v>
      </c>
      <c r="T93" s="218">
        <v>41</v>
      </c>
      <c r="U93" s="273">
        <v>2.4390243902439025E-2</v>
      </c>
      <c r="V93" s="218">
        <v>2.4653593712016857E-2</v>
      </c>
      <c r="W93" s="250">
        <v>4.2113032038593206E-4</v>
      </c>
      <c r="X93" s="250">
        <v>9.0507726269315678E-2</v>
      </c>
      <c r="Z93" s="218">
        <v>85</v>
      </c>
      <c r="AA93" s="435">
        <v>8.7196467991169979E-2</v>
      </c>
      <c r="AB93" s="435">
        <v>0.75434027777777768</v>
      </c>
      <c r="AC93" s="435">
        <v>0.72727272727272763</v>
      </c>
      <c r="AD93" s="435">
        <v>0.92063492063492092</v>
      </c>
      <c r="AE93" s="435">
        <v>0.93670886075949467</v>
      </c>
      <c r="AG93" s="218">
        <v>85</v>
      </c>
      <c r="AH93" s="218">
        <v>0.96747967479674868</v>
      </c>
      <c r="AI93" s="218">
        <v>1.0041152263374493</v>
      </c>
      <c r="AJ93" s="218">
        <v>1.0243902439024393</v>
      </c>
      <c r="AK93" s="218">
        <v>0.99224806201550408</v>
      </c>
      <c r="AL93" s="218">
        <v>1.0595238095238086</v>
      </c>
      <c r="AM93" s="218">
        <v>85</v>
      </c>
      <c r="AN93" s="218">
        <v>0.96899224806201623</v>
      </c>
      <c r="AO93" s="218">
        <v>0.99186991869918728</v>
      </c>
      <c r="AP93" s="218">
        <v>1.0000000000000029</v>
      </c>
      <c r="AQ93" s="218">
        <v>0.97560975609756362</v>
      </c>
      <c r="AS93" s="218">
        <v>85</v>
      </c>
      <c r="AT93" s="218">
        <v>0.71544715447154372</v>
      </c>
      <c r="AU93" s="218">
        <v>0.95934959349593296</v>
      </c>
      <c r="AV93" s="218">
        <v>1.0416666666666705</v>
      </c>
      <c r="AW93" s="218">
        <v>0.97499999999999321</v>
      </c>
      <c r="AX93" s="218">
        <v>0.95854700854701602</v>
      </c>
    </row>
    <row r="94" spans="1:50">
      <c r="A94" s="429">
        <v>0.67825231481481485</v>
      </c>
      <c r="B94" s="218">
        <v>20.399999999999999</v>
      </c>
      <c r="C94" s="218" t="s">
        <v>314</v>
      </c>
      <c r="D94" s="218">
        <v>10.199999999999999</v>
      </c>
      <c r="E94" s="218" t="s">
        <v>315</v>
      </c>
      <c r="F94" s="218">
        <v>22.7</v>
      </c>
      <c r="G94" s="218" t="s">
        <v>316</v>
      </c>
      <c r="H94" s="218">
        <v>37</v>
      </c>
      <c r="I94" s="218">
        <f t="shared" si="1"/>
        <v>20.399999999999999</v>
      </c>
      <c r="J94" s="218">
        <f t="shared" si="2"/>
        <v>4.9019607843137261E-2</v>
      </c>
      <c r="K94" s="218">
        <f t="shared" si="3"/>
        <v>2.4147590070509872E-4</v>
      </c>
      <c r="L94" s="218">
        <f t="shared" si="4"/>
        <v>9.9999999999997868E-2</v>
      </c>
      <c r="M94" s="218" t="s">
        <v>323</v>
      </c>
      <c r="P94" s="218">
        <v>89</v>
      </c>
      <c r="Q94" s="218">
        <v>35.299999999999997</v>
      </c>
      <c r="R94" s="218">
        <v>83</v>
      </c>
      <c r="S94" s="218">
        <v>12</v>
      </c>
      <c r="T94" s="218">
        <v>43.433333333333337</v>
      </c>
      <c r="U94" s="273">
        <v>2.3023791250959321E-2</v>
      </c>
      <c r="V94" s="218">
        <v>2.3707017576699171E-2</v>
      </c>
      <c r="W94" s="250">
        <v>4.0496099773899846E-4</v>
      </c>
      <c r="X94" s="250">
        <v>9.5879323031640915E-2</v>
      </c>
      <c r="Z94" s="218">
        <v>86</v>
      </c>
      <c r="AA94" s="435">
        <v>8.4621044885945559E-2</v>
      </c>
      <c r="AB94" s="435">
        <v>0.76649305555555569</v>
      </c>
      <c r="AC94" s="435">
        <v>0.7348484848484852</v>
      </c>
      <c r="AD94" s="435">
        <v>0.9285714285714286</v>
      </c>
      <c r="AE94" s="435">
        <v>0.92827004219409404</v>
      </c>
      <c r="AG94" s="218">
        <v>86</v>
      </c>
      <c r="AH94" s="218">
        <v>0.96747967479674868</v>
      </c>
      <c r="AI94" s="218">
        <v>1.0041152263374493</v>
      </c>
      <c r="AJ94" s="218">
        <v>1.0162601626016259</v>
      </c>
      <c r="AK94" s="218">
        <v>0.99224806201550408</v>
      </c>
      <c r="AL94" s="218">
        <v>1.047619047619047</v>
      </c>
      <c r="AM94" s="218">
        <v>86</v>
      </c>
      <c r="AN94" s="218">
        <v>0.96899224806201623</v>
      </c>
      <c r="AO94" s="218">
        <v>0.99186991869918728</v>
      </c>
      <c r="AP94" s="218">
        <v>0.9916666666666698</v>
      </c>
      <c r="AQ94" s="218">
        <v>0.97560975609756362</v>
      </c>
      <c r="AS94" s="218">
        <v>86</v>
      </c>
      <c r="AT94" s="218">
        <v>0.71544715447154372</v>
      </c>
      <c r="AU94" s="218">
        <v>0.96747967479674735</v>
      </c>
      <c r="AV94" s="218">
        <v>1.0416666666666705</v>
      </c>
      <c r="AW94" s="218">
        <v>0.98333333333332784</v>
      </c>
      <c r="AX94" s="218">
        <v>1.0440170940171001</v>
      </c>
    </row>
    <row r="95" spans="1:50">
      <c r="A95" s="429">
        <v>0.67826388888888889</v>
      </c>
      <c r="B95" s="218">
        <v>20.399999999999999</v>
      </c>
      <c r="C95" s="218" t="s">
        <v>314</v>
      </c>
      <c r="D95" s="218">
        <v>10.199999999999999</v>
      </c>
      <c r="E95" s="218" t="s">
        <v>315</v>
      </c>
      <c r="F95" s="218">
        <v>22.7</v>
      </c>
      <c r="G95" s="218" t="s">
        <v>316</v>
      </c>
      <c r="H95" s="218">
        <v>38</v>
      </c>
      <c r="I95" s="218">
        <f t="shared" si="1"/>
        <v>20.399999999999999</v>
      </c>
      <c r="J95" s="218">
        <f t="shared" si="2"/>
        <v>4.9019607843137261E-2</v>
      </c>
      <c r="K95" s="218">
        <f t="shared" si="3"/>
        <v>2.4147590070509872E-4</v>
      </c>
      <c r="L95" s="218">
        <f t="shared" si="4"/>
        <v>9.9999999999997868E-2</v>
      </c>
      <c r="M95" s="218" t="s">
        <v>323</v>
      </c>
      <c r="P95" s="218">
        <v>90</v>
      </c>
      <c r="Q95" s="218">
        <v>38.700000000000003</v>
      </c>
      <c r="R95" s="218">
        <v>84</v>
      </c>
      <c r="S95" s="218">
        <v>12</v>
      </c>
      <c r="T95" s="218">
        <v>44.9</v>
      </c>
      <c r="U95" s="273">
        <v>2.2271714922048998E-2</v>
      </c>
      <c r="V95" s="218">
        <v>2.2647753086504158E-2</v>
      </c>
      <c r="W95" s="250">
        <v>3.8686674343513884E-4</v>
      </c>
      <c r="X95" s="250">
        <v>9.9116997792494471E-2</v>
      </c>
      <c r="Z95" s="218">
        <v>87</v>
      </c>
      <c r="AA95" s="435">
        <v>8.8594554819720381E-2</v>
      </c>
      <c r="AB95" s="435">
        <v>0.76822916666666685</v>
      </c>
      <c r="AC95" s="435">
        <v>0.7348484848484852</v>
      </c>
      <c r="AD95" s="435">
        <v>0.9285714285714286</v>
      </c>
      <c r="AE95" s="435">
        <v>0.9451476793248953</v>
      </c>
      <c r="AG95" s="218">
        <v>87</v>
      </c>
      <c r="AH95" s="218">
        <v>0.96747967479674868</v>
      </c>
      <c r="AI95" s="218">
        <v>1.0123456790123462</v>
      </c>
      <c r="AJ95" s="218">
        <v>1.0243902439024393</v>
      </c>
      <c r="AK95" s="218">
        <v>0.97674418604651148</v>
      </c>
      <c r="AL95" s="218">
        <v>1.047619047619047</v>
      </c>
      <c r="AM95" s="218">
        <v>87</v>
      </c>
      <c r="AN95" s="218">
        <v>0.97674418604651214</v>
      </c>
      <c r="AO95" s="218">
        <v>0.99186991869918728</v>
      </c>
      <c r="AP95" s="218">
        <v>1.0083333333333362</v>
      </c>
      <c r="AQ95" s="218">
        <v>0.97560975609756362</v>
      </c>
      <c r="AS95" s="218">
        <v>87</v>
      </c>
      <c r="AT95" s="218">
        <v>0.71544715447154372</v>
      </c>
      <c r="AU95" s="218">
        <v>0.96747967479674735</v>
      </c>
      <c r="AV95" s="218">
        <v>1.0333333333333357</v>
      </c>
      <c r="AW95" s="218">
        <v>0.96666666666666168</v>
      </c>
      <c r="AX95" s="218">
        <v>1.0525641025641101</v>
      </c>
    </row>
    <row r="96" spans="1:50">
      <c r="A96" s="429">
        <v>0.67827546296296293</v>
      </c>
      <c r="B96" s="218">
        <v>20.5</v>
      </c>
      <c r="C96" s="218" t="s">
        <v>314</v>
      </c>
      <c r="D96" s="218">
        <v>10.3</v>
      </c>
      <c r="E96" s="218" t="s">
        <v>315</v>
      </c>
      <c r="F96" s="218">
        <v>22.7</v>
      </c>
      <c r="G96" s="218" t="s">
        <v>316</v>
      </c>
      <c r="H96" s="218">
        <v>39</v>
      </c>
      <c r="I96" s="218">
        <f t="shared" si="1"/>
        <v>20.399999999999999</v>
      </c>
      <c r="J96" s="218">
        <f t="shared" si="2"/>
        <v>4.9019607843137261E-2</v>
      </c>
      <c r="K96" s="218">
        <f t="shared" si="3"/>
        <v>2.4147590070509872E-4</v>
      </c>
      <c r="L96" s="218">
        <f t="shared" si="4"/>
        <v>9.9999999999997868E-2</v>
      </c>
      <c r="M96" s="218" t="s">
        <v>323</v>
      </c>
      <c r="P96" s="218">
        <v>91</v>
      </c>
      <c r="Q96" s="218">
        <v>38.200000000000003</v>
      </c>
      <c r="R96" s="218">
        <v>84</v>
      </c>
      <c r="S96" s="218">
        <v>11</v>
      </c>
      <c r="T96" s="218">
        <v>44.4</v>
      </c>
      <c r="U96" s="273">
        <v>2.2522522522522525E-2</v>
      </c>
      <c r="V96" s="218">
        <v>2.239711872228576E-2</v>
      </c>
      <c r="W96" s="250">
        <v>3.825854312931459E-4</v>
      </c>
      <c r="X96" s="250">
        <v>9.8013245033112581E-2</v>
      </c>
      <c r="Z96" s="218">
        <v>88</v>
      </c>
      <c r="AA96" s="435">
        <v>9.0507726269315678E-2</v>
      </c>
      <c r="AB96" s="435">
        <v>0.77951388888888895</v>
      </c>
      <c r="AC96" s="435">
        <v>0.75000000000000022</v>
      </c>
      <c r="AD96" s="435">
        <v>0.9285714285714286</v>
      </c>
      <c r="AE96" s="435">
        <v>0.93670886075949467</v>
      </c>
      <c r="AG96" s="218">
        <v>88</v>
      </c>
      <c r="AH96" s="218">
        <v>0.97560975609756151</v>
      </c>
      <c r="AI96" s="218">
        <v>1.0123456790123462</v>
      </c>
      <c r="AJ96" s="218">
        <v>1.0081300813008127</v>
      </c>
      <c r="AK96" s="218">
        <v>0.98449612403100806</v>
      </c>
      <c r="AL96" s="218">
        <v>1.047619047619047</v>
      </c>
      <c r="AM96" s="218">
        <v>88</v>
      </c>
      <c r="AN96" s="218">
        <v>0.97674418604651214</v>
      </c>
      <c r="AO96" s="218">
        <v>1</v>
      </c>
      <c r="AP96" s="218">
        <v>1.0083333333333362</v>
      </c>
      <c r="AQ96" s="218">
        <v>0.97560975609756362</v>
      </c>
      <c r="AS96" s="218">
        <v>88</v>
      </c>
      <c r="AT96" s="218">
        <v>0.73983739837398654</v>
      </c>
      <c r="AU96" s="218">
        <v>0.96747967479674735</v>
      </c>
      <c r="AV96" s="218">
        <v>1.0333333333333357</v>
      </c>
      <c r="AW96" s="218">
        <v>0.98333333333332784</v>
      </c>
      <c r="AX96" s="218">
        <v>1.0354700854700933</v>
      </c>
    </row>
    <row r="97" spans="1:50">
      <c r="A97" s="429">
        <v>0.67828703703703708</v>
      </c>
      <c r="B97" s="218">
        <v>20.5</v>
      </c>
      <c r="C97" s="218" t="s">
        <v>314</v>
      </c>
      <c r="D97" s="218">
        <v>10.3</v>
      </c>
      <c r="E97" s="218" t="s">
        <v>315</v>
      </c>
      <c r="F97" s="218">
        <v>22.7</v>
      </c>
      <c r="G97" s="218" t="s">
        <v>316</v>
      </c>
      <c r="H97" s="218">
        <v>40</v>
      </c>
      <c r="I97" s="218">
        <f t="shared" si="1"/>
        <v>20.5</v>
      </c>
      <c r="J97" s="218">
        <f t="shared" si="2"/>
        <v>4.878048780487805E-2</v>
      </c>
      <c r="K97" s="218">
        <f t="shared" si="3"/>
        <v>4.8059593896430941E-4</v>
      </c>
      <c r="L97" s="218">
        <f t="shared" si="4"/>
        <v>0.19999999999999929</v>
      </c>
      <c r="M97" s="218" t="s">
        <v>323</v>
      </c>
      <c r="P97" s="218">
        <v>92</v>
      </c>
      <c r="Q97" s="218">
        <v>38.200000000000003</v>
      </c>
      <c r="R97" s="218">
        <v>83</v>
      </c>
      <c r="S97" s="218">
        <v>11</v>
      </c>
      <c r="T97" s="218">
        <v>44.066666666666663</v>
      </c>
      <c r="U97" s="273">
        <v>2.2692889561270805E-2</v>
      </c>
      <c r="V97" s="218">
        <v>2.2607706041896665E-2</v>
      </c>
      <c r="W97" s="250">
        <v>3.8618266366473834E-4</v>
      </c>
      <c r="X97" s="250">
        <v>9.7277409860191302E-2</v>
      </c>
      <c r="Z97" s="218">
        <v>89</v>
      </c>
      <c r="AA97" s="435">
        <v>9.5879323031640915E-2</v>
      </c>
      <c r="AB97" s="435">
        <v>0.78211805555555569</v>
      </c>
      <c r="AC97" s="435">
        <v>0.75757575757575768</v>
      </c>
      <c r="AD97" s="435">
        <v>0.93650793650793718</v>
      </c>
      <c r="AE97" s="435">
        <v>0.95358649789029604</v>
      </c>
      <c r="AG97" s="218">
        <v>89</v>
      </c>
      <c r="AH97" s="218">
        <v>0.96747967479674868</v>
      </c>
      <c r="AI97" s="218">
        <v>1.0041152263374493</v>
      </c>
      <c r="AJ97" s="218">
        <v>1.0243902439024393</v>
      </c>
      <c r="AK97" s="218">
        <v>0.98449612403100806</v>
      </c>
      <c r="AL97" s="218">
        <v>1.0595238095238086</v>
      </c>
      <c r="AM97" s="218">
        <v>89</v>
      </c>
      <c r="AN97" s="218">
        <v>0.96899224806201623</v>
      </c>
      <c r="AO97" s="218">
        <v>0.98373983739837434</v>
      </c>
      <c r="AP97" s="218">
        <v>1.0083333333333362</v>
      </c>
      <c r="AQ97" s="218">
        <v>0.97560975609756362</v>
      </c>
      <c r="AS97" s="218">
        <v>89</v>
      </c>
      <c r="AT97" s="218">
        <v>0.73983739837398654</v>
      </c>
      <c r="AU97" s="218">
        <v>0.96747967479674735</v>
      </c>
      <c r="AV97" s="218">
        <v>1.0333333333333357</v>
      </c>
      <c r="AW97" s="218">
        <v>0.98333333333332784</v>
      </c>
      <c r="AX97" s="218">
        <v>1.0440170940171001</v>
      </c>
    </row>
    <row r="98" spans="1:50">
      <c r="A98" s="429">
        <v>0.67829861111111101</v>
      </c>
      <c r="B98" s="218">
        <v>20.5</v>
      </c>
      <c r="C98" s="218" t="s">
        <v>314</v>
      </c>
      <c r="D98" s="218">
        <v>10.3</v>
      </c>
      <c r="E98" s="218" t="s">
        <v>315</v>
      </c>
      <c r="F98" s="218">
        <v>22.7</v>
      </c>
      <c r="G98" s="218" t="s">
        <v>316</v>
      </c>
      <c r="H98" s="218">
        <v>41</v>
      </c>
      <c r="I98" s="218">
        <f t="shared" si="1"/>
        <v>20.5</v>
      </c>
      <c r="J98" s="218">
        <f t="shared" si="2"/>
        <v>4.878048780487805E-2</v>
      </c>
      <c r="K98" s="218">
        <f t="shared" si="3"/>
        <v>4.8059593896430941E-4</v>
      </c>
      <c r="L98" s="218">
        <f t="shared" si="4"/>
        <v>0.19999999999999929</v>
      </c>
      <c r="M98" s="218" t="s">
        <v>323</v>
      </c>
      <c r="P98" s="218">
        <v>93</v>
      </c>
      <c r="Q98" s="218">
        <v>41.7</v>
      </c>
      <c r="R98" s="218">
        <v>84</v>
      </c>
      <c r="S98" s="218">
        <v>14</v>
      </c>
      <c r="T98" s="218">
        <v>46.566666666666663</v>
      </c>
      <c r="U98" s="273">
        <v>2.1474588403722263E-2</v>
      </c>
      <c r="V98" s="218">
        <v>2.2083738982496534E-2</v>
      </c>
      <c r="W98" s="250">
        <v>3.7723230867088217E-4</v>
      </c>
      <c r="X98" s="250">
        <v>0.1027961736571008</v>
      </c>
      <c r="Z98" s="218">
        <v>90</v>
      </c>
      <c r="AA98" s="435">
        <v>9.9116997792494471E-2</v>
      </c>
      <c r="AB98" s="435">
        <v>0.79947916666666652</v>
      </c>
      <c r="AC98" s="435">
        <v>0.75757575757575768</v>
      </c>
      <c r="AD98" s="435">
        <v>0.95238095238095266</v>
      </c>
      <c r="AE98" s="435">
        <v>0.93670886075949467</v>
      </c>
      <c r="AG98" s="218">
        <v>90</v>
      </c>
      <c r="AH98" s="218">
        <v>0.96747967479674868</v>
      </c>
      <c r="AI98" s="218">
        <v>1.0041152263374493</v>
      </c>
      <c r="AJ98" s="218">
        <v>1.0243902439024393</v>
      </c>
      <c r="AK98" s="218">
        <v>0.97674418604651148</v>
      </c>
      <c r="AL98" s="218">
        <v>1.0595238095238086</v>
      </c>
      <c r="AM98" s="218">
        <v>90</v>
      </c>
      <c r="AN98" s="218">
        <v>0.97674418604651214</v>
      </c>
      <c r="AO98" s="218">
        <v>0.98373983739837434</v>
      </c>
      <c r="AP98" s="218">
        <v>1.0083333333333362</v>
      </c>
      <c r="AQ98" s="218">
        <v>0.96341463414634421</v>
      </c>
      <c r="AS98" s="218">
        <v>90</v>
      </c>
      <c r="AT98" s="218">
        <v>0.74796747967479793</v>
      </c>
      <c r="AU98" s="218">
        <v>0.96747967479674735</v>
      </c>
      <c r="AV98" s="218">
        <v>1.0416666666666705</v>
      </c>
      <c r="AW98" s="218">
        <v>0.97499999999999321</v>
      </c>
      <c r="AX98" s="218">
        <v>1.0440170940171001</v>
      </c>
    </row>
    <row r="99" spans="1:50">
      <c r="A99" s="429">
        <v>0.67831018518518515</v>
      </c>
      <c r="B99" s="218">
        <v>20.6</v>
      </c>
      <c r="C99" s="218" t="s">
        <v>314</v>
      </c>
      <c r="D99" s="218">
        <v>10.3</v>
      </c>
      <c r="E99" s="218" t="s">
        <v>315</v>
      </c>
      <c r="F99" s="218">
        <v>22.7</v>
      </c>
      <c r="G99" s="218" t="s">
        <v>316</v>
      </c>
      <c r="H99" s="218">
        <v>42</v>
      </c>
      <c r="I99" s="218">
        <f t="shared" si="1"/>
        <v>20.5</v>
      </c>
      <c r="J99" s="218">
        <f t="shared" si="2"/>
        <v>4.878048780487805E-2</v>
      </c>
      <c r="K99" s="218">
        <f t="shared" si="3"/>
        <v>4.8059593896430941E-4</v>
      </c>
      <c r="L99" s="218">
        <f t="shared" si="4"/>
        <v>0.19999999999999929</v>
      </c>
      <c r="M99" s="218" t="s">
        <v>323</v>
      </c>
      <c r="P99" s="218">
        <v>94</v>
      </c>
      <c r="Q99" s="218">
        <v>41.3</v>
      </c>
      <c r="R99" s="218">
        <v>85</v>
      </c>
      <c r="S99" s="218">
        <v>14</v>
      </c>
      <c r="T99" s="218">
        <v>46.766666666666673</v>
      </c>
      <c r="U99" s="273">
        <v>2.1382751247327154E-2</v>
      </c>
      <c r="V99" s="218">
        <v>2.1428669825524709E-2</v>
      </c>
      <c r="W99" s="250">
        <v>3.6604248023560537E-4</v>
      </c>
      <c r="X99" s="250">
        <v>0.10323767476085358</v>
      </c>
      <c r="Z99" s="218">
        <v>91</v>
      </c>
      <c r="AA99" s="435">
        <v>9.8013245033112581E-2</v>
      </c>
      <c r="AB99" s="435">
        <v>0.80295138888888884</v>
      </c>
      <c r="AC99" s="435">
        <v>0.75757575757575768</v>
      </c>
      <c r="AD99" s="435">
        <v>0.95238095238095266</v>
      </c>
      <c r="AE99" s="435">
        <v>0.9451476793248953</v>
      </c>
      <c r="AG99" s="218">
        <v>91</v>
      </c>
      <c r="AH99" s="218">
        <v>0.96747967479674868</v>
      </c>
      <c r="AI99" s="218">
        <v>1.0123456790123462</v>
      </c>
      <c r="AJ99" s="218">
        <v>1.0162601626016259</v>
      </c>
      <c r="AK99" s="218">
        <v>0.98449612403100806</v>
      </c>
      <c r="AL99" s="218">
        <v>1.0595238095238086</v>
      </c>
      <c r="AM99" s="218">
        <v>91</v>
      </c>
      <c r="AN99" s="218">
        <v>0.97674418604651214</v>
      </c>
      <c r="AO99" s="218">
        <v>1</v>
      </c>
      <c r="AP99" s="218">
        <v>1.0000000000000029</v>
      </c>
      <c r="AQ99" s="218">
        <v>0.96341463414634421</v>
      </c>
      <c r="AS99" s="218">
        <v>91</v>
      </c>
      <c r="AT99" s="218">
        <v>0.76422764227642359</v>
      </c>
      <c r="AU99" s="218">
        <v>0.97560975609756151</v>
      </c>
      <c r="AV99" s="218">
        <v>1.0416666666666705</v>
      </c>
      <c r="AW99" s="218">
        <v>0.98333333333332784</v>
      </c>
      <c r="AX99" s="218">
        <v>1.0440170940171032</v>
      </c>
    </row>
    <row r="100" spans="1:50">
      <c r="A100" s="429">
        <v>0.6783217592592593</v>
      </c>
      <c r="B100" s="218">
        <v>20.7</v>
      </c>
      <c r="C100" s="218" t="s">
        <v>314</v>
      </c>
      <c r="D100" s="218">
        <v>10.4</v>
      </c>
      <c r="E100" s="218" t="s">
        <v>315</v>
      </c>
      <c r="F100" s="218">
        <v>22.7</v>
      </c>
      <c r="G100" s="218" t="s">
        <v>316</v>
      </c>
      <c r="H100" s="218">
        <v>43</v>
      </c>
      <c r="I100" s="218">
        <f t="shared" si="1"/>
        <v>20.6</v>
      </c>
      <c r="J100" s="218">
        <f t="shared" si="2"/>
        <v>4.8543689320388349E-2</v>
      </c>
      <c r="K100" s="218">
        <f t="shared" si="3"/>
        <v>7.1739442345401111E-4</v>
      </c>
      <c r="L100" s="218">
        <f t="shared" si="4"/>
        <v>0.30000000000000071</v>
      </c>
      <c r="M100" s="218" t="s">
        <v>323</v>
      </c>
      <c r="P100" s="218">
        <v>95</v>
      </c>
      <c r="Q100" s="218">
        <v>47.3</v>
      </c>
      <c r="R100" s="218">
        <v>88</v>
      </c>
      <c r="S100" s="218">
        <v>15</v>
      </c>
      <c r="T100" s="218">
        <v>50.1</v>
      </c>
      <c r="U100" s="273">
        <v>1.9960079840319361E-2</v>
      </c>
      <c r="V100" s="218">
        <v>2.0671415543823256E-2</v>
      </c>
      <c r="W100" s="250">
        <v>3.5310713531219528E-4</v>
      </c>
      <c r="X100" s="250">
        <v>0.11059602649006622</v>
      </c>
      <c r="Z100" s="218">
        <v>92</v>
      </c>
      <c r="AA100" s="435">
        <v>9.7277409860191302E-2</v>
      </c>
      <c r="AB100" s="435">
        <v>0.80381944444444431</v>
      </c>
      <c r="AC100" s="435">
        <v>0.75757575757575768</v>
      </c>
      <c r="AD100" s="435">
        <v>0.95238095238095266</v>
      </c>
      <c r="AE100" s="435">
        <v>0.9451476793248953</v>
      </c>
      <c r="AG100" s="218">
        <v>92</v>
      </c>
      <c r="AH100" s="218">
        <v>0.97560975609756151</v>
      </c>
      <c r="AI100" s="218">
        <v>1.0123456790123462</v>
      </c>
      <c r="AJ100" s="218">
        <v>1.0162601626016259</v>
      </c>
      <c r="AK100" s="218">
        <v>0.97674418604651148</v>
      </c>
      <c r="AL100" s="218">
        <v>1.047619047619047</v>
      </c>
      <c r="AM100" s="218">
        <v>92</v>
      </c>
      <c r="AN100" s="218">
        <v>0.96899224806201623</v>
      </c>
      <c r="AO100" s="218">
        <v>1</v>
      </c>
      <c r="AP100" s="218">
        <v>1.0000000000000029</v>
      </c>
      <c r="AQ100" s="218">
        <v>0.96341463414634421</v>
      </c>
      <c r="AS100" s="218">
        <v>92</v>
      </c>
      <c r="AT100" s="218">
        <v>0.76422764227642359</v>
      </c>
      <c r="AU100" s="218">
        <v>0.96747967479674735</v>
      </c>
      <c r="AV100" s="218">
        <v>1.0333333333333357</v>
      </c>
      <c r="AW100" s="218">
        <v>0.98333333333332784</v>
      </c>
      <c r="AX100" s="218">
        <v>1.0525641025641101</v>
      </c>
    </row>
    <row r="101" spans="1:50">
      <c r="A101" s="429">
        <v>0.67833333333333334</v>
      </c>
      <c r="B101" s="218">
        <v>20.8</v>
      </c>
      <c r="C101" s="218" t="s">
        <v>314</v>
      </c>
      <c r="D101" s="218">
        <v>10.4</v>
      </c>
      <c r="E101" s="218" t="s">
        <v>315</v>
      </c>
      <c r="F101" s="218">
        <v>22.7</v>
      </c>
      <c r="G101" s="218" t="s">
        <v>316</v>
      </c>
      <c r="H101" s="218">
        <v>44</v>
      </c>
      <c r="I101" s="218">
        <f t="shared" si="1"/>
        <v>20.7</v>
      </c>
      <c r="J101" s="218">
        <f t="shared" si="2"/>
        <v>4.8309178743961352E-2</v>
      </c>
      <c r="K101" s="218">
        <f t="shared" si="3"/>
        <v>9.519049998810078E-4</v>
      </c>
      <c r="L101" s="218">
        <f t="shared" si="4"/>
        <v>0.39999999999999858</v>
      </c>
      <c r="M101" s="218" t="s">
        <v>323</v>
      </c>
      <c r="P101" s="218">
        <v>96</v>
      </c>
      <c r="Q101" s="218">
        <v>46.8</v>
      </c>
      <c r="R101" s="218">
        <v>90</v>
      </c>
      <c r="S101" s="218">
        <v>15</v>
      </c>
      <c r="T101" s="218">
        <v>50.6</v>
      </c>
      <c r="U101" s="273">
        <v>1.9762845849802372E-2</v>
      </c>
      <c r="V101" s="218">
        <v>1.9861462845060865E-2</v>
      </c>
      <c r="W101" s="250">
        <v>3.3927160108900429E-4</v>
      </c>
      <c r="X101" s="250">
        <v>0.11169977924944813</v>
      </c>
      <c r="Z101" s="218">
        <v>93</v>
      </c>
      <c r="AA101" s="435">
        <v>0.1027961736571008</v>
      </c>
      <c r="AB101" s="435">
        <v>0.81510416666666685</v>
      </c>
      <c r="AC101" s="435">
        <v>0.76515151515151547</v>
      </c>
      <c r="AD101" s="435">
        <v>0.96031746031746035</v>
      </c>
      <c r="AE101" s="435">
        <v>0.95358649789029604</v>
      </c>
      <c r="AG101" s="218">
        <v>93</v>
      </c>
      <c r="AH101" s="218">
        <v>0.97560975609756151</v>
      </c>
      <c r="AI101" s="218">
        <v>1.0041152263374493</v>
      </c>
      <c r="AJ101" s="218">
        <v>1.0162601626016259</v>
      </c>
      <c r="AK101" s="218">
        <v>0.96124031007751942</v>
      </c>
      <c r="AL101" s="218">
        <v>1.047619047619047</v>
      </c>
      <c r="AM101" s="218">
        <v>93</v>
      </c>
      <c r="AN101" s="218">
        <v>0.97674418604651214</v>
      </c>
      <c r="AO101" s="218">
        <v>1</v>
      </c>
      <c r="AP101" s="218">
        <v>1.0083333333333362</v>
      </c>
      <c r="AQ101" s="218">
        <v>0.96341463414634421</v>
      </c>
      <c r="AS101" s="218">
        <v>93</v>
      </c>
      <c r="AT101" s="218">
        <v>0.77235772357723786</v>
      </c>
      <c r="AU101" s="218">
        <v>0.96747967479674735</v>
      </c>
      <c r="AV101" s="218">
        <v>1.025000000000001</v>
      </c>
      <c r="AW101" s="218">
        <v>0.96666666666666168</v>
      </c>
      <c r="AX101" s="218">
        <v>1.0354700854700933</v>
      </c>
    </row>
    <row r="102" spans="1:50">
      <c r="A102" s="429">
        <v>0.67834490740740738</v>
      </c>
      <c r="B102" s="218">
        <v>20.8</v>
      </c>
      <c r="C102" s="218" t="s">
        <v>314</v>
      </c>
      <c r="D102" s="218">
        <v>10.4</v>
      </c>
      <c r="E102" s="218" t="s">
        <v>315</v>
      </c>
      <c r="F102" s="218">
        <v>22.7</v>
      </c>
      <c r="G102" s="218" t="s">
        <v>316</v>
      </c>
      <c r="H102" s="218">
        <v>45</v>
      </c>
      <c r="I102" s="218">
        <f t="shared" si="1"/>
        <v>20.8</v>
      </c>
      <c r="J102" s="218">
        <f t="shared" si="2"/>
        <v>4.8076923076923073E-2</v>
      </c>
      <c r="K102" s="218">
        <f t="shared" si="3"/>
        <v>1.1841606669192872E-3</v>
      </c>
      <c r="L102" s="218">
        <f t="shared" si="4"/>
        <v>0.5</v>
      </c>
      <c r="M102" s="218" t="s">
        <v>323</v>
      </c>
      <c r="P102" s="218">
        <v>97</v>
      </c>
      <c r="Q102" s="218">
        <v>46.3</v>
      </c>
      <c r="R102" s="218">
        <v>92</v>
      </c>
      <c r="S102" s="218">
        <v>17</v>
      </c>
      <c r="T102" s="218">
        <v>51.766666666666673</v>
      </c>
      <c r="U102" s="273">
        <v>1.9317450096587249E-2</v>
      </c>
      <c r="V102" s="218">
        <v>1.954014797319481E-2</v>
      </c>
      <c r="W102" s="250">
        <v>3.3378293130258851E-4</v>
      </c>
      <c r="X102" s="250">
        <v>0.11427520235467256</v>
      </c>
      <c r="Z102" s="218">
        <v>94</v>
      </c>
      <c r="AA102" s="435">
        <v>0.10323767476085358</v>
      </c>
      <c r="AB102" s="435">
        <v>0.81684027777777779</v>
      </c>
      <c r="AC102" s="435">
        <v>0.76515151515151547</v>
      </c>
      <c r="AD102" s="435">
        <v>0.96031746031746035</v>
      </c>
      <c r="AE102" s="435">
        <v>0.95358649789029604</v>
      </c>
      <c r="AG102" s="218">
        <v>94</v>
      </c>
      <c r="AH102" s="218">
        <v>0.97560975609756151</v>
      </c>
      <c r="AI102" s="218">
        <v>1.0041152263374493</v>
      </c>
      <c r="AJ102" s="218">
        <v>1.0243902439024393</v>
      </c>
      <c r="AK102" s="218">
        <v>0.97674418604651148</v>
      </c>
      <c r="AL102" s="218">
        <v>1.0595238095238086</v>
      </c>
      <c r="AM102" s="218">
        <v>94</v>
      </c>
      <c r="AN102" s="218">
        <v>0.97674418604651214</v>
      </c>
      <c r="AO102" s="218">
        <v>0.99186991869918728</v>
      </c>
      <c r="AP102" s="218">
        <v>1.0083333333333362</v>
      </c>
      <c r="AQ102" s="218">
        <v>0.96341463414634421</v>
      </c>
      <c r="AS102" s="218">
        <v>94</v>
      </c>
      <c r="AT102" s="218">
        <v>0.78048780487805214</v>
      </c>
      <c r="AU102" s="218">
        <v>0.96747967479674735</v>
      </c>
      <c r="AV102" s="218">
        <v>1.0333333333333357</v>
      </c>
      <c r="AW102" s="218">
        <v>0.98333333333332784</v>
      </c>
      <c r="AX102" s="218">
        <v>1.0440170940171032</v>
      </c>
    </row>
    <row r="103" spans="1:50">
      <c r="A103" s="429">
        <v>0.67835648148148142</v>
      </c>
      <c r="B103" s="218">
        <v>20.9</v>
      </c>
      <c r="C103" s="218" t="s">
        <v>314</v>
      </c>
      <c r="D103" s="218">
        <v>10.5</v>
      </c>
      <c r="E103" s="218" t="s">
        <v>315</v>
      </c>
      <c r="F103" s="218">
        <v>22.7</v>
      </c>
      <c r="G103" s="218" t="s">
        <v>316</v>
      </c>
      <c r="H103" s="218">
        <v>46</v>
      </c>
      <c r="I103" s="218">
        <f t="shared" si="1"/>
        <v>20.8</v>
      </c>
      <c r="J103" s="218">
        <f t="shared" si="2"/>
        <v>4.8076923076923073E-2</v>
      </c>
      <c r="K103" s="218">
        <f t="shared" si="3"/>
        <v>1.1841606669192872E-3</v>
      </c>
      <c r="L103" s="218">
        <f t="shared" si="4"/>
        <v>0.5</v>
      </c>
      <c r="M103" s="218" t="s">
        <v>323</v>
      </c>
      <c r="P103" s="218">
        <v>98</v>
      </c>
      <c r="Q103" s="218">
        <v>50</v>
      </c>
      <c r="R103" s="218">
        <v>93</v>
      </c>
      <c r="S103" s="218">
        <v>17</v>
      </c>
      <c r="T103" s="218">
        <v>53.333333333333336</v>
      </c>
      <c r="U103" s="273">
        <v>1.8749999999999999E-2</v>
      </c>
      <c r="V103" s="218">
        <v>1.9033725048293624E-2</v>
      </c>
      <c r="W103" s="250">
        <v>3.2513226352953831E-4</v>
      </c>
      <c r="X103" s="250">
        <v>0.1177336276674025</v>
      </c>
      <c r="Z103" s="218">
        <v>95</v>
      </c>
      <c r="AA103" s="435">
        <v>0.11059602649006622</v>
      </c>
      <c r="AB103" s="435">
        <v>0.80815972222222221</v>
      </c>
      <c r="AC103" s="435">
        <v>0.77272727272727282</v>
      </c>
      <c r="AD103" s="435">
        <v>0.95238095238095266</v>
      </c>
      <c r="AE103" s="435">
        <v>0.95358649789029604</v>
      </c>
      <c r="AG103" s="218">
        <v>95</v>
      </c>
      <c r="AH103" s="218">
        <v>0.97560975609756151</v>
      </c>
      <c r="AI103" s="218">
        <v>1.0041152263374493</v>
      </c>
      <c r="AJ103" s="218">
        <v>1.0162601626016259</v>
      </c>
      <c r="AK103" s="218">
        <v>0.98449612403100806</v>
      </c>
      <c r="AL103" s="218">
        <v>1.047619047619047</v>
      </c>
      <c r="AM103" s="218">
        <v>95</v>
      </c>
      <c r="AN103" s="218">
        <v>0.96899224806201623</v>
      </c>
      <c r="AO103" s="218">
        <v>1</v>
      </c>
      <c r="AP103" s="218">
        <v>1.0000000000000029</v>
      </c>
      <c r="AQ103" s="218">
        <v>0.96341463414634421</v>
      </c>
      <c r="AS103" s="218">
        <v>95</v>
      </c>
      <c r="AT103" s="218">
        <v>0.78861788617886364</v>
      </c>
      <c r="AU103" s="218">
        <v>0.97560975609756151</v>
      </c>
      <c r="AV103" s="218">
        <v>1.025000000000001</v>
      </c>
      <c r="AW103" s="218">
        <v>0.98333333333332784</v>
      </c>
      <c r="AX103" s="218">
        <v>1.0440170940171032</v>
      </c>
    </row>
    <row r="104" spans="1:50">
      <c r="A104" s="429">
        <v>0.67836805555555557</v>
      </c>
      <c r="B104" s="218">
        <v>21.2</v>
      </c>
      <c r="C104" s="218" t="s">
        <v>314</v>
      </c>
      <c r="D104" s="218">
        <v>10.6</v>
      </c>
      <c r="E104" s="218" t="s">
        <v>315</v>
      </c>
      <c r="F104" s="218">
        <v>22.7</v>
      </c>
      <c r="G104" s="218" t="s">
        <v>316</v>
      </c>
      <c r="H104" s="218">
        <v>47</v>
      </c>
      <c r="I104" s="218">
        <f t="shared" si="1"/>
        <v>20.9</v>
      </c>
      <c r="J104" s="218">
        <f t="shared" si="2"/>
        <v>4.784688995215311E-2</v>
      </c>
      <c r="K104" s="218">
        <f t="shared" si="3"/>
        <v>1.41419379168925E-3</v>
      </c>
      <c r="L104" s="218">
        <f t="shared" si="4"/>
        <v>0.59999999999999787</v>
      </c>
      <c r="M104" s="218" t="s">
        <v>323</v>
      </c>
      <c r="P104" s="218">
        <v>99</v>
      </c>
      <c r="Q104" s="218">
        <v>50</v>
      </c>
      <c r="R104" s="218">
        <v>93</v>
      </c>
      <c r="S104" s="218">
        <v>16</v>
      </c>
      <c r="T104" s="218">
        <v>53</v>
      </c>
      <c r="U104" s="273">
        <v>1.8867924528301886E-2</v>
      </c>
      <c r="V104" s="218">
        <v>1.8808962264150943E-2</v>
      </c>
      <c r="W104" s="250">
        <v>3.2129288723403688E-4</v>
      </c>
      <c r="X104" s="250">
        <v>0.11699779249448124</v>
      </c>
      <c r="Z104" s="218">
        <v>96</v>
      </c>
      <c r="AA104" s="435">
        <v>0.11169977924944813</v>
      </c>
      <c r="AB104" s="435">
        <v>0.82986111111111116</v>
      </c>
      <c r="AC104" s="435">
        <v>0.78787878787878762</v>
      </c>
      <c r="AD104" s="435">
        <v>0.96031746031746035</v>
      </c>
      <c r="AE104" s="435">
        <v>0.95358649789029604</v>
      </c>
      <c r="AG104" s="218">
        <v>96</v>
      </c>
      <c r="AH104" s="218">
        <v>0.97560975609756151</v>
      </c>
      <c r="AI104" s="218">
        <v>1.0041152263374493</v>
      </c>
      <c r="AJ104" s="218">
        <v>1.0162601626016265</v>
      </c>
      <c r="AK104" s="218">
        <v>0.97674418604651148</v>
      </c>
      <c r="AL104" s="218">
        <v>1.0595238095238086</v>
      </c>
      <c r="AM104" s="218">
        <v>96</v>
      </c>
      <c r="AN104" s="218">
        <v>0.97674418604651214</v>
      </c>
      <c r="AO104" s="218">
        <v>0.99186991869918728</v>
      </c>
      <c r="AP104" s="218">
        <v>1.0083333333333362</v>
      </c>
      <c r="AQ104" s="218">
        <v>0.96341463414634421</v>
      </c>
      <c r="AS104" s="218">
        <v>96</v>
      </c>
      <c r="AT104" s="218">
        <v>0.78861788617886364</v>
      </c>
      <c r="AU104" s="218">
        <v>0.96747967479674735</v>
      </c>
      <c r="AV104" s="218">
        <v>1.0416666666666705</v>
      </c>
      <c r="AW104" s="218">
        <v>0.98333333333332784</v>
      </c>
      <c r="AX104" s="218">
        <v>1.0440170940171032</v>
      </c>
    </row>
    <row r="105" spans="1:50">
      <c r="A105" s="429">
        <v>0.67837962962962972</v>
      </c>
      <c r="B105" s="218">
        <v>21.3</v>
      </c>
      <c r="C105" s="218" t="s">
        <v>314</v>
      </c>
      <c r="D105" s="218">
        <v>10.7</v>
      </c>
      <c r="E105" s="218" t="s">
        <v>315</v>
      </c>
      <c r="F105" s="218">
        <v>22.7</v>
      </c>
      <c r="G105" s="218" t="s">
        <v>316</v>
      </c>
      <c r="H105" s="218">
        <v>48</v>
      </c>
      <c r="I105" s="218">
        <f t="shared" si="1"/>
        <v>21.2</v>
      </c>
      <c r="J105" s="218">
        <f t="shared" si="2"/>
        <v>4.716981132075472E-2</v>
      </c>
      <c r="K105" s="218">
        <f t="shared" si="3"/>
        <v>2.0912724230876395E-3</v>
      </c>
      <c r="L105" s="218">
        <f t="shared" si="4"/>
        <v>0.89999999999999858</v>
      </c>
      <c r="M105" s="218" t="s">
        <v>323</v>
      </c>
      <c r="P105" s="218">
        <v>100</v>
      </c>
      <c r="Q105" s="218">
        <v>45.7</v>
      </c>
      <c r="R105" s="218">
        <v>96</v>
      </c>
      <c r="S105" s="218">
        <v>16</v>
      </c>
      <c r="T105" s="218">
        <v>52.566666666666663</v>
      </c>
      <c r="U105" s="273">
        <v>1.9023462270133167E-2</v>
      </c>
      <c r="V105" s="218">
        <v>1.8945693399217527E-2</v>
      </c>
      <c r="W105" s="250">
        <v>3.2362851535340737E-4</v>
      </c>
      <c r="X105" s="250">
        <v>0.11604120676968359</v>
      </c>
      <c r="Z105" s="218">
        <v>97</v>
      </c>
      <c r="AA105" s="435">
        <v>0.11427520235467256</v>
      </c>
      <c r="AB105" s="435">
        <v>0.83854166666666685</v>
      </c>
      <c r="AC105" s="435">
        <v>0.78787878787878762</v>
      </c>
      <c r="AD105" s="435">
        <v>0.95238095238095266</v>
      </c>
      <c r="AE105" s="435">
        <v>0.9451476793248953</v>
      </c>
      <c r="AG105" s="218">
        <v>97</v>
      </c>
      <c r="AH105" s="218">
        <v>0.97560975609756151</v>
      </c>
      <c r="AI105" s="218">
        <v>1.0041152263374493</v>
      </c>
      <c r="AJ105" s="218">
        <v>1.0162601626016265</v>
      </c>
      <c r="AK105" s="218">
        <v>0.98449612403100806</v>
      </c>
      <c r="AL105" s="218">
        <v>1.047619047619047</v>
      </c>
      <c r="AM105" s="218">
        <v>97</v>
      </c>
      <c r="AN105" s="218">
        <v>0.97674418604651214</v>
      </c>
      <c r="AO105" s="218">
        <v>0.98373983739837434</v>
      </c>
      <c r="AP105" s="218">
        <v>1.0083333333333362</v>
      </c>
      <c r="AQ105" s="218">
        <v>0.96341463414634421</v>
      </c>
      <c r="AS105" s="218">
        <v>97</v>
      </c>
      <c r="AT105" s="218">
        <v>0.8048780487804893</v>
      </c>
      <c r="AU105" s="218">
        <v>0.97560975609755873</v>
      </c>
      <c r="AV105" s="218">
        <v>1.0416666666666705</v>
      </c>
      <c r="AW105" s="218">
        <v>0.9749999999999962</v>
      </c>
      <c r="AX105" s="218">
        <v>1.0525641025641101</v>
      </c>
    </row>
    <row r="106" spans="1:50">
      <c r="A106" s="429">
        <v>0.67839120370370365</v>
      </c>
      <c r="B106" s="218">
        <v>21.4</v>
      </c>
      <c r="C106" s="218" t="s">
        <v>314</v>
      </c>
      <c r="D106" s="218">
        <v>10.7</v>
      </c>
      <c r="E106" s="218" t="s">
        <v>315</v>
      </c>
      <c r="F106" s="218">
        <v>22.7</v>
      </c>
      <c r="G106" s="218" t="s">
        <v>316</v>
      </c>
      <c r="H106" s="218">
        <v>49</v>
      </c>
      <c r="I106" s="218">
        <f t="shared" si="1"/>
        <v>21.3</v>
      </c>
      <c r="J106" s="218">
        <f t="shared" si="2"/>
        <v>4.6948356807511735E-2</v>
      </c>
      <c r="K106" s="218">
        <f t="shared" si="3"/>
        <v>2.3127269363306252E-3</v>
      </c>
      <c r="L106" s="218">
        <f t="shared" si="4"/>
        <v>1</v>
      </c>
      <c r="M106" s="218" t="s">
        <v>323</v>
      </c>
      <c r="P106" s="218">
        <v>101</v>
      </c>
      <c r="Q106" s="218">
        <v>45.600000000000009</v>
      </c>
      <c r="R106" s="218">
        <v>97</v>
      </c>
      <c r="S106" s="218">
        <v>18</v>
      </c>
      <c r="T106" s="218">
        <v>53.533333333333339</v>
      </c>
      <c r="U106" s="273">
        <v>1.86799501867995E-2</v>
      </c>
      <c r="V106" s="218">
        <v>1.8851706228466332E-2</v>
      </c>
      <c r="W106" s="250">
        <v>3.220230355279114E-4</v>
      </c>
      <c r="X106" s="250">
        <v>0.11817512877115527</v>
      </c>
      <c r="Z106" s="218">
        <v>98</v>
      </c>
      <c r="AA106" s="435">
        <v>0.1177336276674025</v>
      </c>
      <c r="AB106" s="435">
        <v>0.77734375</v>
      </c>
      <c r="AC106" s="435">
        <v>0.78030303030303028</v>
      </c>
      <c r="AD106" s="435">
        <v>0.94444444444444486</v>
      </c>
      <c r="AE106" s="435">
        <v>0.95358649789029604</v>
      </c>
      <c r="AG106" s="218">
        <v>98</v>
      </c>
      <c r="AH106" s="218">
        <v>0.96747967479674868</v>
      </c>
      <c r="AI106" s="218">
        <v>0.99588477366255079</v>
      </c>
      <c r="AJ106" s="218">
        <v>1.0243902439024393</v>
      </c>
      <c r="AK106" s="218">
        <v>0.99224806201550408</v>
      </c>
      <c r="AL106" s="218">
        <v>1.0595238095238086</v>
      </c>
      <c r="AM106" s="218">
        <v>98</v>
      </c>
      <c r="AN106" s="218">
        <v>0.96899224806201623</v>
      </c>
      <c r="AO106" s="218">
        <v>0.98780487804878081</v>
      </c>
      <c r="AP106" s="218">
        <v>1.0083333333333362</v>
      </c>
      <c r="AQ106" s="218">
        <v>0.96341463414634421</v>
      </c>
      <c r="AS106" s="218">
        <v>98</v>
      </c>
      <c r="AT106" s="218">
        <v>0.8048780487804893</v>
      </c>
      <c r="AU106" s="218">
        <v>0.98373983739837301</v>
      </c>
      <c r="AV106" s="218">
        <v>1.0416666666666705</v>
      </c>
      <c r="AW106" s="218">
        <v>0.98333333333332784</v>
      </c>
      <c r="AX106" s="218">
        <v>1.0440170940171032</v>
      </c>
    </row>
    <row r="107" spans="1:50">
      <c r="A107" s="429">
        <v>0.6784027777777778</v>
      </c>
      <c r="B107" s="218">
        <v>21.6</v>
      </c>
      <c r="C107" s="218" t="s">
        <v>314</v>
      </c>
      <c r="D107" s="218">
        <v>10.8</v>
      </c>
      <c r="E107" s="218" t="s">
        <v>315</v>
      </c>
      <c r="F107" s="218">
        <v>22.7</v>
      </c>
      <c r="G107" s="218" t="s">
        <v>316</v>
      </c>
      <c r="H107" s="218">
        <v>50</v>
      </c>
      <c r="I107" s="218">
        <f t="shared" si="1"/>
        <v>21.4</v>
      </c>
      <c r="J107" s="218">
        <f t="shared" si="2"/>
        <v>4.6728971962616828E-2</v>
      </c>
      <c r="K107" s="218">
        <f t="shared" si="3"/>
        <v>2.5321117812255323E-3</v>
      </c>
      <c r="L107" s="218">
        <f t="shared" si="4"/>
        <v>1.0999999999999979</v>
      </c>
      <c r="M107" s="218" t="s">
        <v>323</v>
      </c>
      <c r="P107" s="218">
        <v>102</v>
      </c>
      <c r="Q107" s="218">
        <v>51.7</v>
      </c>
      <c r="R107" s="218">
        <v>97</v>
      </c>
      <c r="S107" s="218">
        <v>18</v>
      </c>
      <c r="T107" s="218">
        <v>55.566666666666663</v>
      </c>
      <c r="U107" s="273">
        <v>1.7996400719856032E-2</v>
      </c>
      <c r="V107" s="218">
        <v>1.8338175453327766E-2</v>
      </c>
      <c r="W107" s="250">
        <v>3.1325095213964951E-4</v>
      </c>
      <c r="X107" s="250">
        <v>0.12266372332597497</v>
      </c>
      <c r="Z107" s="218">
        <v>99</v>
      </c>
      <c r="AA107" s="435">
        <v>0.11699779249448124</v>
      </c>
      <c r="AB107" s="435">
        <v>0.77864583333333337</v>
      </c>
      <c r="AC107" s="435">
        <v>0.78787878787878762</v>
      </c>
      <c r="AD107" s="435">
        <v>0.94444444444444486</v>
      </c>
      <c r="AE107" s="435">
        <v>0.95358649789029604</v>
      </c>
      <c r="AG107" s="218">
        <v>99</v>
      </c>
      <c r="AH107" s="218">
        <v>0.97560975609756151</v>
      </c>
      <c r="AI107" s="218">
        <v>0.99588477366255079</v>
      </c>
      <c r="AJ107" s="218">
        <v>1.0162601626016259</v>
      </c>
      <c r="AK107" s="218">
        <v>0.99224806201550408</v>
      </c>
      <c r="AL107" s="218">
        <v>1.047619047619047</v>
      </c>
      <c r="AM107" s="218">
        <v>99</v>
      </c>
      <c r="AN107" s="218">
        <v>0.96899224806201623</v>
      </c>
      <c r="AO107" s="218">
        <v>1</v>
      </c>
      <c r="AP107" s="218">
        <v>1.012500000000002</v>
      </c>
      <c r="AQ107" s="218">
        <v>0.9756097560975614</v>
      </c>
      <c r="AS107" s="218">
        <v>99</v>
      </c>
      <c r="AT107" s="218">
        <v>0.8048780487804893</v>
      </c>
      <c r="AU107" s="218">
        <v>0.97560975609756151</v>
      </c>
      <c r="AV107" s="218">
        <v>1.0333333333333357</v>
      </c>
      <c r="AW107" s="218">
        <v>0.98333333333332784</v>
      </c>
      <c r="AX107" s="218">
        <v>1.0440170940171001</v>
      </c>
    </row>
    <row r="108" spans="1:50">
      <c r="A108" s="429">
        <v>0.67841435185185184</v>
      </c>
      <c r="B108" s="218">
        <v>21.8</v>
      </c>
      <c r="C108" s="218" t="s">
        <v>314</v>
      </c>
      <c r="D108" s="218">
        <v>10.9</v>
      </c>
      <c r="E108" s="218" t="s">
        <v>315</v>
      </c>
      <c r="F108" s="218">
        <v>22.7</v>
      </c>
      <c r="G108" s="218" t="s">
        <v>316</v>
      </c>
      <c r="H108" s="218">
        <v>51</v>
      </c>
      <c r="I108" s="218">
        <f t="shared" si="1"/>
        <v>21.6</v>
      </c>
      <c r="J108" s="218">
        <f t="shared" si="2"/>
        <v>4.6296296296296294E-2</v>
      </c>
      <c r="K108" s="218">
        <f t="shared" si="3"/>
        <v>2.9647874475460662E-3</v>
      </c>
      <c r="L108" s="218">
        <f t="shared" si="4"/>
        <v>1.3000000000000007</v>
      </c>
      <c r="M108" s="218" t="s">
        <v>323</v>
      </c>
      <c r="P108" s="218">
        <v>103</v>
      </c>
      <c r="Q108" s="218">
        <v>52.100000000000009</v>
      </c>
      <c r="R108" s="218">
        <v>99</v>
      </c>
      <c r="S108" s="218">
        <v>20</v>
      </c>
      <c r="T108" s="218">
        <v>57.033333333333339</v>
      </c>
      <c r="U108" s="273">
        <v>1.7533606078316773E-2</v>
      </c>
      <c r="V108" s="218">
        <v>1.7765003399086404E-2</v>
      </c>
      <c r="W108" s="250">
        <v>3.0346008214890771E-4</v>
      </c>
      <c r="X108" s="250">
        <v>0.12590139808682857</v>
      </c>
      <c r="Z108" s="218">
        <v>100</v>
      </c>
      <c r="AA108" s="435">
        <v>0.11604120676968359</v>
      </c>
      <c r="AB108" s="435">
        <v>0.77994791666666663</v>
      </c>
      <c r="AC108" s="435">
        <v>0.79545454545454519</v>
      </c>
      <c r="AD108" s="435">
        <v>0.95238095238095266</v>
      </c>
      <c r="AE108" s="435">
        <v>0.96202531645569667</v>
      </c>
      <c r="AG108" s="218">
        <v>100</v>
      </c>
      <c r="AH108" s="218">
        <v>0.99186991869918728</v>
      </c>
      <c r="AI108" s="218">
        <v>1.0041152263374493</v>
      </c>
      <c r="AJ108" s="218">
        <v>1.0162601626016259</v>
      </c>
      <c r="AK108" s="218">
        <v>0.99224806201550408</v>
      </c>
      <c r="AL108" s="218">
        <v>1.047619047619047</v>
      </c>
      <c r="AM108" s="218">
        <v>100</v>
      </c>
      <c r="AN108" s="218">
        <v>0.97674418604651214</v>
      </c>
      <c r="AO108" s="218">
        <v>1</v>
      </c>
      <c r="AP108" s="218">
        <v>0.98750000000000238</v>
      </c>
      <c r="AQ108" s="218">
        <v>0.9756097560975614</v>
      </c>
      <c r="AS108" s="218">
        <v>100</v>
      </c>
      <c r="AT108" s="218">
        <v>0.81300813008130057</v>
      </c>
      <c r="AU108" s="218">
        <v>0.96747967479674735</v>
      </c>
      <c r="AV108" s="218">
        <v>1.0416666666666705</v>
      </c>
      <c r="AW108" s="218">
        <v>0.9749999999999962</v>
      </c>
      <c r="AX108" s="218">
        <v>1.0525641025641101</v>
      </c>
    </row>
    <row r="109" spans="1:50">
      <c r="A109" s="429">
        <v>0.67842592592592599</v>
      </c>
      <c r="B109" s="218">
        <v>21.9</v>
      </c>
      <c r="C109" s="218" t="s">
        <v>314</v>
      </c>
      <c r="D109" s="218">
        <v>11</v>
      </c>
      <c r="E109" s="218" t="s">
        <v>315</v>
      </c>
      <c r="F109" s="218">
        <v>22.7</v>
      </c>
      <c r="G109" s="218" t="s">
        <v>316</v>
      </c>
      <c r="H109" s="218">
        <v>52</v>
      </c>
      <c r="I109" s="218">
        <f t="shared" si="1"/>
        <v>21.8</v>
      </c>
      <c r="J109" s="218">
        <f t="shared" si="2"/>
        <v>4.5871559633027519E-2</v>
      </c>
      <c r="K109" s="218">
        <f t="shared" si="3"/>
        <v>3.3895241108148413E-3</v>
      </c>
      <c r="L109" s="218">
        <f t="shared" si="4"/>
        <v>1.5</v>
      </c>
      <c r="M109" s="218" t="s">
        <v>323</v>
      </c>
      <c r="P109" s="218">
        <v>104</v>
      </c>
      <c r="Q109" s="218">
        <v>51.900000000000006</v>
      </c>
      <c r="R109" s="218">
        <v>98</v>
      </c>
      <c r="S109" s="218">
        <v>20</v>
      </c>
      <c r="T109" s="218">
        <v>56.633333333333333</v>
      </c>
      <c r="U109" s="273">
        <v>1.7657445556209534E-2</v>
      </c>
      <c r="V109" s="218">
        <v>1.7595525817263154E-2</v>
      </c>
      <c r="W109" s="250">
        <v>3.0056508237057231E-4</v>
      </c>
      <c r="X109" s="250">
        <v>0.12501839587932304</v>
      </c>
      <c r="Z109" s="218">
        <v>101</v>
      </c>
      <c r="AA109" s="435">
        <v>0.11817512877115527</v>
      </c>
      <c r="AB109" s="435">
        <v>0.78385416666666663</v>
      </c>
      <c r="AC109" s="435">
        <v>0.80303030303030287</v>
      </c>
      <c r="AD109" s="435">
        <v>0.94444444444444486</v>
      </c>
      <c r="AE109" s="435">
        <v>0.96202531645569667</v>
      </c>
      <c r="AG109" s="218">
        <v>101</v>
      </c>
      <c r="AH109" s="218">
        <v>0.98373983739837434</v>
      </c>
      <c r="AI109" s="218">
        <v>1.0041152263374493</v>
      </c>
      <c r="AJ109" s="218">
        <v>1.0162601626016259</v>
      </c>
      <c r="AK109" s="218">
        <v>0.99224806201550408</v>
      </c>
      <c r="AL109" s="218">
        <v>1.047619047619047</v>
      </c>
      <c r="AM109" s="218">
        <v>101</v>
      </c>
      <c r="AN109" s="218">
        <v>0.96899224806201623</v>
      </c>
      <c r="AO109" s="218">
        <v>1</v>
      </c>
      <c r="AP109" s="218">
        <v>0.98750000000000238</v>
      </c>
      <c r="AQ109" s="218">
        <v>0.9756097560975614</v>
      </c>
      <c r="AS109" s="218">
        <v>101</v>
      </c>
      <c r="AT109" s="218">
        <v>0.82113821138211485</v>
      </c>
      <c r="AU109" s="218">
        <v>0.97560975609756151</v>
      </c>
      <c r="AV109" s="218">
        <v>1.0416666666666705</v>
      </c>
      <c r="AW109" s="218">
        <v>0.98333333333332784</v>
      </c>
      <c r="AX109" s="218">
        <v>1.0440170940171032</v>
      </c>
    </row>
    <row r="110" spans="1:50">
      <c r="A110" s="429">
        <v>0.67843749999999992</v>
      </c>
      <c r="B110" s="218">
        <v>22.2</v>
      </c>
      <c r="C110" s="218" t="s">
        <v>314</v>
      </c>
      <c r="D110" s="218">
        <v>11.1</v>
      </c>
      <c r="E110" s="218" t="s">
        <v>315</v>
      </c>
      <c r="F110" s="218">
        <v>22.7</v>
      </c>
      <c r="G110" s="218" t="s">
        <v>316</v>
      </c>
      <c r="H110" s="218">
        <v>53</v>
      </c>
      <c r="I110" s="218">
        <f t="shared" si="1"/>
        <v>21.9</v>
      </c>
      <c r="J110" s="218">
        <f t="shared" si="2"/>
        <v>4.5662100456621009E-2</v>
      </c>
      <c r="K110" s="218">
        <f t="shared" si="3"/>
        <v>3.5989832872213509E-3</v>
      </c>
      <c r="L110" s="218">
        <f t="shared" si="4"/>
        <v>1.5999999999999979</v>
      </c>
      <c r="M110" s="218" t="s">
        <v>323</v>
      </c>
      <c r="P110" s="218">
        <v>105</v>
      </c>
      <c r="Q110" s="218">
        <v>52.400000000000006</v>
      </c>
      <c r="R110" s="218">
        <v>99</v>
      </c>
      <c r="S110" s="218">
        <v>21</v>
      </c>
      <c r="T110" s="218">
        <v>57.466666666666669</v>
      </c>
      <c r="U110" s="273">
        <v>1.7401392111368909E-2</v>
      </c>
      <c r="V110" s="218">
        <v>1.7529418833789223E-2</v>
      </c>
      <c r="W110" s="250">
        <v>2.9943584922690475E-4</v>
      </c>
      <c r="X110" s="250">
        <v>0.12685798381162619</v>
      </c>
      <c r="Z110" s="218">
        <v>102</v>
      </c>
      <c r="AA110" s="435">
        <v>0.12266372332597497</v>
      </c>
      <c r="AB110" s="435">
        <v>0.79947916666666663</v>
      </c>
      <c r="AC110" s="435">
        <v>0.79545454545454541</v>
      </c>
      <c r="AD110" s="435">
        <v>0.94444444444444486</v>
      </c>
      <c r="AE110" s="435">
        <v>0.96202531645569667</v>
      </c>
      <c r="AG110" s="218">
        <v>102</v>
      </c>
      <c r="AH110" s="218">
        <v>0.97560975609756151</v>
      </c>
      <c r="AI110" s="218">
        <v>1.0041152263374493</v>
      </c>
      <c r="AJ110" s="218">
        <v>1.0243902439024393</v>
      </c>
      <c r="AK110" s="218">
        <v>0.98449612403100806</v>
      </c>
      <c r="AL110" s="218">
        <v>1.0357142857142854</v>
      </c>
      <c r="AM110" s="218">
        <v>102</v>
      </c>
      <c r="AN110" s="218">
        <v>0.96899224806201623</v>
      </c>
      <c r="AO110" s="218">
        <v>1</v>
      </c>
      <c r="AP110" s="218">
        <v>1.012500000000002</v>
      </c>
      <c r="AQ110" s="218">
        <v>0.9756097560975614</v>
      </c>
      <c r="AS110" s="218">
        <v>102</v>
      </c>
      <c r="AT110" s="218">
        <v>0.81300813008130346</v>
      </c>
      <c r="AU110" s="218">
        <v>0.99186991869918584</v>
      </c>
      <c r="AV110" s="218">
        <v>1.0416666666666705</v>
      </c>
      <c r="AW110" s="218">
        <v>0.9749999999999962</v>
      </c>
      <c r="AX110" s="218">
        <v>1.0440170940171001</v>
      </c>
    </row>
    <row r="111" spans="1:50">
      <c r="A111" s="429">
        <v>0.67844907407407407</v>
      </c>
      <c r="B111" s="218">
        <v>22.4</v>
      </c>
      <c r="C111" s="218" t="s">
        <v>314</v>
      </c>
      <c r="D111" s="218">
        <v>11.2</v>
      </c>
      <c r="E111" s="218" t="s">
        <v>315</v>
      </c>
      <c r="F111" s="218">
        <v>22.7</v>
      </c>
      <c r="G111" s="218" t="s">
        <v>316</v>
      </c>
      <c r="H111" s="218">
        <v>54</v>
      </c>
      <c r="I111" s="218">
        <f t="shared" si="1"/>
        <v>22.2</v>
      </c>
      <c r="J111" s="218">
        <f t="shared" si="2"/>
        <v>4.504504504504505E-2</v>
      </c>
      <c r="K111" s="218">
        <f t="shared" si="3"/>
        <v>4.21603869879731E-3</v>
      </c>
      <c r="L111" s="218">
        <f t="shared" si="4"/>
        <v>1.8999999999999986</v>
      </c>
      <c r="M111" s="218" t="s">
        <v>323</v>
      </c>
      <c r="P111" s="218">
        <v>106</v>
      </c>
      <c r="Q111" s="218">
        <v>52.8</v>
      </c>
      <c r="R111" s="218">
        <v>98</v>
      </c>
      <c r="S111" s="218">
        <v>21</v>
      </c>
      <c r="T111" s="218">
        <v>57.266666666666673</v>
      </c>
      <c r="U111" s="273">
        <v>1.7462165308498253E-2</v>
      </c>
      <c r="V111" s="218">
        <v>1.7431778709933579E-2</v>
      </c>
      <c r="W111" s="250">
        <v>2.9776797000725952E-4</v>
      </c>
      <c r="X111" s="250">
        <v>0.12641648270787345</v>
      </c>
      <c r="Z111" s="218">
        <v>103</v>
      </c>
      <c r="AA111" s="435">
        <v>0.12590139808682857</v>
      </c>
      <c r="AB111" s="435">
        <v>0.80208333333333337</v>
      </c>
      <c r="AC111" s="435">
        <v>0.80303030303030309</v>
      </c>
      <c r="AD111" s="435">
        <v>0.95238095238095266</v>
      </c>
      <c r="AE111" s="435">
        <v>0.96202531645569667</v>
      </c>
      <c r="AG111" s="218">
        <v>103</v>
      </c>
      <c r="AH111" s="218">
        <v>0.97560975609756151</v>
      </c>
      <c r="AI111" s="218">
        <v>0.99588477366255235</v>
      </c>
      <c r="AJ111" s="218">
        <v>1.0243902439024393</v>
      </c>
      <c r="AK111" s="218">
        <v>0.98449612403100806</v>
      </c>
      <c r="AL111" s="218">
        <v>1.0357142857142854</v>
      </c>
      <c r="AM111" s="218">
        <v>103</v>
      </c>
      <c r="AN111" s="218">
        <v>0.97674418604651214</v>
      </c>
      <c r="AO111" s="218">
        <v>1</v>
      </c>
      <c r="AP111" s="218">
        <v>1.0000000000000022</v>
      </c>
      <c r="AQ111" s="218">
        <v>0.9756097560975614</v>
      </c>
      <c r="AS111" s="218">
        <v>103</v>
      </c>
      <c r="AT111" s="218">
        <v>0.82926829268292912</v>
      </c>
      <c r="AU111" s="218">
        <v>0.97560975609756018</v>
      </c>
      <c r="AV111" s="218">
        <v>1.0500000000000036</v>
      </c>
      <c r="AW111" s="218">
        <v>0.98333333333332784</v>
      </c>
      <c r="AX111" s="218">
        <v>1.0440170940171001</v>
      </c>
    </row>
    <row r="112" spans="1:50">
      <c r="A112" s="429">
        <v>0.67846064814814822</v>
      </c>
      <c r="B112" s="218">
        <v>22.7</v>
      </c>
      <c r="C112" s="218" t="s">
        <v>314</v>
      </c>
      <c r="D112" s="218">
        <v>11.4</v>
      </c>
      <c r="E112" s="218" t="s">
        <v>315</v>
      </c>
      <c r="F112" s="218">
        <v>22.7</v>
      </c>
      <c r="G112" s="218" t="s">
        <v>316</v>
      </c>
      <c r="H112" s="218">
        <v>55</v>
      </c>
      <c r="I112" s="218">
        <f t="shared" si="1"/>
        <v>22.4</v>
      </c>
      <c r="J112" s="218">
        <f t="shared" si="2"/>
        <v>4.4642857142857144E-2</v>
      </c>
      <c r="K112" s="218">
        <f t="shared" si="3"/>
        <v>4.618226600985216E-3</v>
      </c>
      <c r="L112" s="218">
        <f t="shared" si="4"/>
        <v>2.0999999999999979</v>
      </c>
      <c r="M112" s="218" t="s">
        <v>323</v>
      </c>
      <c r="P112" s="218">
        <v>107</v>
      </c>
      <c r="Q112" s="218">
        <v>53.2</v>
      </c>
      <c r="R112" s="218">
        <v>103</v>
      </c>
      <c r="S112" s="218">
        <v>23</v>
      </c>
      <c r="T112" s="218">
        <v>59.733333333333327</v>
      </c>
      <c r="U112" s="273">
        <v>1.6741071428571432E-2</v>
      </c>
      <c r="V112" s="218">
        <v>1.7101618368534841E-2</v>
      </c>
      <c r="W112" s="250">
        <v>2.9212820275968752E-4</v>
      </c>
      <c r="X112" s="250">
        <v>0.1318616629874908</v>
      </c>
      <c r="Z112" s="218">
        <v>104</v>
      </c>
      <c r="AA112" s="435">
        <v>0.12501839587932304</v>
      </c>
      <c r="AB112" s="435">
        <v>0.81770833333333337</v>
      </c>
      <c r="AC112" s="435">
        <v>0.81060606060606066</v>
      </c>
      <c r="AD112" s="435">
        <v>0.94444444444444486</v>
      </c>
      <c r="AE112" s="435">
        <v>0.97046413502109741</v>
      </c>
      <c r="AG112" s="218">
        <v>104</v>
      </c>
      <c r="AH112" s="218">
        <v>0.98373983739837434</v>
      </c>
      <c r="AI112" s="218">
        <v>0.99588477366255079</v>
      </c>
      <c r="AJ112" s="218">
        <v>1.0081300813008136</v>
      </c>
      <c r="AK112" s="218">
        <v>0.97674418604651214</v>
      </c>
      <c r="AL112" s="218">
        <v>1.0357142857142854</v>
      </c>
      <c r="AM112" s="218">
        <v>104</v>
      </c>
      <c r="AN112" s="218">
        <v>0.96899224806201623</v>
      </c>
      <c r="AO112" s="218">
        <v>0.98780487804878081</v>
      </c>
      <c r="AP112" s="218">
        <v>0.98750000000000238</v>
      </c>
      <c r="AQ112" s="218">
        <v>0.9756097560975614</v>
      </c>
      <c r="AS112" s="218">
        <v>104</v>
      </c>
      <c r="AT112" s="218">
        <v>0.83739837398374051</v>
      </c>
      <c r="AU112" s="218">
        <v>0.96747967479674735</v>
      </c>
      <c r="AV112" s="218">
        <v>1.0500000000000036</v>
      </c>
      <c r="AW112" s="218">
        <v>0.98333333333332784</v>
      </c>
      <c r="AX112" s="218">
        <v>1.0000000000000091</v>
      </c>
    </row>
    <row r="113" spans="1:50">
      <c r="A113" s="429">
        <v>0.67847222222222225</v>
      </c>
      <c r="B113" s="218">
        <v>23.1</v>
      </c>
      <c r="C113" s="218" t="s">
        <v>314</v>
      </c>
      <c r="D113" s="218">
        <v>11.6</v>
      </c>
      <c r="E113" s="218" t="s">
        <v>315</v>
      </c>
      <c r="F113" s="218">
        <v>22.7</v>
      </c>
      <c r="G113" s="218" t="s">
        <v>316</v>
      </c>
      <c r="H113" s="218">
        <v>56</v>
      </c>
      <c r="I113" s="218">
        <f t="shared" si="1"/>
        <v>22.7</v>
      </c>
      <c r="J113" s="218">
        <f t="shared" si="2"/>
        <v>4.405286343612335E-2</v>
      </c>
      <c r="K113" s="218">
        <f t="shared" si="3"/>
        <v>5.2082203077190095E-3</v>
      </c>
      <c r="L113" s="218">
        <f t="shared" si="4"/>
        <v>2.3999999999999986</v>
      </c>
      <c r="M113" s="218" t="s">
        <v>323</v>
      </c>
      <c r="P113" s="218">
        <v>108</v>
      </c>
      <c r="Q113" s="218">
        <v>53.2</v>
      </c>
      <c r="R113" s="218">
        <v>101</v>
      </c>
      <c r="S113" s="218">
        <v>23</v>
      </c>
      <c r="T113" s="218">
        <v>59.066666666666663</v>
      </c>
      <c r="U113" s="273">
        <v>1.6930022573363433E-2</v>
      </c>
      <c r="V113" s="218">
        <v>1.6835547000967434E-2</v>
      </c>
      <c r="W113" s="250">
        <v>2.8758319720885103E-4</v>
      </c>
      <c r="X113" s="250">
        <v>0.13038999264164827</v>
      </c>
      <c r="Z113" s="218">
        <v>105</v>
      </c>
      <c r="AA113" s="435">
        <v>0.12685798381162619</v>
      </c>
      <c r="AB113" s="435">
        <v>0.81770833333333337</v>
      </c>
      <c r="AC113" s="435">
        <v>0.81060606060606066</v>
      </c>
      <c r="AD113" s="435">
        <v>0.94444444444444486</v>
      </c>
      <c r="AE113" s="435">
        <v>0.97046413502109741</v>
      </c>
      <c r="AG113" s="218">
        <v>105</v>
      </c>
      <c r="AH113" s="218">
        <v>0.98373983739837434</v>
      </c>
      <c r="AI113" s="218">
        <v>1.0041152263374493</v>
      </c>
      <c r="AJ113" s="218">
        <v>1.0243902439024393</v>
      </c>
      <c r="AK113" s="218">
        <v>0.97674418604651148</v>
      </c>
      <c r="AL113" s="218">
        <v>1.0238095238095237</v>
      </c>
      <c r="AM113" s="218">
        <v>105</v>
      </c>
      <c r="AN113" s="218">
        <v>0.96899224806201623</v>
      </c>
      <c r="AO113" s="218">
        <v>1</v>
      </c>
      <c r="AP113" s="218">
        <v>1.012500000000002</v>
      </c>
      <c r="AQ113" s="218">
        <v>1</v>
      </c>
      <c r="AS113" s="218">
        <v>105</v>
      </c>
      <c r="AT113" s="218">
        <v>0.83739837398374051</v>
      </c>
      <c r="AU113" s="218">
        <v>0.97560975609755873</v>
      </c>
      <c r="AV113" s="218">
        <v>1.0416666666666705</v>
      </c>
      <c r="AW113" s="218">
        <v>0.9749999999999962</v>
      </c>
      <c r="AX113" s="218">
        <v>1.0128205128205194</v>
      </c>
    </row>
    <row r="114" spans="1:50">
      <c r="A114" s="429">
        <v>0.67848379629629629</v>
      </c>
      <c r="B114" s="218">
        <v>23.6</v>
      </c>
      <c r="C114" s="218" t="s">
        <v>314</v>
      </c>
      <c r="D114" s="218">
        <v>11.8</v>
      </c>
      <c r="E114" s="218" t="s">
        <v>315</v>
      </c>
      <c r="F114" s="218">
        <v>22.7</v>
      </c>
      <c r="G114" s="218" t="s">
        <v>316</v>
      </c>
      <c r="H114" s="218">
        <v>57</v>
      </c>
      <c r="I114" s="218">
        <f t="shared" si="1"/>
        <v>23.1</v>
      </c>
      <c r="J114" s="218">
        <f t="shared" si="2"/>
        <v>4.3290043290043288E-2</v>
      </c>
      <c r="K114" s="218">
        <f t="shared" si="3"/>
        <v>5.9710404537990716E-3</v>
      </c>
      <c r="L114" s="218">
        <f t="shared" si="4"/>
        <v>2.8000000000000007</v>
      </c>
      <c r="M114" s="218" t="s">
        <v>323</v>
      </c>
      <c r="P114" s="218">
        <v>109</v>
      </c>
      <c r="Q114" s="218">
        <v>53.900000000000006</v>
      </c>
      <c r="R114" s="218">
        <v>105</v>
      </c>
      <c r="S114" s="218">
        <v>25</v>
      </c>
      <c r="T114" s="218">
        <v>61.300000000000004</v>
      </c>
      <c r="U114" s="273">
        <v>1.6313213703099509E-2</v>
      </c>
      <c r="V114" s="218">
        <v>1.6621618138231473E-2</v>
      </c>
      <c r="W114" s="250">
        <v>2.8392888491847365E-4</v>
      </c>
      <c r="X114" s="250">
        <v>0.13532008830022077</v>
      </c>
      <c r="Z114" s="218">
        <v>106</v>
      </c>
      <c r="AA114" s="435">
        <v>0.12641648270787345</v>
      </c>
      <c r="AB114" s="435">
        <v>0.82161458333333337</v>
      </c>
      <c r="AC114" s="435">
        <v>0.81060606060606066</v>
      </c>
      <c r="AD114" s="435">
        <v>0.96031746031746035</v>
      </c>
      <c r="AE114" s="435">
        <v>0.96202531645569667</v>
      </c>
      <c r="AG114" s="218">
        <v>106</v>
      </c>
      <c r="AH114" s="218">
        <v>0.98373983739837434</v>
      </c>
      <c r="AI114" s="218">
        <v>0.99588477366255079</v>
      </c>
      <c r="AJ114" s="218">
        <v>1.0243902439024393</v>
      </c>
      <c r="AK114" s="218">
        <v>0.98449612403100806</v>
      </c>
      <c r="AL114" s="218">
        <v>1.0357142857142854</v>
      </c>
      <c r="AM114" s="218">
        <v>106</v>
      </c>
      <c r="AN114" s="218">
        <v>0.97674418604651214</v>
      </c>
      <c r="AO114" s="218">
        <v>1</v>
      </c>
      <c r="AP114" s="218">
        <v>1.012500000000002</v>
      </c>
      <c r="AQ114" s="218">
        <v>1</v>
      </c>
      <c r="AS114" s="218">
        <v>106</v>
      </c>
      <c r="AT114" s="218">
        <v>0.83739837398374051</v>
      </c>
      <c r="AU114" s="218">
        <v>0.98373983739837301</v>
      </c>
      <c r="AV114" s="218">
        <v>1.0375000000000039</v>
      </c>
      <c r="AW114" s="218">
        <v>0.98333333333332784</v>
      </c>
      <c r="AX114" s="218">
        <v>0.98717948717949411</v>
      </c>
    </row>
    <row r="115" spans="1:50">
      <c r="A115" s="429">
        <v>0.67849537037037033</v>
      </c>
      <c r="B115" s="218">
        <v>23.8</v>
      </c>
      <c r="C115" s="218" t="s">
        <v>314</v>
      </c>
      <c r="D115" s="218">
        <v>11.9</v>
      </c>
      <c r="E115" s="218" t="s">
        <v>315</v>
      </c>
      <c r="F115" s="218">
        <v>22.7</v>
      </c>
      <c r="G115" s="218" t="s">
        <v>316</v>
      </c>
      <c r="H115" s="218">
        <v>58</v>
      </c>
      <c r="I115" s="218">
        <f t="shared" si="1"/>
        <v>23.6</v>
      </c>
      <c r="J115" s="218">
        <f t="shared" si="2"/>
        <v>4.2372881355932202E-2</v>
      </c>
      <c r="K115" s="218">
        <f t="shared" si="3"/>
        <v>6.8882023879101584E-3</v>
      </c>
      <c r="L115" s="218">
        <f t="shared" si="4"/>
        <v>3.3000000000000007</v>
      </c>
      <c r="M115" s="218" t="s">
        <v>323</v>
      </c>
      <c r="P115" s="218">
        <v>110</v>
      </c>
      <c r="Q115" s="218">
        <v>58.100000000000009</v>
      </c>
      <c r="R115" s="218">
        <v>105</v>
      </c>
      <c r="S115" s="218">
        <v>25</v>
      </c>
      <c r="T115" s="218">
        <v>62.70000000000001</v>
      </c>
      <c r="U115" s="273">
        <v>1.5948963317384369E-2</v>
      </c>
      <c r="V115" s="218">
        <v>1.6131088510241941E-2</v>
      </c>
      <c r="W115" s="250">
        <v>2.755497049170878E-4</v>
      </c>
      <c r="X115" s="250">
        <v>0.13841059602649008</v>
      </c>
      <c r="Z115" s="218">
        <v>107</v>
      </c>
      <c r="AA115" s="435">
        <v>0.1318616629874908</v>
      </c>
      <c r="AB115" s="435">
        <v>0.82161458333333337</v>
      </c>
      <c r="AC115" s="435">
        <v>0.81060606060606066</v>
      </c>
      <c r="AD115" s="435">
        <v>0.96031746031746035</v>
      </c>
      <c r="AE115" s="435">
        <v>0.97046413502109741</v>
      </c>
      <c r="AG115" s="218">
        <v>107</v>
      </c>
      <c r="AH115" s="218">
        <v>0.99186991869918728</v>
      </c>
      <c r="AI115" s="218">
        <v>1.0041152263374493</v>
      </c>
      <c r="AJ115" s="218">
        <v>1.0162601626016259</v>
      </c>
      <c r="AK115" s="218">
        <v>0.97674418604651148</v>
      </c>
      <c r="AL115" s="218">
        <v>1.0357142857142854</v>
      </c>
      <c r="AM115" s="218">
        <v>107</v>
      </c>
      <c r="AN115" s="218">
        <v>0.96899224806201623</v>
      </c>
      <c r="AO115" s="218">
        <v>0.98780487804878081</v>
      </c>
      <c r="AP115" s="218">
        <v>1.0000000000000022</v>
      </c>
      <c r="AQ115" s="218">
        <v>1</v>
      </c>
      <c r="AS115" s="218">
        <v>107</v>
      </c>
      <c r="AT115" s="218">
        <v>0.84552845528455478</v>
      </c>
      <c r="AU115" s="218">
        <v>0.98373983739837301</v>
      </c>
      <c r="AV115" s="218">
        <v>1.0375000000000039</v>
      </c>
      <c r="AW115" s="218">
        <v>0.98333333333332784</v>
      </c>
      <c r="AX115" s="218">
        <v>1.0000000000000091</v>
      </c>
    </row>
    <row r="116" spans="1:50">
      <c r="A116" s="429">
        <v>0.67850694444444448</v>
      </c>
      <c r="B116" s="218">
        <v>24</v>
      </c>
      <c r="C116" s="218" t="s">
        <v>314</v>
      </c>
      <c r="D116" s="218">
        <v>12</v>
      </c>
      <c r="E116" s="218" t="s">
        <v>315</v>
      </c>
      <c r="F116" s="218">
        <v>22.7</v>
      </c>
      <c r="G116" s="218" t="s">
        <v>316</v>
      </c>
      <c r="H116" s="218">
        <v>59</v>
      </c>
      <c r="I116" s="218">
        <f t="shared" si="1"/>
        <v>23.8</v>
      </c>
      <c r="J116" s="218">
        <f t="shared" si="2"/>
        <v>4.2016806722689072E-2</v>
      </c>
      <c r="K116" s="218">
        <f t="shared" si="3"/>
        <v>7.2442770211532878E-3</v>
      </c>
      <c r="L116" s="218">
        <f t="shared" si="4"/>
        <v>3.5</v>
      </c>
      <c r="M116" s="218" t="s">
        <v>323</v>
      </c>
      <c r="P116" s="218">
        <v>111</v>
      </c>
      <c r="Q116" s="218">
        <v>57.7</v>
      </c>
      <c r="R116" s="218">
        <v>109</v>
      </c>
      <c r="S116" s="218">
        <v>29</v>
      </c>
      <c r="T116" s="218">
        <v>65.233333333333334</v>
      </c>
      <c r="U116" s="273">
        <v>1.5329586101175269E-2</v>
      </c>
      <c r="V116" s="218">
        <v>1.5639274709279817E-2</v>
      </c>
      <c r="W116" s="250">
        <v>2.6714858879629897E-4</v>
      </c>
      <c r="X116" s="250">
        <v>0.14400294334069169</v>
      </c>
      <c r="Z116" s="218">
        <v>108</v>
      </c>
      <c r="AA116" s="435">
        <v>0.13038999264164827</v>
      </c>
      <c r="AB116" s="435">
        <v>0.82552083333333337</v>
      </c>
      <c r="AC116" s="435">
        <v>0.81060606060606066</v>
      </c>
      <c r="AD116" s="435">
        <v>0.96031746031746035</v>
      </c>
      <c r="AE116" s="435">
        <v>0.97890295358649804</v>
      </c>
      <c r="AG116" s="218">
        <v>108</v>
      </c>
      <c r="AH116" s="218">
        <v>0.99186991869918728</v>
      </c>
      <c r="AI116" s="218">
        <v>1.0205761316872433</v>
      </c>
      <c r="AJ116" s="218">
        <v>1.0081300813008127</v>
      </c>
      <c r="AK116" s="218">
        <v>0.97674418604651148</v>
      </c>
      <c r="AL116" s="218">
        <v>1.0238095238095237</v>
      </c>
      <c r="AM116" s="218">
        <v>108</v>
      </c>
      <c r="AN116" s="218">
        <v>0.96899224806201623</v>
      </c>
      <c r="AO116" s="218">
        <v>0.98780487804878081</v>
      </c>
      <c r="AP116" s="218">
        <v>1</v>
      </c>
      <c r="AQ116" s="218">
        <v>1</v>
      </c>
      <c r="AS116" s="218">
        <v>108</v>
      </c>
      <c r="AT116" s="218">
        <v>0.85365853658536617</v>
      </c>
      <c r="AU116" s="218">
        <v>0.97560975609755873</v>
      </c>
      <c r="AV116" s="218">
        <v>1.0375000000000039</v>
      </c>
      <c r="AW116" s="218">
        <v>0.97499999999999321</v>
      </c>
      <c r="AX116" s="218">
        <v>1.0000000000000091</v>
      </c>
    </row>
    <row r="117" spans="1:50">
      <c r="A117" s="429">
        <v>0.67851851851851841</v>
      </c>
      <c r="B117" s="218">
        <v>24.5</v>
      </c>
      <c r="C117" s="218" t="s">
        <v>314</v>
      </c>
      <c r="D117" s="218">
        <v>12.3</v>
      </c>
      <c r="E117" s="218" t="s">
        <v>315</v>
      </c>
      <c r="F117" s="218">
        <v>22.7</v>
      </c>
      <c r="G117" s="218" t="s">
        <v>316</v>
      </c>
      <c r="H117" s="218">
        <v>60</v>
      </c>
      <c r="I117" s="218">
        <f t="shared" si="1"/>
        <v>24</v>
      </c>
      <c r="J117" s="218">
        <f t="shared" si="2"/>
        <v>4.1666666666666664E-2</v>
      </c>
      <c r="K117" s="218">
        <f t="shared" si="3"/>
        <v>7.5944170771756955E-3</v>
      </c>
      <c r="L117" s="218">
        <f t="shared" si="4"/>
        <v>3.6999999999999993</v>
      </c>
      <c r="M117" s="218" t="s">
        <v>323</v>
      </c>
      <c r="P117" s="218">
        <v>112</v>
      </c>
      <c r="Q117" s="218">
        <v>58.3</v>
      </c>
      <c r="R117" s="218">
        <v>109</v>
      </c>
      <c r="S117" s="218">
        <v>29</v>
      </c>
      <c r="T117" s="218">
        <v>65.433333333333337</v>
      </c>
      <c r="U117" s="273">
        <v>1.5282730514518592E-2</v>
      </c>
      <c r="V117" s="218">
        <v>1.5306158307846931E-2</v>
      </c>
      <c r="W117" s="250">
        <v>2.6145832641508431E-4</v>
      </c>
      <c r="X117" s="250">
        <v>0.14444444444444446</v>
      </c>
      <c r="Z117" s="218">
        <v>109</v>
      </c>
      <c r="AA117" s="435">
        <v>0.13532008830022077</v>
      </c>
      <c r="AB117" s="435">
        <v>0.828125</v>
      </c>
      <c r="AC117" s="435">
        <v>0.81818181818181801</v>
      </c>
      <c r="AD117" s="435">
        <v>0.96031746031746035</v>
      </c>
      <c r="AE117" s="435">
        <v>0.97046413502109741</v>
      </c>
      <c r="AG117" s="218">
        <v>109</v>
      </c>
      <c r="AH117" s="218">
        <v>0.97560975609756151</v>
      </c>
      <c r="AI117" s="218">
        <v>1.0041152263374493</v>
      </c>
      <c r="AJ117" s="218">
        <v>1.0162601626016259</v>
      </c>
      <c r="AK117" s="218">
        <v>0.98449612403100806</v>
      </c>
      <c r="AL117" s="218">
        <v>1.0238095238095237</v>
      </c>
      <c r="AM117" s="218">
        <v>109</v>
      </c>
      <c r="AN117" s="218">
        <v>0.97674418604651214</v>
      </c>
      <c r="AO117" s="218">
        <v>0.98780487804878081</v>
      </c>
      <c r="AP117" s="218">
        <v>1.0249999999999995</v>
      </c>
      <c r="AQ117" s="218">
        <v>1</v>
      </c>
      <c r="AS117" s="218">
        <v>109</v>
      </c>
      <c r="AT117" s="218">
        <v>0.85365853658536617</v>
      </c>
      <c r="AU117" s="218">
        <v>0.98373983739837301</v>
      </c>
      <c r="AV117" s="218">
        <v>1.0250000000000017</v>
      </c>
      <c r="AW117" s="218">
        <v>0.9749999999999962</v>
      </c>
      <c r="AX117" s="218">
        <v>1.0000000000000044</v>
      </c>
    </row>
    <row r="118" spans="1:50">
      <c r="A118" s="429">
        <v>0.67853009259259256</v>
      </c>
      <c r="B118" s="218">
        <v>24.7</v>
      </c>
      <c r="C118" s="218" t="s">
        <v>314</v>
      </c>
      <c r="D118" s="218">
        <v>12.4</v>
      </c>
      <c r="E118" s="218" t="s">
        <v>315</v>
      </c>
      <c r="F118" s="218">
        <v>22.7</v>
      </c>
      <c r="G118" s="218" t="s">
        <v>316</v>
      </c>
      <c r="H118" s="218">
        <v>61</v>
      </c>
      <c r="I118" s="218">
        <f t="shared" si="1"/>
        <v>24.5</v>
      </c>
      <c r="J118" s="218">
        <f t="shared" si="2"/>
        <v>4.0816326530612242E-2</v>
      </c>
      <c r="K118" s="218">
        <f t="shared" si="3"/>
        <v>8.4447572132301182E-3</v>
      </c>
      <c r="L118" s="218">
        <f t="shared" si="4"/>
        <v>4.1999999999999993</v>
      </c>
      <c r="M118" s="218" t="s">
        <v>323</v>
      </c>
      <c r="P118" s="218">
        <v>113</v>
      </c>
      <c r="Q118" s="218">
        <v>63.600000000000009</v>
      </c>
      <c r="R118" s="218">
        <v>112</v>
      </c>
      <c r="S118" s="218">
        <v>28</v>
      </c>
      <c r="T118" s="218">
        <v>67.866666666666674</v>
      </c>
      <c r="U118" s="273">
        <v>1.4734774066797641E-2</v>
      </c>
      <c r="V118" s="218">
        <v>1.5008752290658116E-2</v>
      </c>
      <c r="W118" s="250">
        <v>2.5637806538837725E-4</v>
      </c>
      <c r="X118" s="250">
        <v>0.1498160412067697</v>
      </c>
      <c r="Z118" s="218">
        <v>110</v>
      </c>
      <c r="AA118" s="435">
        <v>0.13841059602649008</v>
      </c>
      <c r="AB118" s="435">
        <v>0.828125</v>
      </c>
      <c r="AC118" s="435">
        <v>0.83333333333333348</v>
      </c>
      <c r="AD118" s="435">
        <v>0.96031746031746035</v>
      </c>
      <c r="AE118" s="435">
        <v>0.97046413502109741</v>
      </c>
      <c r="AG118" s="218">
        <v>110</v>
      </c>
      <c r="AH118" s="218">
        <v>0.97560975609756151</v>
      </c>
      <c r="AI118" s="218">
        <v>1.0123456790123462</v>
      </c>
      <c r="AJ118" s="218">
        <v>1.0243902439024393</v>
      </c>
      <c r="AK118" s="218">
        <v>0.98449612403100806</v>
      </c>
      <c r="AL118" s="218">
        <v>1.0238095238095237</v>
      </c>
      <c r="AM118" s="218">
        <v>110</v>
      </c>
      <c r="AN118" s="218">
        <v>0.97674418604651214</v>
      </c>
      <c r="AO118" s="218">
        <v>0.98780487804878081</v>
      </c>
      <c r="AP118" s="218">
        <v>1</v>
      </c>
      <c r="AQ118" s="218">
        <v>1</v>
      </c>
      <c r="AS118" s="218">
        <v>110</v>
      </c>
      <c r="AT118" s="218">
        <v>0.85365853658536617</v>
      </c>
      <c r="AU118" s="218">
        <v>0.98373983739837434</v>
      </c>
      <c r="AV118" s="218">
        <v>1.0250000000000017</v>
      </c>
      <c r="AW118" s="218">
        <v>0.98333333333332784</v>
      </c>
      <c r="AX118" s="218">
        <v>1</v>
      </c>
    </row>
    <row r="119" spans="1:50">
      <c r="A119" s="429">
        <v>0.67854166666666671</v>
      </c>
      <c r="B119" s="218">
        <v>25.2</v>
      </c>
      <c r="C119" s="218" t="s">
        <v>314</v>
      </c>
      <c r="D119" s="218">
        <v>12.6</v>
      </c>
      <c r="E119" s="218" t="s">
        <v>315</v>
      </c>
      <c r="F119" s="218">
        <v>22.7</v>
      </c>
      <c r="G119" s="218" t="s">
        <v>316</v>
      </c>
      <c r="H119" s="218">
        <v>62</v>
      </c>
      <c r="I119" s="218">
        <f t="shared" si="1"/>
        <v>24.7</v>
      </c>
      <c r="J119" s="218">
        <f t="shared" si="2"/>
        <v>4.048582995951417E-2</v>
      </c>
      <c r="K119" s="218">
        <f t="shared" si="3"/>
        <v>8.7752537843281894E-3</v>
      </c>
      <c r="L119" s="218">
        <f t="shared" si="4"/>
        <v>4.3999999999999986</v>
      </c>
      <c r="M119" s="218" t="s">
        <v>323</v>
      </c>
      <c r="P119" s="218">
        <v>114</v>
      </c>
      <c r="Q119" s="218">
        <v>63.8</v>
      </c>
      <c r="R119" s="218">
        <v>112</v>
      </c>
      <c r="S119" s="218">
        <v>28</v>
      </c>
      <c r="T119" s="218">
        <v>67.933333333333337</v>
      </c>
      <c r="U119" s="273">
        <v>1.4720314033366044E-2</v>
      </c>
      <c r="V119" s="218">
        <v>1.4727544050081844E-2</v>
      </c>
      <c r="W119" s="250">
        <v>2.5157449322634693E-4</v>
      </c>
      <c r="X119" s="250">
        <v>0.14996320824135395</v>
      </c>
      <c r="Z119" s="218">
        <v>111</v>
      </c>
      <c r="AA119" s="435">
        <v>0.14400294334069169</v>
      </c>
      <c r="AB119" s="435">
        <v>0.84635416666666663</v>
      </c>
      <c r="AC119" s="435">
        <v>0.81818181818181801</v>
      </c>
      <c r="AD119" s="435">
        <v>0.95238095238095266</v>
      </c>
      <c r="AE119" s="435">
        <v>0.97046413502109741</v>
      </c>
      <c r="AG119" s="218">
        <v>111</v>
      </c>
      <c r="AH119" s="218">
        <v>0.97560975609756151</v>
      </c>
      <c r="AI119" s="218">
        <v>1.0041152263374493</v>
      </c>
      <c r="AJ119" s="218">
        <v>1.0243902439024393</v>
      </c>
      <c r="AK119" s="218">
        <v>0.98449612403100806</v>
      </c>
      <c r="AL119" s="218">
        <v>1.0238095238095237</v>
      </c>
      <c r="AM119" s="218">
        <v>111</v>
      </c>
      <c r="AN119" s="218">
        <v>0.97674418604651214</v>
      </c>
      <c r="AO119" s="218">
        <v>0.98780487804878081</v>
      </c>
      <c r="AP119" s="218">
        <v>1</v>
      </c>
      <c r="AQ119" s="218">
        <v>1</v>
      </c>
      <c r="AS119" s="218">
        <v>111</v>
      </c>
      <c r="AT119" s="218">
        <v>0.86178861788618055</v>
      </c>
      <c r="AU119" s="218">
        <v>0.98373983739837156</v>
      </c>
      <c r="AV119" s="218">
        <v>1.0250000000000017</v>
      </c>
      <c r="AW119" s="218">
        <v>0.97499999999999321</v>
      </c>
      <c r="AX119" s="218">
        <f>AX118</f>
        <v>1</v>
      </c>
    </row>
    <row r="120" spans="1:50">
      <c r="A120" s="429">
        <v>0.67855324074074075</v>
      </c>
      <c r="B120" s="218">
        <v>26</v>
      </c>
      <c r="C120" s="218" t="s">
        <v>314</v>
      </c>
      <c r="D120" s="218">
        <v>13</v>
      </c>
      <c r="E120" s="218" t="s">
        <v>315</v>
      </c>
      <c r="F120" s="218">
        <v>22.7</v>
      </c>
      <c r="G120" s="218" t="s">
        <v>316</v>
      </c>
      <c r="H120" s="218">
        <v>63</v>
      </c>
      <c r="I120" s="218">
        <f t="shared" si="1"/>
        <v>25.2</v>
      </c>
      <c r="J120" s="218">
        <f t="shared" si="2"/>
        <v>3.968253968253968E-2</v>
      </c>
      <c r="K120" s="218">
        <f t="shared" si="3"/>
        <v>9.5785440613026795E-3</v>
      </c>
      <c r="L120" s="218">
        <f t="shared" si="4"/>
        <v>4.8999999999999986</v>
      </c>
      <c r="M120" s="218" t="s">
        <v>323</v>
      </c>
      <c r="P120" s="218">
        <v>115</v>
      </c>
      <c r="Q120" s="218">
        <v>63.600000000000009</v>
      </c>
      <c r="R120" s="218">
        <v>115</v>
      </c>
      <c r="S120" s="218">
        <v>29</v>
      </c>
      <c r="T120" s="218">
        <v>69.2</v>
      </c>
      <c r="U120" s="273">
        <v>1.4450867052023121E-2</v>
      </c>
      <c r="V120" s="218">
        <v>1.4585590542694583E-2</v>
      </c>
      <c r="W120" s="250">
        <v>2.491496570444817E-4</v>
      </c>
      <c r="X120" s="250">
        <v>0.15275938189845475</v>
      </c>
      <c r="Z120" s="218">
        <v>112</v>
      </c>
      <c r="AA120" s="435">
        <v>0.14444444444444446</v>
      </c>
      <c r="AB120" s="435">
        <v>0.84635416666666663</v>
      </c>
      <c r="AC120" s="435">
        <v>0.81818181818181801</v>
      </c>
      <c r="AD120" s="435">
        <v>0.95238095238095266</v>
      </c>
      <c r="AE120" s="435">
        <v>0.97890295358649804</v>
      </c>
      <c r="AG120" s="218">
        <v>112</v>
      </c>
      <c r="AH120" s="218">
        <v>0.97560975609756151</v>
      </c>
      <c r="AI120" s="218">
        <v>1.0123456790123462</v>
      </c>
      <c r="AJ120" s="218">
        <v>1.0243902439024393</v>
      </c>
      <c r="AK120" s="218">
        <v>0.98449612403100806</v>
      </c>
      <c r="AL120" s="218">
        <v>1.0238095238095237</v>
      </c>
      <c r="AM120" s="218">
        <v>112</v>
      </c>
      <c r="AN120" s="218">
        <v>0.99224806201550408</v>
      </c>
      <c r="AO120" s="218">
        <v>0.98780487804878081</v>
      </c>
      <c r="AP120" s="218">
        <v>1</v>
      </c>
      <c r="AS120" s="218">
        <v>112</v>
      </c>
      <c r="AT120" s="218">
        <v>0.86178861788618055</v>
      </c>
      <c r="AU120" s="218">
        <v>0.98373983739837301</v>
      </c>
      <c r="AV120" s="218">
        <v>1.0375000000000039</v>
      </c>
      <c r="AW120" s="218">
        <v>0.98333333333332784</v>
      </c>
      <c r="AX120" s="218">
        <v>1</v>
      </c>
    </row>
    <row r="121" spans="1:50">
      <c r="A121" s="429">
        <v>0.67856481481481479</v>
      </c>
      <c r="B121" s="218">
        <v>26.9</v>
      </c>
      <c r="C121" s="218" t="s">
        <v>314</v>
      </c>
      <c r="D121" s="218">
        <v>13.5</v>
      </c>
      <c r="E121" s="218" t="s">
        <v>315</v>
      </c>
      <c r="F121" s="218">
        <v>22.7</v>
      </c>
      <c r="G121" s="218" t="s">
        <v>316</v>
      </c>
      <c r="H121" s="218">
        <v>64</v>
      </c>
      <c r="I121" s="218">
        <f t="shared" si="1"/>
        <v>26</v>
      </c>
      <c r="J121" s="218">
        <f t="shared" si="2"/>
        <v>3.8461538461538464E-2</v>
      </c>
      <c r="K121" s="218">
        <f t="shared" si="3"/>
        <v>1.0799545282303896E-2</v>
      </c>
      <c r="L121" s="218">
        <f t="shared" si="4"/>
        <v>5.6999999999999993</v>
      </c>
      <c r="M121" s="218" t="s">
        <v>323</v>
      </c>
      <c r="P121" s="218">
        <v>116</v>
      </c>
      <c r="Q121" s="218">
        <v>67.3</v>
      </c>
      <c r="R121" s="218">
        <v>116</v>
      </c>
      <c r="S121" s="218">
        <v>29</v>
      </c>
      <c r="T121" s="218">
        <v>70.766666666666666</v>
      </c>
      <c r="U121" s="273">
        <v>1.4130946773433821E-2</v>
      </c>
      <c r="V121" s="218">
        <v>1.4290906912728472E-2</v>
      </c>
      <c r="W121" s="250">
        <v>2.4411589957489105E-4</v>
      </c>
      <c r="X121" s="250">
        <v>0.15621780721118469</v>
      </c>
      <c r="Z121" s="218">
        <v>113</v>
      </c>
      <c r="AA121" s="435">
        <v>0.1498160412067697</v>
      </c>
      <c r="AB121" s="435">
        <v>0.84765625</v>
      </c>
      <c r="AC121" s="435">
        <v>0.81818181818181801</v>
      </c>
      <c r="AD121" s="435">
        <v>0.95238095238095266</v>
      </c>
      <c r="AE121" s="435">
        <v>0.97046413502109741</v>
      </c>
      <c r="AG121" s="218">
        <v>113</v>
      </c>
      <c r="AH121" s="218">
        <v>0.98373983739837434</v>
      </c>
      <c r="AI121" s="218">
        <v>1.0041152263374493</v>
      </c>
      <c r="AJ121" s="218">
        <v>1.0081300813008127</v>
      </c>
      <c r="AK121" s="218">
        <v>0.98449612403100739</v>
      </c>
      <c r="AL121" s="218">
        <v>1.0357142857142854</v>
      </c>
      <c r="AM121" s="218">
        <v>113</v>
      </c>
      <c r="AN121" s="218">
        <v>0.97674418604651214</v>
      </c>
      <c r="AO121" s="218">
        <v>1.0121951219512193</v>
      </c>
      <c r="AS121" s="218">
        <v>113</v>
      </c>
      <c r="AT121" s="218">
        <v>0.86991869918699183</v>
      </c>
      <c r="AU121" s="218">
        <v>0.98373983739837301</v>
      </c>
      <c r="AV121" s="218">
        <v>1.0375000000000039</v>
      </c>
      <c r="AW121" s="218">
        <v>0.98333333333332784</v>
      </c>
      <c r="AX121" s="218">
        <v>1</v>
      </c>
    </row>
    <row r="122" spans="1:50">
      <c r="A122" s="429">
        <v>0.67857638888888883</v>
      </c>
      <c r="B122" s="218">
        <v>27.3</v>
      </c>
      <c r="C122" s="218" t="s">
        <v>314</v>
      </c>
      <c r="D122" s="218">
        <v>13.7</v>
      </c>
      <c r="E122" s="218" t="s">
        <v>315</v>
      </c>
      <c r="F122" s="218">
        <v>22.7</v>
      </c>
      <c r="G122" s="218" t="s">
        <v>316</v>
      </c>
      <c r="H122" s="218">
        <v>65</v>
      </c>
      <c r="I122" s="218">
        <f t="shared" ref="I122:I185" si="5">B121</f>
        <v>26.9</v>
      </c>
      <c r="J122" s="218">
        <f t="shared" ref="J122:J185" si="6">1/I122</f>
        <v>3.717472118959108E-2</v>
      </c>
      <c r="K122" s="218">
        <f t="shared" ref="K122:K185" si="7">$J$57-J122</f>
        <v>1.208636255425128E-2</v>
      </c>
      <c r="L122" s="218">
        <f t="shared" ref="L122:L185" si="8">(B121-$J$55)</f>
        <v>6.5999999999999979</v>
      </c>
      <c r="M122" s="218" t="s">
        <v>323</v>
      </c>
      <c r="P122" s="218">
        <v>117</v>
      </c>
      <c r="Q122" s="218">
        <v>67.400000000000006</v>
      </c>
      <c r="R122" s="218">
        <v>118</v>
      </c>
      <c r="S122" s="218">
        <v>29</v>
      </c>
      <c r="T122" s="218">
        <v>71.466666666666669</v>
      </c>
      <c r="U122" s="273">
        <v>1.3992537313432836E-2</v>
      </c>
      <c r="V122" s="218">
        <v>1.4061742043433328E-2</v>
      </c>
      <c r="W122" s="250">
        <v>2.4020132728353285E-4</v>
      </c>
      <c r="X122" s="250">
        <v>0.15776306107431937</v>
      </c>
      <c r="Z122" s="218">
        <v>114</v>
      </c>
      <c r="AA122" s="435">
        <v>0.14996320824135395</v>
      </c>
      <c r="AB122" s="435">
        <v>0.85026041666666663</v>
      </c>
      <c r="AC122" s="435">
        <v>0.82575757575757547</v>
      </c>
      <c r="AD122" s="435">
        <v>0.94444444444444486</v>
      </c>
      <c r="AE122" s="435">
        <v>0.974683544303798</v>
      </c>
      <c r="AG122" s="218">
        <v>114</v>
      </c>
      <c r="AH122" s="218">
        <v>0.99186991869918728</v>
      </c>
      <c r="AI122" s="218">
        <v>0.99588477366255079</v>
      </c>
      <c r="AJ122" s="218">
        <v>1.0162601626016259</v>
      </c>
      <c r="AK122" s="218">
        <v>0.98449612403100739</v>
      </c>
      <c r="AL122" s="218">
        <v>1.0357142857142854</v>
      </c>
      <c r="AM122" s="218">
        <v>114</v>
      </c>
      <c r="AN122" s="218">
        <v>0.97674418604651214</v>
      </c>
      <c r="AO122" s="218">
        <v>1.0121951219512193</v>
      </c>
      <c r="AS122" s="218">
        <v>114</v>
      </c>
      <c r="AT122" s="218">
        <v>0.86991869918699183</v>
      </c>
      <c r="AU122" s="218">
        <v>0.98373983739837301</v>
      </c>
      <c r="AV122" s="218">
        <v>1.0250000000000039</v>
      </c>
      <c r="AW122" s="218">
        <v>0.97499999999999321</v>
      </c>
      <c r="AX122" s="218">
        <f>AX121</f>
        <v>1</v>
      </c>
    </row>
    <row r="123" spans="1:50">
      <c r="A123" s="429">
        <v>0.67858796296296298</v>
      </c>
      <c r="B123" s="218">
        <v>27.5</v>
      </c>
      <c r="C123" s="218" t="s">
        <v>314</v>
      </c>
      <c r="D123" s="218">
        <v>13.8</v>
      </c>
      <c r="E123" s="218" t="s">
        <v>315</v>
      </c>
      <c r="F123" s="218">
        <v>22.7</v>
      </c>
      <c r="G123" s="218" t="s">
        <v>316</v>
      </c>
      <c r="H123" s="218">
        <v>66</v>
      </c>
      <c r="I123" s="218">
        <f t="shared" si="5"/>
        <v>27.3</v>
      </c>
      <c r="J123" s="218">
        <f t="shared" si="6"/>
        <v>3.6630036630036632E-2</v>
      </c>
      <c r="K123" s="218">
        <f t="shared" si="7"/>
        <v>1.2631047113805728E-2</v>
      </c>
      <c r="L123" s="218">
        <f t="shared" si="8"/>
        <v>7</v>
      </c>
      <c r="M123" s="218" t="s">
        <v>323</v>
      </c>
      <c r="P123" s="218">
        <v>118</v>
      </c>
      <c r="Q123" s="218">
        <v>71.900000000000006</v>
      </c>
      <c r="R123" s="218">
        <v>120</v>
      </c>
      <c r="S123" s="218">
        <v>29</v>
      </c>
      <c r="T123" s="218">
        <v>73.63333333333334</v>
      </c>
      <c r="U123" s="273">
        <v>1.3580805794477138E-2</v>
      </c>
      <c r="V123" s="218">
        <v>1.3786671553954986E-2</v>
      </c>
      <c r="W123" s="250">
        <v>2.3550259959636953E-4</v>
      </c>
      <c r="X123" s="250">
        <v>0.16254598969830758</v>
      </c>
      <c r="Z123" s="218">
        <v>115</v>
      </c>
      <c r="AA123" s="435">
        <v>0.15275938189845475</v>
      </c>
      <c r="AB123" s="435">
        <v>0.8515625</v>
      </c>
      <c r="AC123" s="435">
        <v>0.83333333333333348</v>
      </c>
      <c r="AD123" s="435">
        <v>0.96031746031746035</v>
      </c>
      <c r="AE123" s="435">
        <v>0.987341772151899</v>
      </c>
      <c r="AG123" s="218">
        <v>115</v>
      </c>
      <c r="AH123" s="218">
        <v>1</v>
      </c>
      <c r="AI123" s="218">
        <v>0.99588477366255079</v>
      </c>
      <c r="AJ123" s="218">
        <v>1.0162601626016259</v>
      </c>
      <c r="AK123" s="218">
        <v>0.96899224806201545</v>
      </c>
      <c r="AL123" s="218">
        <v>1.0238095238095237</v>
      </c>
      <c r="AM123" s="218">
        <v>115</v>
      </c>
      <c r="AN123" s="218">
        <v>0.97674418604651214</v>
      </c>
      <c r="AO123" s="218">
        <v>0.98780487804878081</v>
      </c>
      <c r="AS123" s="218">
        <v>115</v>
      </c>
      <c r="AT123" s="218">
        <v>0.86991869918699183</v>
      </c>
      <c r="AU123" s="218">
        <v>0.97560975609756151</v>
      </c>
      <c r="AV123" s="218">
        <v>1.0250000000000039</v>
      </c>
      <c r="AW123" s="218">
        <v>0.98333333333332784</v>
      </c>
      <c r="AX123" s="218">
        <v>1</v>
      </c>
    </row>
    <row r="124" spans="1:50">
      <c r="A124" s="429">
        <v>0.67859953703703713</v>
      </c>
      <c r="B124" s="218">
        <v>28.3</v>
      </c>
      <c r="C124" s="218" t="s">
        <v>314</v>
      </c>
      <c r="D124" s="218">
        <v>14.2</v>
      </c>
      <c r="E124" s="218" t="s">
        <v>315</v>
      </c>
      <c r="F124" s="218">
        <v>22.7</v>
      </c>
      <c r="G124" s="218" t="s">
        <v>316</v>
      </c>
      <c r="H124" s="218">
        <v>67</v>
      </c>
      <c r="I124" s="218">
        <f t="shared" si="5"/>
        <v>27.5</v>
      </c>
      <c r="J124" s="218">
        <f t="shared" si="6"/>
        <v>3.6363636363636362E-2</v>
      </c>
      <c r="K124" s="218">
        <f t="shared" si="7"/>
        <v>1.2897447380205998E-2</v>
      </c>
      <c r="L124" s="218">
        <f t="shared" si="8"/>
        <v>7.1999999999999993</v>
      </c>
      <c r="M124" s="218" t="s">
        <v>323</v>
      </c>
      <c r="P124" s="218">
        <v>119</v>
      </c>
      <c r="Q124" s="218">
        <v>71.8</v>
      </c>
      <c r="R124" s="218">
        <v>122</v>
      </c>
      <c r="S124" s="218">
        <v>30</v>
      </c>
      <c r="T124" s="218">
        <v>74.600000000000009</v>
      </c>
      <c r="U124" s="273">
        <v>1.3404825737265414E-2</v>
      </c>
      <c r="V124" s="218">
        <v>1.3492815765871276E-2</v>
      </c>
      <c r="W124" s="250">
        <v>2.3048298324231914E-4</v>
      </c>
      <c r="X124" s="250">
        <v>0.16467991169977927</v>
      </c>
      <c r="Z124" s="218">
        <v>116</v>
      </c>
      <c r="AA124" s="435">
        <v>0.15621780721118469</v>
      </c>
      <c r="AB124" s="435">
        <v>0.86848958333333337</v>
      </c>
      <c r="AC124" s="435">
        <v>0.83333333333333348</v>
      </c>
      <c r="AD124" s="435">
        <v>0.96825396825396814</v>
      </c>
      <c r="AE124" s="435">
        <v>0.974683544303798</v>
      </c>
      <c r="AG124" s="218">
        <v>116</v>
      </c>
      <c r="AH124" s="218">
        <v>0.99186991869918728</v>
      </c>
      <c r="AI124" s="218">
        <v>1.0041152263374493</v>
      </c>
      <c r="AJ124" s="218">
        <v>1.0081300813008127</v>
      </c>
      <c r="AK124" s="218">
        <v>0.97674418604651148</v>
      </c>
      <c r="AL124" s="218">
        <v>1.0238095238095237</v>
      </c>
      <c r="AM124" s="218">
        <v>116</v>
      </c>
      <c r="AN124" s="218">
        <v>0.97674418604651214</v>
      </c>
      <c r="AO124" s="218">
        <v>0.98780487804878081</v>
      </c>
      <c r="AS124" s="218">
        <v>116</v>
      </c>
      <c r="AT124" s="218">
        <v>0.86991869918699183</v>
      </c>
      <c r="AU124" s="218">
        <v>0.97560975609755873</v>
      </c>
      <c r="AV124" s="218">
        <v>1</v>
      </c>
      <c r="AW124" s="218">
        <v>0.97499999999999321</v>
      </c>
      <c r="AX124" s="218">
        <v>1</v>
      </c>
    </row>
    <row r="125" spans="1:50">
      <c r="A125" s="429">
        <v>0.67861111111111105</v>
      </c>
      <c r="B125" s="218">
        <v>28.8</v>
      </c>
      <c r="C125" s="218" t="s">
        <v>314</v>
      </c>
      <c r="D125" s="218">
        <v>14.4</v>
      </c>
      <c r="E125" s="218" t="s">
        <v>315</v>
      </c>
      <c r="F125" s="218">
        <v>22.7</v>
      </c>
      <c r="G125" s="218" t="s">
        <v>316</v>
      </c>
      <c r="H125" s="218">
        <v>68</v>
      </c>
      <c r="I125" s="218">
        <f t="shared" si="5"/>
        <v>28.3</v>
      </c>
      <c r="J125" s="218">
        <f t="shared" si="6"/>
        <v>3.5335689045936397E-2</v>
      </c>
      <c r="K125" s="218">
        <f t="shared" si="7"/>
        <v>1.3925394697905963E-2</v>
      </c>
      <c r="L125" s="218">
        <f t="shared" si="8"/>
        <v>8</v>
      </c>
      <c r="M125" s="218" t="s">
        <v>323</v>
      </c>
      <c r="P125" s="218">
        <v>120</v>
      </c>
      <c r="Q125" s="218">
        <v>71.2</v>
      </c>
      <c r="R125" s="218">
        <v>124</v>
      </c>
      <c r="S125" s="218">
        <v>30</v>
      </c>
      <c r="T125" s="218">
        <v>75.066666666666663</v>
      </c>
      <c r="U125" s="273">
        <v>1.3321492007104797E-2</v>
      </c>
      <c r="V125" s="218">
        <v>1.3363158872185105E-2</v>
      </c>
      <c r="W125" s="250">
        <v>2.2826819663489294E-4</v>
      </c>
      <c r="X125" s="250">
        <v>0.16571008094186901</v>
      </c>
      <c r="Z125" s="218">
        <v>117</v>
      </c>
      <c r="AA125" s="435">
        <v>0.15776306107431937</v>
      </c>
      <c r="AB125" s="435">
        <v>0.86848958333333337</v>
      </c>
      <c r="AC125" s="435">
        <v>0.82575757575757547</v>
      </c>
      <c r="AD125" s="435">
        <v>0.96031746031746035</v>
      </c>
      <c r="AE125" s="435">
        <v>0.987341772151899</v>
      </c>
      <c r="AG125" s="218">
        <v>117</v>
      </c>
      <c r="AH125" s="218">
        <v>0.99186991869918728</v>
      </c>
      <c r="AI125" s="218">
        <v>1.0041152263374493</v>
      </c>
      <c r="AJ125" s="218">
        <v>1.0243902439024393</v>
      </c>
      <c r="AK125" s="218">
        <v>0.97674418604651148</v>
      </c>
      <c r="AL125" s="218">
        <v>1.0357142857142854</v>
      </c>
      <c r="AM125" s="218">
        <v>117</v>
      </c>
      <c r="AN125" s="218">
        <v>0.97674418604651214</v>
      </c>
      <c r="AO125" s="218">
        <v>1</v>
      </c>
      <c r="AS125" s="218">
        <v>117</v>
      </c>
      <c r="AT125" s="218">
        <v>0.87804878048780621</v>
      </c>
      <c r="AU125" s="218">
        <v>0.98373983739837301</v>
      </c>
      <c r="AW125" s="218">
        <v>0.97499999999999321</v>
      </c>
      <c r="AX125" s="218">
        <f>AX124</f>
        <v>1</v>
      </c>
    </row>
    <row r="126" spans="1:50">
      <c r="A126" s="429">
        <v>0.6786226851851852</v>
      </c>
      <c r="B126" s="218">
        <v>29.2</v>
      </c>
      <c r="C126" s="218" t="s">
        <v>314</v>
      </c>
      <c r="D126" s="218">
        <v>14.6</v>
      </c>
      <c r="E126" s="218" t="s">
        <v>315</v>
      </c>
      <c r="F126" s="218">
        <v>22.7</v>
      </c>
      <c r="G126" s="218" t="s">
        <v>316</v>
      </c>
      <c r="H126" s="218">
        <v>69</v>
      </c>
      <c r="I126" s="218">
        <f t="shared" si="5"/>
        <v>28.8</v>
      </c>
      <c r="J126" s="218">
        <f t="shared" si="6"/>
        <v>3.4722222222222224E-2</v>
      </c>
      <c r="K126" s="218">
        <f t="shared" si="7"/>
        <v>1.4538861521620136E-2</v>
      </c>
      <c r="L126" s="218">
        <f t="shared" si="8"/>
        <v>8.5</v>
      </c>
      <c r="M126" s="218" t="s">
        <v>323</v>
      </c>
      <c r="P126" s="218">
        <v>121</v>
      </c>
      <c r="Q126" s="218">
        <v>70.7</v>
      </c>
      <c r="R126" s="218">
        <v>128</v>
      </c>
      <c r="S126" s="218">
        <v>33</v>
      </c>
      <c r="T126" s="218">
        <v>77.233333333333334</v>
      </c>
      <c r="U126" s="273">
        <v>1.294777729823047E-2</v>
      </c>
      <c r="V126" s="218">
        <v>1.3134634652667634E-2</v>
      </c>
      <c r="W126" s="250">
        <v>2.2436456786151745E-4</v>
      </c>
      <c r="X126" s="250">
        <v>0.17049300956585725</v>
      </c>
      <c r="Z126" s="218">
        <v>118</v>
      </c>
      <c r="AA126" s="435">
        <v>0.16254598969830758</v>
      </c>
      <c r="AB126" s="435">
        <v>0.87109375</v>
      </c>
      <c r="AC126" s="435">
        <v>0.84090909090909094</v>
      </c>
      <c r="AD126" s="435">
        <v>0.96825396825396814</v>
      </c>
      <c r="AE126" s="435">
        <v>0.974683544303798</v>
      </c>
      <c r="AG126" s="218">
        <v>118</v>
      </c>
      <c r="AH126" s="218">
        <v>0.98373983739837434</v>
      </c>
      <c r="AI126" s="218">
        <v>1.0041152263374493</v>
      </c>
      <c r="AJ126" s="218">
        <v>1.0162601626016265</v>
      </c>
      <c r="AK126" s="218">
        <v>0.98449612403100806</v>
      </c>
      <c r="AL126" s="218">
        <v>1.047619047619047</v>
      </c>
      <c r="AM126" s="218">
        <v>118</v>
      </c>
      <c r="AN126" s="218">
        <v>0.97674418604651214</v>
      </c>
      <c r="AO126" s="218">
        <v>0.98780487804878081</v>
      </c>
      <c r="AS126" s="218">
        <v>118</v>
      </c>
      <c r="AT126" s="218">
        <v>0.88617886178861749</v>
      </c>
      <c r="AU126" s="218">
        <v>0.98373983739837434</v>
      </c>
      <c r="AW126" s="218">
        <v>0.98333333333332784</v>
      </c>
      <c r="AX126" s="218">
        <v>1</v>
      </c>
    </row>
    <row r="127" spans="1:50">
      <c r="A127" s="429">
        <v>0.67863425925925924</v>
      </c>
      <c r="B127" s="218">
        <v>33.5</v>
      </c>
      <c r="C127" s="218" t="s">
        <v>314</v>
      </c>
      <c r="D127" s="218">
        <v>16.8</v>
      </c>
      <c r="E127" s="218" t="s">
        <v>315</v>
      </c>
      <c r="F127" s="218">
        <v>22.7</v>
      </c>
      <c r="G127" s="218" t="s">
        <v>316</v>
      </c>
      <c r="H127" s="218">
        <v>70</v>
      </c>
      <c r="I127" s="218">
        <f t="shared" si="5"/>
        <v>29.2</v>
      </c>
      <c r="J127" s="218">
        <f t="shared" si="6"/>
        <v>3.4246575342465752E-2</v>
      </c>
      <c r="K127" s="218">
        <f t="shared" si="7"/>
        <v>1.5014508401376608E-2</v>
      </c>
      <c r="L127" s="218">
        <f t="shared" si="8"/>
        <v>8.8999999999999986</v>
      </c>
      <c r="M127" s="218" t="s">
        <v>323</v>
      </c>
      <c r="P127" s="218">
        <v>122</v>
      </c>
      <c r="Q127" s="218">
        <v>70.7</v>
      </c>
      <c r="R127" s="218">
        <v>129</v>
      </c>
      <c r="S127" s="218">
        <v>33</v>
      </c>
      <c r="T127" s="218">
        <v>77.566666666666663</v>
      </c>
      <c r="U127" s="273">
        <v>1.2892135797163732E-2</v>
      </c>
      <c r="V127" s="218">
        <v>1.2919956547697101E-2</v>
      </c>
      <c r="W127" s="250">
        <v>2.2069745708723637E-4</v>
      </c>
      <c r="X127" s="250">
        <v>0.1712288447387785</v>
      </c>
      <c r="Z127" s="218">
        <v>119</v>
      </c>
      <c r="AA127" s="435">
        <v>0.16467991169977927</v>
      </c>
      <c r="AB127" s="435">
        <v>0.88541666666666663</v>
      </c>
      <c r="AC127" s="435">
        <v>0.84848484848484873</v>
      </c>
      <c r="AD127" s="435">
        <v>0.96825396825396814</v>
      </c>
      <c r="AE127" s="435">
        <v>0.987341772151899</v>
      </c>
      <c r="AG127" s="218">
        <v>119</v>
      </c>
      <c r="AH127" s="218">
        <v>0.98373983739837434</v>
      </c>
      <c r="AI127" s="218">
        <v>0.99588477366255079</v>
      </c>
      <c r="AJ127" s="218">
        <v>1.0243902439024393</v>
      </c>
      <c r="AK127" s="218">
        <v>0.98449612403100806</v>
      </c>
      <c r="AL127" s="218">
        <v>1.0238095238095237</v>
      </c>
      <c r="AM127" s="218">
        <v>119</v>
      </c>
      <c r="AN127" s="218">
        <v>0.98449612403100806</v>
      </c>
      <c r="AO127" s="218">
        <v>0.98780487804878081</v>
      </c>
      <c r="AS127" s="218">
        <v>119</v>
      </c>
      <c r="AT127" s="218">
        <v>0.88617886178861749</v>
      </c>
      <c r="AU127" s="218">
        <v>0.99186991869918584</v>
      </c>
      <c r="AW127" s="218">
        <v>0.98333333333332784</v>
      </c>
      <c r="AX127" s="218">
        <v>1</v>
      </c>
    </row>
    <row r="128" spans="1:50">
      <c r="A128" s="429">
        <v>0.67864583333333339</v>
      </c>
      <c r="B128" s="218">
        <v>34.200000000000003</v>
      </c>
      <c r="C128" s="218" t="s">
        <v>314</v>
      </c>
      <c r="D128" s="218">
        <v>17.100000000000001</v>
      </c>
      <c r="E128" s="218" t="s">
        <v>315</v>
      </c>
      <c r="F128" s="218">
        <v>22.7</v>
      </c>
      <c r="G128" s="218" t="s">
        <v>316</v>
      </c>
      <c r="H128" s="218">
        <v>71</v>
      </c>
      <c r="I128" s="218">
        <f t="shared" si="5"/>
        <v>33.5</v>
      </c>
      <c r="J128" s="218">
        <f t="shared" si="6"/>
        <v>2.9850746268656716E-2</v>
      </c>
      <c r="K128" s="218">
        <f t="shared" si="7"/>
        <v>1.9410337475185644E-2</v>
      </c>
      <c r="L128" s="218">
        <f t="shared" si="8"/>
        <v>13.2</v>
      </c>
      <c r="M128" s="218" t="s">
        <v>323</v>
      </c>
      <c r="P128" s="218">
        <v>123</v>
      </c>
      <c r="Q128" s="218">
        <v>74.8</v>
      </c>
      <c r="R128" s="218">
        <v>131</v>
      </c>
      <c r="S128" s="218">
        <v>34</v>
      </c>
      <c r="T128" s="218">
        <v>79.933333333333337</v>
      </c>
      <c r="U128" s="273">
        <v>1.251042535446205E-2</v>
      </c>
      <c r="V128" s="218">
        <v>1.2701280575812891E-2</v>
      </c>
      <c r="W128" s="250">
        <v>2.1696205513423774E-4</v>
      </c>
      <c r="X128" s="250">
        <v>0.17645327446651951</v>
      </c>
      <c r="Z128" s="218">
        <v>120</v>
      </c>
      <c r="AA128" s="435">
        <v>0.16571008094186901</v>
      </c>
      <c r="AB128" s="435">
        <v>0.88671875</v>
      </c>
      <c r="AC128" s="435">
        <v>0.84090909090909127</v>
      </c>
      <c r="AD128" s="435">
        <v>0.97619047619047605</v>
      </c>
      <c r="AE128" s="435">
        <v>0.974683544303798</v>
      </c>
      <c r="AG128" s="218">
        <v>120</v>
      </c>
      <c r="AH128" s="218">
        <v>0.99186991869918728</v>
      </c>
      <c r="AI128" s="218">
        <v>1.0041152263374493</v>
      </c>
      <c r="AJ128" s="218">
        <v>1.0162601626016259</v>
      </c>
      <c r="AK128" s="218">
        <v>0.98449612403100806</v>
      </c>
      <c r="AL128" s="218">
        <v>1.047619047619047</v>
      </c>
      <c r="AM128" s="218">
        <v>120</v>
      </c>
      <c r="AN128" s="218">
        <v>0.97674418604651214</v>
      </c>
      <c r="AO128" s="218">
        <v>0.98780487804878081</v>
      </c>
      <c r="AS128" s="218">
        <v>120</v>
      </c>
      <c r="AT128" s="218">
        <v>0.88617886178861749</v>
      </c>
      <c r="AU128" s="218">
        <v>0.98373983739837301</v>
      </c>
      <c r="AW128" s="218">
        <v>0.97499999999999321</v>
      </c>
      <c r="AX128" s="218">
        <v>1</v>
      </c>
    </row>
    <row r="129" spans="1:49">
      <c r="A129" s="429">
        <v>0.67865740740740732</v>
      </c>
      <c r="B129" s="218">
        <v>34.5</v>
      </c>
      <c r="C129" s="218" t="s">
        <v>314</v>
      </c>
      <c r="D129" s="218">
        <v>17.3</v>
      </c>
      <c r="E129" s="218" t="s">
        <v>315</v>
      </c>
      <c r="F129" s="218">
        <v>22.7</v>
      </c>
      <c r="G129" s="218" t="s">
        <v>316</v>
      </c>
      <c r="H129" s="218">
        <v>72</v>
      </c>
      <c r="I129" s="218">
        <f t="shared" si="5"/>
        <v>34.200000000000003</v>
      </c>
      <c r="J129" s="218">
        <f t="shared" si="6"/>
        <v>2.9239766081871343E-2</v>
      </c>
      <c r="K129" s="218">
        <f t="shared" si="7"/>
        <v>2.0021317661971016E-2</v>
      </c>
      <c r="L129" s="218">
        <f t="shared" si="8"/>
        <v>13.900000000000002</v>
      </c>
      <c r="M129" s="218" t="s">
        <v>323</v>
      </c>
      <c r="P129" s="218">
        <v>124</v>
      </c>
      <c r="Q129" s="218">
        <v>78.5</v>
      </c>
      <c r="R129" s="218">
        <v>133</v>
      </c>
      <c r="S129" s="218">
        <v>34</v>
      </c>
      <c r="T129" s="218">
        <v>81.833333333333329</v>
      </c>
      <c r="U129" s="273">
        <v>1.2219959266802445E-2</v>
      </c>
      <c r="V129" s="218">
        <v>1.2365192310632248E-2</v>
      </c>
      <c r="W129" s="250">
        <v>2.112210276618621E-4</v>
      </c>
      <c r="X129" s="250">
        <v>0.1806475349521707</v>
      </c>
      <c r="Z129" s="218">
        <v>121</v>
      </c>
      <c r="AA129" s="435">
        <v>0.17049300956585725</v>
      </c>
      <c r="AB129" s="435">
        <v>0.890625</v>
      </c>
      <c r="AC129" s="435">
        <v>0.84848484848484873</v>
      </c>
      <c r="AD129" s="435">
        <v>0.96825396825396814</v>
      </c>
      <c r="AE129" s="435">
        <v>0.987341772151899</v>
      </c>
      <c r="AG129" s="218">
        <v>121</v>
      </c>
      <c r="AH129" s="218">
        <v>0.99186991869918728</v>
      </c>
      <c r="AI129" s="218">
        <v>1.0041152263374493</v>
      </c>
      <c r="AJ129" s="218">
        <v>1.0162601626016259</v>
      </c>
      <c r="AK129" s="218">
        <v>0.98449612403100806</v>
      </c>
      <c r="AL129" s="218">
        <v>1.0357142857142854</v>
      </c>
      <c r="AM129" s="218">
        <v>121</v>
      </c>
      <c r="AN129" s="218">
        <v>0.96899224806201623</v>
      </c>
      <c r="AO129" s="218">
        <v>1</v>
      </c>
      <c r="AS129" s="218">
        <v>121</v>
      </c>
      <c r="AT129" s="218">
        <v>0.89430894308943176</v>
      </c>
      <c r="AU129" s="218">
        <v>0.98373983739837301</v>
      </c>
      <c r="AW129" s="218">
        <v>0.98333333333332784</v>
      </c>
    </row>
    <row r="130" spans="1:49">
      <c r="A130" s="429">
        <v>0.67866898148148147</v>
      </c>
      <c r="B130" s="218">
        <v>35.299999999999997</v>
      </c>
      <c r="C130" s="218" t="s">
        <v>314</v>
      </c>
      <c r="D130" s="218">
        <v>17.7</v>
      </c>
      <c r="E130" s="218" t="s">
        <v>315</v>
      </c>
      <c r="F130" s="218">
        <v>22.7</v>
      </c>
      <c r="G130" s="218" t="s">
        <v>316</v>
      </c>
      <c r="H130" s="218">
        <v>73</v>
      </c>
      <c r="I130" s="218">
        <f t="shared" si="5"/>
        <v>34.5</v>
      </c>
      <c r="J130" s="218">
        <f t="shared" si="6"/>
        <v>2.8985507246376812E-2</v>
      </c>
      <c r="K130" s="218">
        <f t="shared" si="7"/>
        <v>2.0275576497465548E-2</v>
      </c>
      <c r="L130" s="218">
        <f t="shared" si="8"/>
        <v>14.2</v>
      </c>
      <c r="M130" s="218" t="s">
        <v>323</v>
      </c>
      <c r="P130" s="218">
        <v>125</v>
      </c>
      <c r="Q130" s="218">
        <v>74.400000000000006</v>
      </c>
      <c r="R130" s="218">
        <v>135</v>
      </c>
      <c r="S130" s="218">
        <v>35</v>
      </c>
      <c r="T130" s="218">
        <v>81.466666666666669</v>
      </c>
      <c r="U130" s="273">
        <v>1.2274959083469721E-2</v>
      </c>
      <c r="V130" s="218">
        <v>1.2247459175136083E-2</v>
      </c>
      <c r="W130" s="250">
        <v>2.0920992154683867E-4</v>
      </c>
      <c r="X130" s="250">
        <v>0.17983811626195734</v>
      </c>
      <c r="Z130" s="218">
        <v>122</v>
      </c>
      <c r="AA130" s="435">
        <v>0.1712288447387785</v>
      </c>
      <c r="AB130" s="435">
        <v>0.890625</v>
      </c>
      <c r="AC130" s="435">
        <v>0.84848484848484873</v>
      </c>
      <c r="AD130" s="435">
        <v>0.97619047619047605</v>
      </c>
      <c r="AE130" s="435">
        <v>1</v>
      </c>
      <c r="AG130" s="218">
        <v>122</v>
      </c>
      <c r="AH130" s="218">
        <v>0.99186991869918728</v>
      </c>
      <c r="AI130" s="218">
        <v>1.0041152263374493</v>
      </c>
      <c r="AJ130" s="218">
        <v>1.0081300813008127</v>
      </c>
      <c r="AK130" s="218">
        <v>0.98449612403100806</v>
      </c>
      <c r="AL130" s="218">
        <v>1.0357142857142854</v>
      </c>
      <c r="AM130" s="218">
        <v>122</v>
      </c>
      <c r="AN130" s="218">
        <v>0.97674418604651214</v>
      </c>
      <c r="AO130" s="218">
        <v>1</v>
      </c>
      <c r="AS130" s="218">
        <v>122</v>
      </c>
      <c r="AT130" s="218">
        <v>0.90243902439024615</v>
      </c>
      <c r="AU130" s="218">
        <v>0.98373983739837301</v>
      </c>
      <c r="AW130" s="218">
        <v>0.98333333333332784</v>
      </c>
    </row>
    <row r="131" spans="1:49">
      <c r="A131" s="429">
        <v>0.67868055555555562</v>
      </c>
      <c r="B131" s="218">
        <v>40.299999999999997</v>
      </c>
      <c r="C131" s="218" t="s">
        <v>314</v>
      </c>
      <c r="D131" s="218">
        <v>20.2</v>
      </c>
      <c r="E131" s="218" t="s">
        <v>315</v>
      </c>
      <c r="F131" s="218">
        <v>22.7</v>
      </c>
      <c r="G131" s="218" t="s">
        <v>316</v>
      </c>
      <c r="H131" s="218">
        <v>74</v>
      </c>
      <c r="I131" s="218">
        <f t="shared" si="5"/>
        <v>35.299999999999997</v>
      </c>
      <c r="J131" s="218">
        <f t="shared" si="6"/>
        <v>2.8328611898017001E-2</v>
      </c>
      <c r="K131" s="218">
        <f t="shared" si="7"/>
        <v>2.0932471845825359E-2</v>
      </c>
      <c r="L131" s="218">
        <f t="shared" si="8"/>
        <v>14.999999999999996</v>
      </c>
      <c r="M131" s="218" t="s">
        <v>323</v>
      </c>
      <c r="P131" s="218">
        <v>126</v>
      </c>
      <c r="Q131" s="218">
        <v>78.5</v>
      </c>
      <c r="R131" s="218">
        <v>138</v>
      </c>
      <c r="S131" s="218">
        <v>35</v>
      </c>
      <c r="T131" s="218">
        <v>83.833333333333329</v>
      </c>
      <c r="U131" s="273">
        <v>1.1928429423459246E-2</v>
      </c>
      <c r="V131" s="218">
        <v>1.2101694253464483E-2</v>
      </c>
      <c r="W131" s="250">
        <v>2.067199791521658E-4</v>
      </c>
      <c r="X131" s="250">
        <v>0.18506254598969829</v>
      </c>
      <c r="Z131" s="218">
        <v>123</v>
      </c>
      <c r="AA131" s="435">
        <v>0.17645327446651951</v>
      </c>
      <c r="AB131" s="435">
        <v>0.89322916666666663</v>
      </c>
      <c r="AC131" s="435">
        <v>0.84848484848484873</v>
      </c>
      <c r="AD131" s="435">
        <v>0.98412698412698363</v>
      </c>
      <c r="AE131" s="435">
        <v>0.974683544303798</v>
      </c>
      <c r="AG131" s="218">
        <v>123</v>
      </c>
      <c r="AH131" s="218">
        <v>0.98373983739837434</v>
      </c>
      <c r="AI131" s="218">
        <v>1.0123456790123462</v>
      </c>
      <c r="AJ131" s="218">
        <v>1.0243902439024393</v>
      </c>
      <c r="AK131" s="218">
        <v>0.98449612403100806</v>
      </c>
      <c r="AL131" s="218">
        <v>1.0238095238095237</v>
      </c>
      <c r="AM131" s="218">
        <v>123</v>
      </c>
      <c r="AN131" s="218">
        <v>0.97674418604651214</v>
      </c>
      <c r="AO131" s="218">
        <v>1</v>
      </c>
      <c r="AS131" s="218">
        <v>123</v>
      </c>
      <c r="AT131" s="218">
        <v>0.91056910569105742</v>
      </c>
      <c r="AU131" s="218">
        <v>0.98373983739837301</v>
      </c>
      <c r="AW131" s="218">
        <v>0.99999999999999545</v>
      </c>
    </row>
    <row r="132" spans="1:49">
      <c r="A132" s="429">
        <v>0.67869212962962966</v>
      </c>
      <c r="B132" s="218">
        <v>40.6</v>
      </c>
      <c r="C132" s="218" t="s">
        <v>314</v>
      </c>
      <c r="D132" s="218">
        <v>20.3</v>
      </c>
      <c r="E132" s="218" t="s">
        <v>315</v>
      </c>
      <c r="F132" s="218">
        <v>22.7</v>
      </c>
      <c r="G132" s="218" t="s">
        <v>316</v>
      </c>
      <c r="H132" s="218">
        <v>75</v>
      </c>
      <c r="I132" s="218">
        <f t="shared" si="5"/>
        <v>40.299999999999997</v>
      </c>
      <c r="J132" s="218">
        <f t="shared" si="6"/>
        <v>2.4813895781637719E-2</v>
      </c>
      <c r="K132" s="218">
        <f t="shared" si="7"/>
        <v>2.4447187962204641E-2</v>
      </c>
      <c r="L132" s="218">
        <f t="shared" si="8"/>
        <v>19.999999999999996</v>
      </c>
      <c r="M132" s="218" t="s">
        <v>323</v>
      </c>
      <c r="P132" s="218">
        <v>127</v>
      </c>
      <c r="Q132" s="218">
        <v>86.2</v>
      </c>
      <c r="R132" s="218">
        <v>140</v>
      </c>
      <c r="S132" s="218">
        <v>33</v>
      </c>
      <c r="T132" s="218">
        <v>86.399999999999991</v>
      </c>
      <c r="U132" s="273">
        <v>1.1574074074074075E-2</v>
      </c>
      <c r="V132" s="218">
        <v>1.1751251748766661E-2</v>
      </c>
      <c r="W132" s="250">
        <v>2.0073375393874765E-4</v>
      </c>
      <c r="X132" s="250">
        <v>0.19072847682119204</v>
      </c>
      <c r="Z132" s="218">
        <v>124</v>
      </c>
      <c r="AA132" s="435">
        <v>0.1806475349521707</v>
      </c>
      <c r="AB132" s="435">
        <v>0.89583333333333337</v>
      </c>
      <c r="AC132" s="435">
        <v>0.84848484848484873</v>
      </c>
      <c r="AD132" s="435">
        <v>0.97619047619047605</v>
      </c>
      <c r="AE132" s="435">
        <v>0.974683544303798</v>
      </c>
      <c r="AG132" s="218">
        <v>124</v>
      </c>
      <c r="AH132" s="218">
        <v>0.98373983739837434</v>
      </c>
      <c r="AI132" s="218">
        <v>1.0041152263374493</v>
      </c>
      <c r="AJ132" s="218">
        <v>1.0243902439024393</v>
      </c>
      <c r="AK132" s="218">
        <v>0.98449612403100806</v>
      </c>
      <c r="AL132" s="218">
        <v>1.0238095238095237</v>
      </c>
      <c r="AM132" s="218">
        <v>124</v>
      </c>
      <c r="AN132" s="218">
        <v>0.97674418604651214</v>
      </c>
      <c r="AO132" s="218">
        <v>1</v>
      </c>
      <c r="AS132" s="218">
        <v>124</v>
      </c>
      <c r="AT132" s="218">
        <v>0.91056910569105742</v>
      </c>
      <c r="AU132" s="218">
        <v>0.97560975609756151</v>
      </c>
      <c r="AW132" s="218">
        <v>0.99999999999999545</v>
      </c>
    </row>
    <row r="133" spans="1:49">
      <c r="A133" s="429">
        <v>0.6787037037037037</v>
      </c>
      <c r="B133" s="218">
        <v>40.799999999999997</v>
      </c>
      <c r="C133" s="218" t="s">
        <v>314</v>
      </c>
      <c r="D133" s="218">
        <v>20.399999999999999</v>
      </c>
      <c r="E133" s="218" t="s">
        <v>315</v>
      </c>
      <c r="F133" s="218">
        <v>22.7</v>
      </c>
      <c r="G133" s="218" t="s">
        <v>316</v>
      </c>
      <c r="H133" s="218">
        <v>76</v>
      </c>
      <c r="I133" s="218">
        <f t="shared" si="5"/>
        <v>40.6</v>
      </c>
      <c r="J133" s="218">
        <f t="shared" si="6"/>
        <v>2.463054187192118E-2</v>
      </c>
      <c r="K133" s="218">
        <f t="shared" si="7"/>
        <v>2.463054187192118E-2</v>
      </c>
      <c r="L133" s="218">
        <f t="shared" si="8"/>
        <v>20.3</v>
      </c>
      <c r="M133" s="218" t="s">
        <v>323</v>
      </c>
      <c r="P133" s="218">
        <v>128</v>
      </c>
      <c r="Q133" s="218">
        <v>85.9</v>
      </c>
      <c r="R133" s="218">
        <v>143</v>
      </c>
      <c r="S133" s="218">
        <v>33</v>
      </c>
      <c r="T133" s="218">
        <v>87.3</v>
      </c>
      <c r="U133" s="273">
        <v>1.1454753722794961E-2</v>
      </c>
      <c r="V133" s="218">
        <v>1.1514413898434519E-2</v>
      </c>
      <c r="W133" s="250">
        <v>1.9668811252212634E-4</v>
      </c>
      <c r="X133" s="250">
        <v>0.19271523178807948</v>
      </c>
      <c r="Z133" s="218">
        <v>125</v>
      </c>
      <c r="AA133" s="435">
        <v>0.17983811626195734</v>
      </c>
      <c r="AB133" s="435">
        <v>0.91015625</v>
      </c>
      <c r="AC133" s="435">
        <v>0.84848484848484873</v>
      </c>
      <c r="AD133" s="435">
        <v>0.97619047619047605</v>
      </c>
      <c r="AE133" s="435">
        <v>0.987341772151899</v>
      </c>
      <c r="AG133" s="218">
        <v>125</v>
      </c>
      <c r="AH133" s="218">
        <v>0.99186991869918728</v>
      </c>
      <c r="AI133" s="218">
        <v>0.99588477366255235</v>
      </c>
      <c r="AJ133" s="218">
        <v>1.0325203252032529</v>
      </c>
      <c r="AK133" s="218">
        <v>0.98449612403100806</v>
      </c>
      <c r="AL133" s="218">
        <v>1.0238095238095237</v>
      </c>
      <c r="AM133" s="218">
        <v>125</v>
      </c>
      <c r="AN133" s="218">
        <v>0.97674418604651214</v>
      </c>
      <c r="AO133" s="218">
        <v>1</v>
      </c>
      <c r="AS133" s="218">
        <v>125</v>
      </c>
      <c r="AT133" s="218">
        <v>0.91056910569105742</v>
      </c>
      <c r="AU133" s="218">
        <v>0.98373983739837301</v>
      </c>
      <c r="AW133" s="218">
        <v>1.0124999999999973</v>
      </c>
    </row>
    <row r="134" spans="1:49">
      <c r="A134" s="429">
        <v>0.67871527777777774</v>
      </c>
      <c r="B134" s="218">
        <v>45.2</v>
      </c>
      <c r="C134" s="218" t="s">
        <v>314</v>
      </c>
      <c r="D134" s="218">
        <v>22.6</v>
      </c>
      <c r="E134" s="218" t="s">
        <v>315</v>
      </c>
      <c r="F134" s="218">
        <v>22.7</v>
      </c>
      <c r="G134" s="218" t="s">
        <v>316</v>
      </c>
      <c r="H134" s="218">
        <v>77</v>
      </c>
      <c r="I134" s="218">
        <f t="shared" si="5"/>
        <v>40.799999999999997</v>
      </c>
      <c r="J134" s="218">
        <f t="shared" si="6"/>
        <v>2.4509803921568631E-2</v>
      </c>
      <c r="K134" s="218">
        <f t="shared" si="7"/>
        <v>2.4751279822273729E-2</v>
      </c>
      <c r="L134" s="218">
        <f t="shared" si="8"/>
        <v>20.499999999999996</v>
      </c>
      <c r="M134" s="218" t="s">
        <v>323</v>
      </c>
      <c r="P134" s="218">
        <v>129</v>
      </c>
      <c r="Q134" s="218">
        <v>85</v>
      </c>
      <c r="R134" s="218">
        <v>143</v>
      </c>
      <c r="S134" s="218">
        <v>35</v>
      </c>
      <c r="T134" s="218">
        <v>87.666666666666671</v>
      </c>
      <c r="U134" s="273">
        <v>1.1406844106463877E-2</v>
      </c>
      <c r="V134" s="218">
        <v>1.143079891462942E-2</v>
      </c>
      <c r="W134" s="250">
        <v>1.9525980939803688E-4</v>
      </c>
      <c r="X134" s="250">
        <v>0.19352465047829287</v>
      </c>
      <c r="Z134" s="218">
        <v>126</v>
      </c>
      <c r="AA134" s="435">
        <v>0.18506254598969829</v>
      </c>
      <c r="AB134" s="435">
        <v>0.90104166666666663</v>
      </c>
      <c r="AC134" s="435">
        <v>0.84848484848484873</v>
      </c>
      <c r="AD134" s="435">
        <v>0.97619047619047605</v>
      </c>
      <c r="AE134" s="435">
        <v>1</v>
      </c>
      <c r="AG134" s="218">
        <v>126</v>
      </c>
      <c r="AH134" s="218">
        <v>0.98373983739837434</v>
      </c>
      <c r="AI134" s="218">
        <v>0.99588477366255235</v>
      </c>
      <c r="AJ134" s="218">
        <v>1.0243902439024393</v>
      </c>
      <c r="AK134" s="218">
        <v>0.97674418604651148</v>
      </c>
      <c r="AL134" s="218">
        <v>1.0238095238095237</v>
      </c>
      <c r="AM134" s="218">
        <v>126</v>
      </c>
      <c r="AN134" s="218">
        <v>0.99224806201550408</v>
      </c>
      <c r="AO134" s="218">
        <v>1</v>
      </c>
      <c r="AS134" s="218">
        <v>126</v>
      </c>
      <c r="AT134" s="218">
        <v>0.91056910569105742</v>
      </c>
      <c r="AU134" s="218">
        <v>0.98373983739837301</v>
      </c>
      <c r="AW134" s="218">
        <v>0.99999999999999545</v>
      </c>
    </row>
    <row r="135" spans="1:49">
      <c r="A135" s="429">
        <v>0.67872685185185189</v>
      </c>
      <c r="B135" s="218">
        <v>44.9</v>
      </c>
      <c r="C135" s="218" t="s">
        <v>314</v>
      </c>
      <c r="D135" s="218">
        <v>22.5</v>
      </c>
      <c r="E135" s="218" t="s">
        <v>315</v>
      </c>
      <c r="F135" s="218">
        <v>22.7</v>
      </c>
      <c r="G135" s="218" t="s">
        <v>316</v>
      </c>
      <c r="H135" s="218">
        <v>78</v>
      </c>
      <c r="I135" s="218">
        <f t="shared" si="5"/>
        <v>45.2</v>
      </c>
      <c r="J135" s="218">
        <f t="shared" si="6"/>
        <v>2.2123893805309734E-2</v>
      </c>
      <c r="K135" s="218">
        <f t="shared" si="7"/>
        <v>2.7137189938532626E-2</v>
      </c>
      <c r="L135" s="218">
        <f t="shared" si="8"/>
        <v>24.900000000000002</v>
      </c>
      <c r="M135" s="218" t="s">
        <v>323</v>
      </c>
      <c r="P135" s="218">
        <v>130</v>
      </c>
      <c r="Q135" s="218">
        <v>85.100000000000009</v>
      </c>
      <c r="R135" s="218">
        <v>145</v>
      </c>
      <c r="S135" s="218">
        <v>35</v>
      </c>
      <c r="T135" s="218">
        <v>88.366666666666674</v>
      </c>
      <c r="U135" s="273">
        <v>1.1316484345529988E-2</v>
      </c>
      <c r="V135" s="218">
        <v>1.1361664225996933E-2</v>
      </c>
      <c r="W135" s="250">
        <v>1.9407885728559132E-4</v>
      </c>
      <c r="X135" s="250">
        <v>0.19506990434142754</v>
      </c>
      <c r="Z135" s="218">
        <v>127</v>
      </c>
      <c r="AA135" s="435">
        <v>0.19072847682119204</v>
      </c>
      <c r="AB135" s="435">
        <v>0.89973958333333337</v>
      </c>
      <c r="AC135" s="435">
        <v>0.84848484848484873</v>
      </c>
      <c r="AD135" s="435">
        <v>0.97619047619047605</v>
      </c>
      <c r="AE135" s="435">
        <v>0.987341772151899</v>
      </c>
      <c r="AG135" s="218">
        <v>127</v>
      </c>
      <c r="AH135" s="218">
        <v>0.98373983739837434</v>
      </c>
      <c r="AI135" s="218">
        <v>0.99588477366255079</v>
      </c>
      <c r="AJ135" s="218">
        <v>1.0162601626016259</v>
      </c>
      <c r="AK135" s="218">
        <v>0.99224806201550408</v>
      </c>
      <c r="AL135" s="218">
        <v>1.0238095238095237</v>
      </c>
      <c r="AM135" s="218">
        <v>127</v>
      </c>
      <c r="AN135" s="218">
        <v>0.97674418604651214</v>
      </c>
      <c r="AO135" s="218">
        <v>1</v>
      </c>
      <c r="AS135" s="218">
        <v>127</v>
      </c>
      <c r="AT135" s="218">
        <v>0.91056910569105742</v>
      </c>
      <c r="AU135" s="218">
        <v>0.98373983739837156</v>
      </c>
      <c r="AW135" s="218">
        <v>0.99999999999999545</v>
      </c>
    </row>
    <row r="136" spans="1:49">
      <c r="A136" s="429">
        <v>0.67873842592592604</v>
      </c>
      <c r="B136" s="218">
        <v>44.6</v>
      </c>
      <c r="C136" s="218" t="s">
        <v>314</v>
      </c>
      <c r="D136" s="218">
        <v>22.3</v>
      </c>
      <c r="E136" s="218" t="s">
        <v>315</v>
      </c>
      <c r="F136" s="218">
        <v>22.7</v>
      </c>
      <c r="G136" s="218" t="s">
        <v>316</v>
      </c>
      <c r="H136" s="218">
        <v>79</v>
      </c>
      <c r="I136" s="218">
        <f t="shared" si="5"/>
        <v>44.9</v>
      </c>
      <c r="J136" s="218">
        <f t="shared" si="6"/>
        <v>2.2271714922048998E-2</v>
      </c>
      <c r="K136" s="218">
        <f t="shared" si="7"/>
        <v>2.6989368821793362E-2</v>
      </c>
      <c r="L136" s="218">
        <f t="shared" si="8"/>
        <v>24.599999999999998</v>
      </c>
      <c r="M136" s="218" t="s">
        <v>323</v>
      </c>
      <c r="P136" s="218">
        <v>131</v>
      </c>
      <c r="Q136" s="218">
        <v>91</v>
      </c>
      <c r="R136" s="218">
        <v>144</v>
      </c>
      <c r="S136" s="218">
        <v>35</v>
      </c>
      <c r="T136" s="218">
        <v>90</v>
      </c>
      <c r="U136" s="273">
        <v>1.1111111111111112E-2</v>
      </c>
      <c r="V136" s="218">
        <v>1.1213797728320551E-2</v>
      </c>
      <c r="W136" s="250">
        <v>1.9155301597141211E-4</v>
      </c>
      <c r="X136" s="250">
        <v>0.19867549668874171</v>
      </c>
      <c r="Z136" s="218">
        <v>128</v>
      </c>
      <c r="AA136" s="435">
        <v>0.19271523178807948</v>
      </c>
      <c r="AB136" s="435">
        <v>0.90234375</v>
      </c>
      <c r="AC136" s="435">
        <v>0.8560606060606063</v>
      </c>
      <c r="AD136" s="435">
        <v>0.96825396825396814</v>
      </c>
      <c r="AE136" s="435">
        <v>1</v>
      </c>
      <c r="AG136" s="218">
        <v>128</v>
      </c>
      <c r="AH136" s="218">
        <v>0.98373983739837434</v>
      </c>
      <c r="AI136" s="218">
        <v>1.0041152263374493</v>
      </c>
      <c r="AJ136" s="218">
        <v>1.0162601626016259</v>
      </c>
      <c r="AK136" s="218">
        <v>0.98449612403100739</v>
      </c>
      <c r="AL136" s="218">
        <v>1.0357142857142854</v>
      </c>
      <c r="AM136" s="218">
        <v>128</v>
      </c>
      <c r="AN136" s="218">
        <v>0.98449612403100806</v>
      </c>
      <c r="AO136" s="218">
        <v>1</v>
      </c>
      <c r="AS136" s="218">
        <v>128</v>
      </c>
      <c r="AT136" s="218">
        <v>0.91056910569105742</v>
      </c>
      <c r="AU136" s="218">
        <v>0.98373983739837301</v>
      </c>
      <c r="AW136" s="218">
        <v>0.99999999999999545</v>
      </c>
    </row>
    <row r="137" spans="1:49">
      <c r="A137" s="429">
        <v>0.67874999999999996</v>
      </c>
      <c r="B137" s="218">
        <v>44.6</v>
      </c>
      <c r="C137" s="218" t="s">
        <v>314</v>
      </c>
      <c r="D137" s="218">
        <v>22.3</v>
      </c>
      <c r="E137" s="218" t="s">
        <v>315</v>
      </c>
      <c r="F137" s="218">
        <v>22.7</v>
      </c>
      <c r="G137" s="218" t="s">
        <v>316</v>
      </c>
      <c r="H137" s="218">
        <v>80</v>
      </c>
      <c r="I137" s="218">
        <f t="shared" si="5"/>
        <v>44.6</v>
      </c>
      <c r="J137" s="218">
        <f t="shared" si="6"/>
        <v>2.2421524663677129E-2</v>
      </c>
      <c r="K137" s="218">
        <f t="shared" si="7"/>
        <v>2.6839559080165231E-2</v>
      </c>
      <c r="L137" s="218">
        <f t="shared" si="8"/>
        <v>24.3</v>
      </c>
      <c r="M137" s="218" t="s">
        <v>323</v>
      </c>
      <c r="P137" s="218">
        <v>132</v>
      </c>
      <c r="Q137" s="218">
        <v>91.4</v>
      </c>
      <c r="R137" s="218">
        <v>144</v>
      </c>
      <c r="S137" s="218">
        <v>35</v>
      </c>
      <c r="T137" s="218">
        <v>90.133333333333326</v>
      </c>
      <c r="U137" s="273">
        <v>1.1094674556213019E-2</v>
      </c>
      <c r="V137" s="218">
        <v>1.1102892833662066E-2</v>
      </c>
      <c r="W137" s="250">
        <v>1.8965854921068465E-4</v>
      </c>
      <c r="X137" s="250">
        <v>0.19896983075791022</v>
      </c>
      <c r="Z137" s="218">
        <v>129</v>
      </c>
      <c r="AA137" s="435">
        <v>0.19352465047829287</v>
      </c>
      <c r="AB137" s="435">
        <v>0.91666666666666663</v>
      </c>
      <c r="AC137" s="435">
        <v>0.8560606060606063</v>
      </c>
      <c r="AD137" s="435">
        <v>0.96031746031746035</v>
      </c>
      <c r="AE137" s="435">
        <v>1</v>
      </c>
      <c r="AG137" s="218">
        <v>129</v>
      </c>
      <c r="AH137" s="218">
        <v>0.99186991869918728</v>
      </c>
      <c r="AI137" s="218">
        <v>0.99588477366255079</v>
      </c>
      <c r="AJ137" s="218">
        <v>1.0162601626016259</v>
      </c>
      <c r="AK137" s="218">
        <v>0.98449612403100739</v>
      </c>
      <c r="AL137" s="218">
        <v>1.0357142857142854</v>
      </c>
      <c r="AM137" s="218">
        <v>129</v>
      </c>
      <c r="AN137" s="218">
        <v>0.98449612403100806</v>
      </c>
      <c r="AO137" s="218">
        <v>0.98780487804878081</v>
      </c>
      <c r="AS137" s="218">
        <v>129</v>
      </c>
      <c r="AT137" s="218">
        <v>0.91056910569105742</v>
      </c>
      <c r="AU137" s="218">
        <v>0.97560975609756151</v>
      </c>
      <c r="AW137" s="218">
        <v>0.99999999999999545</v>
      </c>
    </row>
    <row r="138" spans="1:49">
      <c r="A138" s="429">
        <v>0.67876157407407411</v>
      </c>
      <c r="B138" s="218">
        <v>49.2</v>
      </c>
      <c r="C138" s="218" t="s">
        <v>314</v>
      </c>
      <c r="D138" s="218">
        <v>24.6</v>
      </c>
      <c r="E138" s="218" t="s">
        <v>315</v>
      </c>
      <c r="F138" s="218">
        <v>22.7</v>
      </c>
      <c r="G138" s="218" t="s">
        <v>316</v>
      </c>
      <c r="H138" s="218">
        <v>81</v>
      </c>
      <c r="I138" s="218">
        <f t="shared" si="5"/>
        <v>44.6</v>
      </c>
      <c r="J138" s="218">
        <f t="shared" si="6"/>
        <v>2.2421524663677129E-2</v>
      </c>
      <c r="K138" s="218">
        <f t="shared" si="7"/>
        <v>2.6839559080165231E-2</v>
      </c>
      <c r="L138" s="218">
        <f t="shared" si="8"/>
        <v>24.3</v>
      </c>
      <c r="M138" s="218" t="s">
        <v>323</v>
      </c>
      <c r="P138" s="218">
        <v>133</v>
      </c>
      <c r="Q138" s="218">
        <v>87.5</v>
      </c>
      <c r="R138" s="218">
        <v>144</v>
      </c>
      <c r="S138" s="218">
        <v>37</v>
      </c>
      <c r="T138" s="218">
        <v>89.5</v>
      </c>
      <c r="U138" s="273">
        <v>1.11731843575419E-2</v>
      </c>
      <c r="V138" s="218">
        <v>1.113392945687746E-2</v>
      </c>
      <c r="W138" s="250">
        <v>1.9018871382810615E-4</v>
      </c>
      <c r="X138" s="250">
        <v>0.19757174392935983</v>
      </c>
      <c r="Z138" s="218">
        <v>130</v>
      </c>
      <c r="AA138" s="435">
        <v>0.19506990434142754</v>
      </c>
      <c r="AB138" s="435">
        <v>0.91666666666666663</v>
      </c>
      <c r="AC138" s="435">
        <v>0.85606060606060608</v>
      </c>
      <c r="AD138" s="435">
        <v>0.96031746031746035</v>
      </c>
      <c r="AE138" s="435">
        <v>0.987341772151899</v>
      </c>
      <c r="AG138" s="218">
        <v>130</v>
      </c>
      <c r="AH138" s="218">
        <v>0.99186991869918728</v>
      </c>
      <c r="AI138" s="218">
        <v>1.0041152263374493</v>
      </c>
      <c r="AJ138" s="218">
        <v>1.0243902439024393</v>
      </c>
      <c r="AK138" s="218">
        <v>0.97674418604651148</v>
      </c>
      <c r="AL138" s="218">
        <v>1.0357142857142854</v>
      </c>
      <c r="AM138" s="218">
        <v>130</v>
      </c>
      <c r="AN138" s="218">
        <v>0.98449612403100806</v>
      </c>
      <c r="AO138" s="218">
        <v>0.98780487804878081</v>
      </c>
      <c r="AS138" s="218">
        <v>130</v>
      </c>
      <c r="AT138" s="218">
        <v>0.91056910569105742</v>
      </c>
      <c r="AU138" s="218">
        <v>0.99186991869918584</v>
      </c>
      <c r="AW138" s="218">
        <v>0.9749999999999962</v>
      </c>
    </row>
    <row r="139" spans="1:49">
      <c r="A139" s="429">
        <v>0.67877314814814815</v>
      </c>
      <c r="B139" s="218">
        <v>49.8</v>
      </c>
      <c r="C139" s="218" t="s">
        <v>314</v>
      </c>
      <c r="D139" s="218">
        <v>24.9</v>
      </c>
      <c r="E139" s="218" t="s">
        <v>315</v>
      </c>
      <c r="F139" s="218">
        <v>22.7</v>
      </c>
      <c r="G139" s="218" t="s">
        <v>316</v>
      </c>
      <c r="H139" s="218">
        <v>82</v>
      </c>
      <c r="I139" s="218">
        <f t="shared" si="5"/>
        <v>49.2</v>
      </c>
      <c r="J139" s="218">
        <f t="shared" si="6"/>
        <v>2.032520325203252E-2</v>
      </c>
      <c r="K139" s="218">
        <f t="shared" si="7"/>
        <v>2.893588049180984E-2</v>
      </c>
      <c r="L139" s="218">
        <f t="shared" si="8"/>
        <v>28.900000000000002</v>
      </c>
      <c r="M139" s="218" t="s">
        <v>323</v>
      </c>
      <c r="P139" s="218">
        <v>134</v>
      </c>
      <c r="Q139" s="218">
        <v>92.2</v>
      </c>
      <c r="R139" s="218">
        <v>145</v>
      </c>
      <c r="S139" s="218">
        <v>37</v>
      </c>
      <c r="T139" s="218">
        <v>91.399999999999991</v>
      </c>
      <c r="U139" s="273">
        <v>1.0940919037199126E-2</v>
      </c>
      <c r="V139" s="218">
        <v>1.1057051697370514E-2</v>
      </c>
      <c r="W139" s="250">
        <v>1.8887549532252445E-4</v>
      </c>
      <c r="X139" s="250">
        <v>0.20176600441501102</v>
      </c>
      <c r="Z139" s="218">
        <v>131</v>
      </c>
      <c r="AA139" s="435">
        <v>0.19867549668874171</v>
      </c>
      <c r="AB139" s="435">
        <v>0.92057291666666663</v>
      </c>
      <c r="AC139" s="435">
        <v>0.86363636363636354</v>
      </c>
      <c r="AD139" s="435">
        <v>0.96031746031746035</v>
      </c>
      <c r="AE139" s="435">
        <v>0.987341772151899</v>
      </c>
      <c r="AG139" s="218">
        <v>131</v>
      </c>
      <c r="AH139" s="218">
        <v>0.98373983739837434</v>
      </c>
      <c r="AI139" s="218">
        <v>0.99588477366255235</v>
      </c>
      <c r="AJ139" s="218">
        <v>1.0325203252032529</v>
      </c>
      <c r="AK139" s="218">
        <v>0.97674418604651148</v>
      </c>
      <c r="AL139" s="218">
        <v>1.0357142857142854</v>
      </c>
      <c r="AM139" s="218">
        <v>131</v>
      </c>
      <c r="AN139" s="218">
        <v>0.98449612403100806</v>
      </c>
      <c r="AO139" s="218">
        <v>0.98780487804878081</v>
      </c>
      <c r="AS139" s="218">
        <v>131</v>
      </c>
      <c r="AT139" s="218">
        <v>0.91056910569105742</v>
      </c>
      <c r="AU139" s="218">
        <v>0.99186991869918584</v>
      </c>
      <c r="AW139" s="218">
        <v>0.99999999999999545</v>
      </c>
    </row>
    <row r="140" spans="1:49">
      <c r="A140" s="429">
        <v>0.67878472222222219</v>
      </c>
      <c r="B140" s="218">
        <v>50.7</v>
      </c>
      <c r="C140" s="218" t="s">
        <v>314</v>
      </c>
      <c r="D140" s="218">
        <v>25.4</v>
      </c>
      <c r="E140" s="218" t="s">
        <v>315</v>
      </c>
      <c r="F140" s="218">
        <v>22.7</v>
      </c>
      <c r="G140" s="218" t="s">
        <v>316</v>
      </c>
      <c r="H140" s="218">
        <v>83</v>
      </c>
      <c r="I140" s="218">
        <f t="shared" si="5"/>
        <v>49.8</v>
      </c>
      <c r="J140" s="218">
        <f t="shared" si="6"/>
        <v>2.0080321285140562E-2</v>
      </c>
      <c r="K140" s="218">
        <f t="shared" si="7"/>
        <v>2.9180762458701798E-2</v>
      </c>
      <c r="L140" s="218">
        <f t="shared" si="8"/>
        <v>29.499999999999996</v>
      </c>
      <c r="M140" s="218" t="s">
        <v>323</v>
      </c>
      <c r="P140" s="218">
        <v>135</v>
      </c>
      <c r="Q140" s="218">
        <v>92.4</v>
      </c>
      <c r="R140" s="218">
        <v>146</v>
      </c>
      <c r="S140" s="218">
        <v>38</v>
      </c>
      <c r="T140" s="218">
        <v>92.133333333333326</v>
      </c>
      <c r="U140" s="273">
        <v>1.0853835021707671E-2</v>
      </c>
      <c r="V140" s="218">
        <v>1.0897377029453398E-2</v>
      </c>
      <c r="W140" s="250">
        <v>1.8614794797819242E-4</v>
      </c>
      <c r="X140" s="250">
        <v>0.20338484179543781</v>
      </c>
      <c r="Z140" s="218">
        <v>132</v>
      </c>
      <c r="AA140" s="435">
        <v>0.19896983075791022</v>
      </c>
      <c r="AB140" s="435">
        <v>0.93229166666666663</v>
      </c>
      <c r="AC140" s="435">
        <v>0.87121212121212133</v>
      </c>
      <c r="AD140" s="435">
        <v>0.96825396825396814</v>
      </c>
      <c r="AE140" s="435">
        <v>0.974683544303798</v>
      </c>
      <c r="AG140" s="218">
        <v>132</v>
      </c>
      <c r="AH140" s="218">
        <v>0.98373983739837434</v>
      </c>
      <c r="AI140" s="218">
        <v>0.99588477366255079</v>
      </c>
      <c r="AJ140" s="218">
        <v>1.0243902439024393</v>
      </c>
      <c r="AK140" s="218">
        <v>0.98449612403100806</v>
      </c>
      <c r="AL140" s="218">
        <v>1.0357142857142854</v>
      </c>
      <c r="AM140" s="218">
        <v>132</v>
      </c>
      <c r="AN140" s="218">
        <v>0.97674418604651214</v>
      </c>
      <c r="AO140" s="218">
        <v>1.0121951219512193</v>
      </c>
      <c r="AS140" s="218">
        <v>132</v>
      </c>
      <c r="AT140" s="218">
        <v>0.9268292682926802</v>
      </c>
      <c r="AU140" s="218">
        <v>0.99186991869918584</v>
      </c>
      <c r="AW140" s="218">
        <v>0.99999999999999545</v>
      </c>
    </row>
    <row r="141" spans="1:49">
      <c r="A141" s="429">
        <v>0.67879629629629623</v>
      </c>
      <c r="B141" s="218">
        <v>54.8</v>
      </c>
      <c r="C141" s="218" t="s">
        <v>314</v>
      </c>
      <c r="D141" s="218">
        <v>27.4</v>
      </c>
      <c r="E141" s="218" t="s">
        <v>315</v>
      </c>
      <c r="F141" s="218">
        <v>22.7</v>
      </c>
      <c r="G141" s="218" t="s">
        <v>316</v>
      </c>
      <c r="H141" s="218">
        <v>84</v>
      </c>
      <c r="I141" s="218">
        <f t="shared" si="5"/>
        <v>50.7</v>
      </c>
      <c r="J141" s="218">
        <f t="shared" si="6"/>
        <v>1.9723865877712032E-2</v>
      </c>
      <c r="K141" s="218">
        <f t="shared" si="7"/>
        <v>2.9537217866130328E-2</v>
      </c>
      <c r="L141" s="218">
        <f t="shared" si="8"/>
        <v>30.400000000000002</v>
      </c>
      <c r="M141" s="218" t="s">
        <v>323</v>
      </c>
      <c r="P141" s="218">
        <v>136</v>
      </c>
      <c r="Q141" s="218">
        <v>92.3</v>
      </c>
      <c r="R141" s="218">
        <v>148</v>
      </c>
      <c r="S141" s="218">
        <v>38</v>
      </c>
      <c r="T141" s="218">
        <v>92.766666666666666</v>
      </c>
      <c r="U141" s="273">
        <v>1.0779734099892203E-2</v>
      </c>
      <c r="V141" s="218">
        <v>1.0816784560799937E-2</v>
      </c>
      <c r="W141" s="250">
        <v>1.8477127516768117E-4</v>
      </c>
      <c r="X141" s="250">
        <v>0.20478292862398823</v>
      </c>
      <c r="Z141" s="218">
        <v>133</v>
      </c>
      <c r="AA141" s="435">
        <v>0.19757174392935983</v>
      </c>
      <c r="AB141" s="435">
        <v>0.93359375</v>
      </c>
      <c r="AC141" s="435">
        <v>0.85606060606060608</v>
      </c>
      <c r="AD141" s="435">
        <v>0.96031746031746035</v>
      </c>
      <c r="AE141" s="435">
        <v>1</v>
      </c>
      <c r="AG141" s="218">
        <v>133</v>
      </c>
      <c r="AH141" s="218">
        <v>0.99186991869918728</v>
      </c>
      <c r="AI141" s="218">
        <v>0.99588477366255079</v>
      </c>
      <c r="AJ141" s="218">
        <v>1.0243902439024393</v>
      </c>
      <c r="AK141" s="218">
        <v>0.98449612403100806</v>
      </c>
      <c r="AL141" s="218">
        <v>1.0595238095238086</v>
      </c>
      <c r="AM141" s="218">
        <v>133</v>
      </c>
      <c r="AN141" s="218">
        <v>0.98449612403100806</v>
      </c>
      <c r="AO141" s="218">
        <v>0.98780487804878081</v>
      </c>
      <c r="AS141" s="218">
        <v>133</v>
      </c>
      <c r="AT141" s="218">
        <v>0.9268292682926802</v>
      </c>
      <c r="AU141" s="218">
        <v>0.98373983739837301</v>
      </c>
      <c r="AW141" s="218">
        <v>0.99999999999999545</v>
      </c>
    </row>
    <row r="142" spans="1:49">
      <c r="A142" s="429">
        <v>0.67880787037037038</v>
      </c>
      <c r="B142" s="218">
        <v>50.3</v>
      </c>
      <c r="C142" s="218" t="s">
        <v>314</v>
      </c>
      <c r="D142" s="218">
        <v>25.2</v>
      </c>
      <c r="E142" s="218" t="s">
        <v>315</v>
      </c>
      <c r="F142" s="218">
        <v>22.7</v>
      </c>
      <c r="G142" s="218" t="s">
        <v>316</v>
      </c>
      <c r="H142" s="218">
        <v>85</v>
      </c>
      <c r="I142" s="218">
        <f t="shared" si="5"/>
        <v>54.8</v>
      </c>
      <c r="J142" s="218">
        <f t="shared" si="6"/>
        <v>1.8248175182481754E-2</v>
      </c>
      <c r="K142" s="218">
        <f t="shared" si="7"/>
        <v>3.1012908561360606E-2</v>
      </c>
      <c r="L142" s="218">
        <f t="shared" si="8"/>
        <v>34.5</v>
      </c>
      <c r="M142" s="218" t="s">
        <v>323</v>
      </c>
      <c r="P142" s="218">
        <v>137</v>
      </c>
      <c r="Q142" s="218">
        <v>96.9</v>
      </c>
      <c r="R142" s="218">
        <v>149</v>
      </c>
      <c r="S142" s="218">
        <v>38</v>
      </c>
      <c r="T142" s="218">
        <v>94.633333333333326</v>
      </c>
      <c r="U142" s="273">
        <v>1.0567101091933781E-2</v>
      </c>
      <c r="V142" s="218">
        <v>1.0673417595912992E-2</v>
      </c>
      <c r="W142" s="250">
        <v>1.8232229444053595E-4</v>
      </c>
      <c r="X142" s="250">
        <v>0.2089036055923473</v>
      </c>
      <c r="Z142" s="218">
        <v>134</v>
      </c>
      <c r="AA142" s="435">
        <v>0.20176600441501102</v>
      </c>
      <c r="AB142" s="435">
        <v>0.93489583333333337</v>
      </c>
      <c r="AC142" s="435">
        <v>0.86363636363636354</v>
      </c>
      <c r="AD142" s="435">
        <v>0.96031746031746035</v>
      </c>
      <c r="AG142" s="218">
        <v>134</v>
      </c>
      <c r="AH142" s="218">
        <v>0.99186991869918728</v>
      </c>
      <c r="AI142" s="218">
        <v>0.99588477366255079</v>
      </c>
      <c r="AJ142" s="218">
        <v>1.0243902439024393</v>
      </c>
      <c r="AK142" s="218">
        <v>0.97674418604651148</v>
      </c>
      <c r="AL142" s="218">
        <v>1.047619047619047</v>
      </c>
      <c r="AM142" s="218">
        <v>134</v>
      </c>
      <c r="AN142" s="218">
        <v>0.98449612403100806</v>
      </c>
      <c r="AO142" s="218">
        <v>0.98780487804878081</v>
      </c>
      <c r="AS142" s="218">
        <v>134</v>
      </c>
      <c r="AT142" s="218">
        <v>0.91056910569105742</v>
      </c>
      <c r="AU142" s="218">
        <v>0.99186991869918584</v>
      </c>
      <c r="AW142" s="218">
        <v>0.99999999999999545</v>
      </c>
    </row>
    <row r="143" spans="1:49">
      <c r="A143" s="429">
        <v>0.67881944444444453</v>
      </c>
      <c r="B143" s="218">
        <v>50.7</v>
      </c>
      <c r="C143" s="218" t="s">
        <v>314</v>
      </c>
      <c r="D143" s="218">
        <v>25.4</v>
      </c>
      <c r="E143" s="218" t="s">
        <v>315</v>
      </c>
      <c r="F143" s="218">
        <v>22.7</v>
      </c>
      <c r="G143" s="218" t="s">
        <v>316</v>
      </c>
      <c r="H143" s="218">
        <v>86</v>
      </c>
      <c r="I143" s="218">
        <f t="shared" si="5"/>
        <v>50.3</v>
      </c>
      <c r="J143" s="218">
        <f t="shared" si="6"/>
        <v>1.9880715705765408E-2</v>
      </c>
      <c r="K143" s="218">
        <f t="shared" si="7"/>
        <v>2.9380368038076952E-2</v>
      </c>
      <c r="L143" s="218">
        <f t="shared" si="8"/>
        <v>29.999999999999996</v>
      </c>
      <c r="M143" s="218" t="s">
        <v>323</v>
      </c>
      <c r="P143" s="218">
        <v>138</v>
      </c>
      <c r="Q143" s="218">
        <v>101</v>
      </c>
      <c r="R143" s="218">
        <v>148</v>
      </c>
      <c r="S143" s="218">
        <v>38</v>
      </c>
      <c r="T143" s="218">
        <v>95.666666666666671</v>
      </c>
      <c r="U143" s="273">
        <v>1.0452961672473867E-2</v>
      </c>
      <c r="V143" s="218">
        <v>1.0510031382203824E-2</v>
      </c>
      <c r="W143" s="250">
        <v>1.7953134682739149E-4</v>
      </c>
      <c r="X143" s="250">
        <v>0.21118469462840325</v>
      </c>
      <c r="Z143" s="218">
        <v>135</v>
      </c>
      <c r="AA143" s="435">
        <v>0.20338484179543781</v>
      </c>
      <c r="AB143" s="435">
        <v>0.93489583333333337</v>
      </c>
      <c r="AC143" s="435">
        <v>0.87121212121212133</v>
      </c>
      <c r="AD143" s="435">
        <v>0.96825396825396814</v>
      </c>
      <c r="AG143" s="218">
        <v>135</v>
      </c>
      <c r="AH143" s="218">
        <v>0.99186991869918728</v>
      </c>
      <c r="AI143" s="218">
        <v>1.0041152263374493</v>
      </c>
      <c r="AJ143" s="218">
        <v>1.0081300813008127</v>
      </c>
      <c r="AK143" s="218">
        <v>0.98449612403100806</v>
      </c>
      <c r="AL143" s="218">
        <v>1.0595238095238086</v>
      </c>
      <c r="AM143" s="218">
        <v>135</v>
      </c>
      <c r="AN143" s="218">
        <v>0.98449612403100806</v>
      </c>
      <c r="AO143" s="218">
        <v>1</v>
      </c>
      <c r="AS143" s="218">
        <v>135</v>
      </c>
      <c r="AT143" s="218">
        <v>0.9268292682926802</v>
      </c>
      <c r="AU143" s="218">
        <v>0.99186991869918584</v>
      </c>
      <c r="AW143" s="218">
        <v>0.99999999999999545</v>
      </c>
    </row>
    <row r="144" spans="1:49">
      <c r="A144" s="429">
        <v>0.67883101851851846</v>
      </c>
      <c r="B144" s="218">
        <v>51.3</v>
      </c>
      <c r="C144" s="218" t="s">
        <v>314</v>
      </c>
      <c r="D144" s="218">
        <v>25.7</v>
      </c>
      <c r="E144" s="218" t="s">
        <v>315</v>
      </c>
      <c r="F144" s="218">
        <v>22.7</v>
      </c>
      <c r="G144" s="218" t="s">
        <v>316</v>
      </c>
      <c r="H144" s="218">
        <v>87</v>
      </c>
      <c r="I144" s="218">
        <f t="shared" si="5"/>
        <v>50.7</v>
      </c>
      <c r="J144" s="218">
        <f t="shared" si="6"/>
        <v>1.9723865877712032E-2</v>
      </c>
      <c r="K144" s="218">
        <f t="shared" si="7"/>
        <v>2.9537217866130328E-2</v>
      </c>
      <c r="L144" s="218">
        <f t="shared" si="8"/>
        <v>30.400000000000002</v>
      </c>
      <c r="M144" s="218" t="s">
        <v>323</v>
      </c>
      <c r="P144" s="218">
        <v>139</v>
      </c>
      <c r="Q144" s="218">
        <v>101.2</v>
      </c>
      <c r="R144" s="218">
        <v>148</v>
      </c>
      <c r="S144" s="218">
        <v>40</v>
      </c>
      <c r="T144" s="218">
        <v>96.399999999999991</v>
      </c>
      <c r="U144" s="273">
        <v>1.0373443983402491E-2</v>
      </c>
      <c r="V144" s="218">
        <v>1.041320282793818E-2</v>
      </c>
      <c r="W144" s="250">
        <v>1.7787733076155032E-4</v>
      </c>
      <c r="X144" s="250">
        <v>0.21280353200883001</v>
      </c>
      <c r="Z144" s="218">
        <v>136</v>
      </c>
      <c r="AA144" s="435">
        <v>0.20478292862398823</v>
      </c>
      <c r="AB144" s="435">
        <v>0.93880208333333337</v>
      </c>
      <c r="AC144" s="435">
        <v>0.87121212121212133</v>
      </c>
      <c r="AD144" s="435">
        <v>0.96825396825396814</v>
      </c>
      <c r="AG144" s="218">
        <v>136</v>
      </c>
      <c r="AH144" s="218">
        <v>0.98373983739837434</v>
      </c>
      <c r="AI144" s="218">
        <v>1.0041152263374493</v>
      </c>
      <c r="AJ144" s="218">
        <v>1.0243902439024386</v>
      </c>
      <c r="AK144" s="218">
        <v>0.96899224806201545</v>
      </c>
      <c r="AL144" s="218">
        <v>1.0595238095238086</v>
      </c>
      <c r="AM144" s="218">
        <v>136</v>
      </c>
      <c r="AN144" s="218">
        <v>0.98449612403100806</v>
      </c>
      <c r="AO144" s="218">
        <v>1</v>
      </c>
      <c r="AS144" s="218">
        <v>136</v>
      </c>
      <c r="AT144" s="218">
        <v>0.93495934959349447</v>
      </c>
      <c r="AU144" s="218">
        <v>0.98373983739837301</v>
      </c>
      <c r="AW144" s="218">
        <v>0.99999999999999545</v>
      </c>
    </row>
    <row r="145" spans="1:49">
      <c r="A145" s="429">
        <v>0.67884259259259261</v>
      </c>
      <c r="B145" s="218">
        <v>55.6</v>
      </c>
      <c r="C145" s="218" t="s">
        <v>314</v>
      </c>
      <c r="D145" s="218">
        <v>27.8</v>
      </c>
      <c r="E145" s="218" t="s">
        <v>315</v>
      </c>
      <c r="F145" s="218">
        <v>22.7</v>
      </c>
      <c r="G145" s="218" t="s">
        <v>316</v>
      </c>
      <c r="H145" s="218">
        <v>88</v>
      </c>
      <c r="I145" s="218">
        <f t="shared" si="5"/>
        <v>51.3</v>
      </c>
      <c r="J145" s="218">
        <f t="shared" si="6"/>
        <v>1.9493177387914232E-2</v>
      </c>
      <c r="K145" s="218">
        <f t="shared" si="7"/>
        <v>2.9767906355928127E-2</v>
      </c>
      <c r="L145" s="218">
        <f t="shared" si="8"/>
        <v>30.999999999999996</v>
      </c>
      <c r="M145" s="218" t="s">
        <v>323</v>
      </c>
      <c r="P145" s="218">
        <v>140</v>
      </c>
      <c r="Q145" s="218">
        <v>101.8</v>
      </c>
      <c r="R145" s="218">
        <v>148</v>
      </c>
      <c r="S145" s="218">
        <v>40</v>
      </c>
      <c r="T145" s="218">
        <v>96.600000000000009</v>
      </c>
      <c r="U145" s="273">
        <v>1.0351966873706004E-2</v>
      </c>
      <c r="V145" s="218">
        <v>1.0362705428554247E-2</v>
      </c>
      <c r="W145" s="250">
        <v>1.7701473903437156E-4</v>
      </c>
      <c r="X145" s="250">
        <v>0.2132450331125828</v>
      </c>
      <c r="Z145" s="218">
        <v>137</v>
      </c>
      <c r="AA145" s="435">
        <v>0.2089036055923473</v>
      </c>
      <c r="AB145" s="435">
        <v>0.95052083333333337</v>
      </c>
      <c r="AC145" s="435">
        <v>0.87121212121212133</v>
      </c>
      <c r="AD145" s="435">
        <v>0.96825396825396814</v>
      </c>
      <c r="AG145" s="218">
        <v>137</v>
      </c>
      <c r="AH145" s="218">
        <v>0.99186991869918728</v>
      </c>
      <c r="AI145" s="218">
        <v>1.0041152263374493</v>
      </c>
      <c r="AJ145" s="218">
        <v>1.036585365853659</v>
      </c>
      <c r="AK145" s="218">
        <v>0.97674418604651214</v>
      </c>
      <c r="AL145" s="218">
        <v>1.047619047619047</v>
      </c>
      <c r="AM145" s="218">
        <v>137</v>
      </c>
      <c r="AN145" s="218">
        <v>0.98449612403100806</v>
      </c>
      <c r="AO145" s="218">
        <v>0.98780487804878081</v>
      </c>
      <c r="AS145" s="218">
        <v>137</v>
      </c>
      <c r="AT145" s="218">
        <v>0.93495934959349447</v>
      </c>
      <c r="AU145" s="218">
        <v>0.99186991869918584</v>
      </c>
      <c r="AW145" s="218">
        <v>0.99999999999999545</v>
      </c>
    </row>
    <row r="146" spans="1:49">
      <c r="A146" s="429">
        <v>0.67885416666666665</v>
      </c>
      <c r="B146" s="218">
        <v>59</v>
      </c>
      <c r="C146" s="218" t="s">
        <v>314</v>
      </c>
      <c r="D146" s="218">
        <v>29.5</v>
      </c>
      <c r="E146" s="218" t="s">
        <v>315</v>
      </c>
      <c r="F146" s="218">
        <v>22.7</v>
      </c>
      <c r="G146" s="218" t="s">
        <v>316</v>
      </c>
      <c r="H146" s="218">
        <v>89</v>
      </c>
      <c r="I146" s="218">
        <f t="shared" si="5"/>
        <v>55.6</v>
      </c>
      <c r="J146" s="218">
        <f t="shared" si="6"/>
        <v>1.7985611510791366E-2</v>
      </c>
      <c r="K146" s="218">
        <f t="shared" si="7"/>
        <v>3.1275472233050994E-2</v>
      </c>
      <c r="L146" s="218">
        <f t="shared" si="8"/>
        <v>35.299999999999997</v>
      </c>
      <c r="M146" s="218" t="s">
        <v>323</v>
      </c>
      <c r="P146" s="218">
        <v>141</v>
      </c>
      <c r="Q146" s="218">
        <v>98</v>
      </c>
      <c r="R146" s="218">
        <v>147</v>
      </c>
      <c r="S146" s="218">
        <v>39</v>
      </c>
      <c r="T146" s="218">
        <v>94.666666666666671</v>
      </c>
      <c r="U146" s="273">
        <v>1.0563380281690141E-2</v>
      </c>
      <c r="V146" s="218">
        <v>1.0457673577698072E-2</v>
      </c>
      <c r="W146" s="250">
        <v>1.7863697583857035E-4</v>
      </c>
      <c r="X146" s="250">
        <v>0.20897718910963944</v>
      </c>
      <c r="Z146" s="218">
        <v>138</v>
      </c>
      <c r="AA146" s="435">
        <v>0.21118469462840325</v>
      </c>
      <c r="AB146" s="435">
        <v>0.953125</v>
      </c>
      <c r="AC146" s="435">
        <v>0.87121212121212133</v>
      </c>
      <c r="AD146" s="435">
        <v>0.97619047619047605</v>
      </c>
      <c r="AG146" s="218">
        <v>138</v>
      </c>
      <c r="AH146" s="218">
        <v>0.99186991869918728</v>
      </c>
      <c r="AI146" s="218">
        <v>1.0041152263374493</v>
      </c>
      <c r="AJ146" s="218">
        <v>1.0121951219512193</v>
      </c>
      <c r="AK146" s="218">
        <v>0.96511627906976716</v>
      </c>
      <c r="AL146" s="218">
        <v>1.0357142857142854</v>
      </c>
      <c r="AM146" s="218">
        <v>138</v>
      </c>
      <c r="AN146" s="218">
        <v>0.98449612403100806</v>
      </c>
      <c r="AO146" s="218">
        <v>0.98780487804878081</v>
      </c>
      <c r="AS146" s="218">
        <v>138</v>
      </c>
      <c r="AT146" s="218">
        <v>0.94308943089430886</v>
      </c>
      <c r="AU146" s="218">
        <v>0.98373983739837156</v>
      </c>
      <c r="AW146" s="218">
        <v>0.99999999999999545</v>
      </c>
    </row>
    <row r="147" spans="1:49">
      <c r="A147" s="429">
        <v>0.6788657407407408</v>
      </c>
      <c r="B147" s="218">
        <v>58.5</v>
      </c>
      <c r="C147" s="218" t="s">
        <v>314</v>
      </c>
      <c r="D147" s="218">
        <v>29.3</v>
      </c>
      <c r="E147" s="218" t="s">
        <v>315</v>
      </c>
      <c r="F147" s="218">
        <v>22.7</v>
      </c>
      <c r="G147" s="218" t="s">
        <v>316</v>
      </c>
      <c r="H147" s="218">
        <v>90</v>
      </c>
      <c r="I147" s="218">
        <f t="shared" si="5"/>
        <v>59</v>
      </c>
      <c r="J147" s="218">
        <f t="shared" si="6"/>
        <v>1.6949152542372881E-2</v>
      </c>
      <c r="K147" s="218">
        <f t="shared" si="7"/>
        <v>3.2311931201469482E-2</v>
      </c>
      <c r="L147" s="218">
        <f t="shared" si="8"/>
        <v>38.700000000000003</v>
      </c>
      <c r="M147" s="218" t="s">
        <v>323</v>
      </c>
      <c r="P147" s="218">
        <v>142</v>
      </c>
      <c r="Q147" s="218">
        <v>103.10000000000001</v>
      </c>
      <c r="R147" s="218">
        <v>150</v>
      </c>
      <c r="S147" s="218">
        <v>39</v>
      </c>
      <c r="T147" s="218">
        <v>97.366666666666674</v>
      </c>
      <c r="U147" s="273">
        <v>1.0270455323519341E-2</v>
      </c>
      <c r="V147" s="218">
        <v>1.0416917802604741E-2</v>
      </c>
      <c r="W147" s="250">
        <v>1.7794078960206783E-4</v>
      </c>
      <c r="X147" s="250">
        <v>0.2149374540103017</v>
      </c>
      <c r="Z147" s="218">
        <v>139</v>
      </c>
      <c r="AA147" s="435">
        <v>0.21280353200883001</v>
      </c>
      <c r="AB147" s="435">
        <v>0.94140625</v>
      </c>
      <c r="AC147" s="435">
        <v>0.86363636363636387</v>
      </c>
      <c r="AD147" s="435">
        <v>0.97619047619047605</v>
      </c>
      <c r="AG147" s="218">
        <v>139</v>
      </c>
      <c r="AH147" s="218">
        <v>1.0243902439024386</v>
      </c>
      <c r="AI147" s="218">
        <v>1</v>
      </c>
      <c r="AJ147" s="218">
        <v>1.0243902439024386</v>
      </c>
      <c r="AK147" s="218">
        <v>0.97674418604651214</v>
      </c>
      <c r="AL147" s="218">
        <v>1.047619047619047</v>
      </c>
      <c r="AM147" s="218">
        <v>139</v>
      </c>
      <c r="AN147" s="218">
        <v>0.98449612403100806</v>
      </c>
      <c r="AO147" s="218">
        <v>1</v>
      </c>
      <c r="AS147" s="218">
        <v>139</v>
      </c>
      <c r="AT147" s="218">
        <v>0.94308943089430886</v>
      </c>
      <c r="AU147" s="218">
        <v>0.99186991869918584</v>
      </c>
      <c r="AW147" s="218">
        <v>1</v>
      </c>
    </row>
    <row r="148" spans="1:49">
      <c r="A148" s="429">
        <v>0.67887731481481473</v>
      </c>
      <c r="B148" s="218">
        <v>58.5</v>
      </c>
      <c r="C148" s="218" t="s">
        <v>314</v>
      </c>
      <c r="D148" s="218">
        <v>29.3</v>
      </c>
      <c r="E148" s="218" t="s">
        <v>315</v>
      </c>
      <c r="F148" s="218">
        <v>22.7</v>
      </c>
      <c r="G148" s="218" t="s">
        <v>316</v>
      </c>
      <c r="H148" s="218">
        <v>91</v>
      </c>
      <c r="I148" s="218">
        <f t="shared" si="5"/>
        <v>58.5</v>
      </c>
      <c r="J148" s="218">
        <f t="shared" si="6"/>
        <v>1.7094017094017096E-2</v>
      </c>
      <c r="K148" s="218">
        <f t="shared" si="7"/>
        <v>3.2167066649825264E-2</v>
      </c>
      <c r="L148" s="218">
        <f t="shared" si="8"/>
        <v>38.200000000000003</v>
      </c>
      <c r="M148" s="218" t="s">
        <v>323</v>
      </c>
      <c r="P148" s="218">
        <v>143</v>
      </c>
      <c r="Q148" s="218">
        <v>108.7</v>
      </c>
      <c r="R148" s="218">
        <v>149</v>
      </c>
      <c r="S148" s="218">
        <v>42</v>
      </c>
      <c r="T148" s="218">
        <v>99.899999999999991</v>
      </c>
      <c r="U148" s="273">
        <v>1.0010010010010012E-2</v>
      </c>
      <c r="V148" s="218">
        <v>1.0140232666764677E-2</v>
      </c>
      <c r="W148" s="250">
        <v>1.7321448068080268E-4</v>
      </c>
      <c r="X148" s="250">
        <v>0.22052980132450328</v>
      </c>
      <c r="Z148" s="218">
        <v>140</v>
      </c>
      <c r="AA148" s="435">
        <v>0.2132450331125828</v>
      </c>
      <c r="AB148" s="435">
        <v>0.94140625</v>
      </c>
      <c r="AC148" s="435">
        <v>0.87121212121212133</v>
      </c>
      <c r="AD148" s="435">
        <v>0.99206349206349143</v>
      </c>
      <c r="AG148" s="218">
        <v>140</v>
      </c>
      <c r="AH148" s="218">
        <v>1.0243902439024386</v>
      </c>
      <c r="AI148" s="218">
        <v>1</v>
      </c>
      <c r="AJ148" s="218">
        <v>1.0243902439024386</v>
      </c>
      <c r="AK148" s="218">
        <v>0.97674418604651214</v>
      </c>
      <c r="AL148" s="218">
        <v>1.0357142857142854</v>
      </c>
      <c r="AM148" s="218">
        <v>140</v>
      </c>
      <c r="AN148" s="218">
        <v>0.99224806201550408</v>
      </c>
      <c r="AO148" s="218">
        <v>1</v>
      </c>
      <c r="AS148" s="218">
        <v>140</v>
      </c>
      <c r="AT148" s="218">
        <v>0.93495934959349447</v>
      </c>
      <c r="AU148" s="218">
        <v>0.99186991869918584</v>
      </c>
      <c r="AW148" s="218">
        <v>1</v>
      </c>
    </row>
    <row r="149" spans="1:49">
      <c r="A149" s="429">
        <v>0.67888888888888888</v>
      </c>
      <c r="B149" s="218">
        <v>62</v>
      </c>
      <c r="C149" s="218" t="s">
        <v>314</v>
      </c>
      <c r="D149" s="218">
        <v>31</v>
      </c>
      <c r="E149" s="218" t="s">
        <v>315</v>
      </c>
      <c r="F149" s="218">
        <v>22.7</v>
      </c>
      <c r="G149" s="218" t="s">
        <v>316</v>
      </c>
      <c r="H149" s="218">
        <v>92</v>
      </c>
      <c r="I149" s="218">
        <f t="shared" si="5"/>
        <v>58.5</v>
      </c>
      <c r="J149" s="218">
        <f t="shared" si="6"/>
        <v>1.7094017094017096E-2</v>
      </c>
      <c r="K149" s="218">
        <f t="shared" si="7"/>
        <v>3.2167066649825264E-2</v>
      </c>
      <c r="L149" s="218">
        <f t="shared" si="8"/>
        <v>38.200000000000003</v>
      </c>
      <c r="M149" s="218" t="s">
        <v>323</v>
      </c>
      <c r="P149" s="218">
        <v>144</v>
      </c>
      <c r="Q149" s="218">
        <v>108.8</v>
      </c>
      <c r="R149" s="218">
        <v>154</v>
      </c>
      <c r="S149" s="218">
        <v>42</v>
      </c>
      <c r="T149" s="218">
        <v>101.60000000000001</v>
      </c>
      <c r="U149" s="273">
        <v>9.8425196850393699E-3</v>
      </c>
      <c r="V149" s="218">
        <v>9.9262648475246899E-3</v>
      </c>
      <c r="W149" s="250">
        <v>1.6955950293916442E-4</v>
      </c>
      <c r="X149" s="250">
        <v>0.22428256070640179</v>
      </c>
      <c r="Z149" s="218">
        <v>141</v>
      </c>
      <c r="AA149" s="435">
        <v>0.20897718910963944</v>
      </c>
      <c r="AB149" s="435">
        <v>0.9453125</v>
      </c>
      <c r="AC149" s="435">
        <v>0.86363636363636354</v>
      </c>
      <c r="AD149" s="435">
        <v>0.97619047619047605</v>
      </c>
      <c r="AG149" s="218">
        <v>141</v>
      </c>
      <c r="AH149" s="218">
        <v>1.0243902439024386</v>
      </c>
      <c r="AI149" s="218">
        <v>1</v>
      </c>
      <c r="AJ149" s="218">
        <v>1.0243902439024386</v>
      </c>
      <c r="AK149" s="218">
        <v>0.97674418604651214</v>
      </c>
      <c r="AL149" s="218">
        <v>1.0357142857142854</v>
      </c>
      <c r="AM149" s="218">
        <v>141</v>
      </c>
      <c r="AN149" s="218">
        <v>0.97674418604651214</v>
      </c>
      <c r="AO149" s="218">
        <v>0.98780487804878081</v>
      </c>
      <c r="AS149" s="218">
        <v>141</v>
      </c>
      <c r="AT149" s="218">
        <v>0.94308943089430886</v>
      </c>
      <c r="AU149" s="218">
        <v>0.98373983739837301</v>
      </c>
      <c r="AW149" s="218">
        <v>1</v>
      </c>
    </row>
    <row r="150" spans="1:49">
      <c r="A150" s="429">
        <v>0.67890046296296302</v>
      </c>
      <c r="B150" s="218">
        <v>61.6</v>
      </c>
      <c r="C150" s="218" t="s">
        <v>314</v>
      </c>
      <c r="D150" s="218">
        <v>30.8</v>
      </c>
      <c r="E150" s="218" t="s">
        <v>315</v>
      </c>
      <c r="F150" s="218">
        <v>22.7</v>
      </c>
      <c r="G150" s="218" t="s">
        <v>316</v>
      </c>
      <c r="H150" s="218">
        <v>93</v>
      </c>
      <c r="I150" s="218">
        <f t="shared" si="5"/>
        <v>62</v>
      </c>
      <c r="J150" s="218">
        <f t="shared" si="6"/>
        <v>1.6129032258064516E-2</v>
      </c>
      <c r="K150" s="218">
        <f t="shared" si="7"/>
        <v>3.3132051485777844E-2</v>
      </c>
      <c r="L150" s="218">
        <f t="shared" si="8"/>
        <v>41.7</v>
      </c>
      <c r="M150" s="218" t="s">
        <v>323</v>
      </c>
      <c r="P150" s="218">
        <v>145</v>
      </c>
      <c r="Q150" s="218">
        <v>109.10000000000001</v>
      </c>
      <c r="R150" s="218">
        <v>152</v>
      </c>
      <c r="S150" s="218">
        <v>43</v>
      </c>
      <c r="T150" s="218">
        <v>101.36666666666667</v>
      </c>
      <c r="U150" s="273">
        <v>9.8651759289707323E-3</v>
      </c>
      <c r="V150" s="218">
        <v>9.853847807005052E-3</v>
      </c>
      <c r="W150" s="250">
        <v>1.6832248200697588E-4</v>
      </c>
      <c r="X150" s="250">
        <v>0.22376747608535691</v>
      </c>
      <c r="Z150" s="218">
        <v>142</v>
      </c>
      <c r="AA150" s="435">
        <v>0.2149374540103017</v>
      </c>
      <c r="AB150" s="435">
        <v>0.94401041666666663</v>
      </c>
      <c r="AC150" s="435">
        <v>0.87121212121212133</v>
      </c>
      <c r="AD150" s="435">
        <v>0.97619047619047605</v>
      </c>
      <c r="AG150" s="218">
        <v>142</v>
      </c>
      <c r="AH150" s="218">
        <v>1.0121951219512193</v>
      </c>
      <c r="AI150" s="218">
        <v>1</v>
      </c>
      <c r="AJ150" s="218">
        <v>1.0243902439024386</v>
      </c>
      <c r="AK150" s="218">
        <v>0.97674418604651214</v>
      </c>
      <c r="AL150" s="218">
        <v>1.047619047619047</v>
      </c>
      <c r="AM150" s="218">
        <v>142</v>
      </c>
      <c r="AN150" s="218">
        <v>0.99224806201550408</v>
      </c>
      <c r="AO150" s="218">
        <v>0.98780487804878081</v>
      </c>
      <c r="AS150" s="218">
        <v>142</v>
      </c>
      <c r="AT150" s="218">
        <v>0.94308943089430886</v>
      </c>
      <c r="AU150" s="218">
        <v>0.99186991869918584</v>
      </c>
      <c r="AW150" s="218">
        <v>1</v>
      </c>
    </row>
    <row r="151" spans="1:49">
      <c r="A151" s="429">
        <v>0.67891203703703706</v>
      </c>
      <c r="B151" s="218">
        <v>67.599999999999994</v>
      </c>
      <c r="C151" s="218" t="s">
        <v>314</v>
      </c>
      <c r="D151" s="218">
        <v>33.799999999999997</v>
      </c>
      <c r="E151" s="218" t="s">
        <v>315</v>
      </c>
      <c r="F151" s="218">
        <v>22.7</v>
      </c>
      <c r="G151" s="218" t="s">
        <v>316</v>
      </c>
      <c r="H151" s="218">
        <v>94</v>
      </c>
      <c r="I151" s="218">
        <f t="shared" si="5"/>
        <v>61.6</v>
      </c>
      <c r="J151" s="218">
        <f t="shared" si="6"/>
        <v>1.6233766233766232E-2</v>
      </c>
      <c r="K151" s="218">
        <f t="shared" si="7"/>
        <v>3.3027317510076128E-2</v>
      </c>
      <c r="L151" s="218">
        <f t="shared" si="8"/>
        <v>41.3</v>
      </c>
      <c r="M151" s="218" t="s">
        <v>323</v>
      </c>
      <c r="P151" s="218">
        <v>146</v>
      </c>
      <c r="Q151" s="218">
        <v>109.10000000000001</v>
      </c>
      <c r="R151" s="218">
        <v>156</v>
      </c>
      <c r="S151" s="218">
        <v>43</v>
      </c>
      <c r="T151" s="218">
        <v>102.7</v>
      </c>
      <c r="U151" s="273">
        <v>9.7370983446932804E-3</v>
      </c>
      <c r="V151" s="218">
        <v>9.8011371368320055E-3</v>
      </c>
      <c r="W151" s="250">
        <v>1.6742208340071054E-4</v>
      </c>
      <c r="X151" s="250">
        <v>0.22671081677704194</v>
      </c>
      <c r="Z151" s="218">
        <v>143</v>
      </c>
      <c r="AA151" s="435">
        <v>0.22052980132450328</v>
      </c>
      <c r="AB151" s="435">
        <v>0.95833333333333337</v>
      </c>
      <c r="AC151" s="435">
        <v>0.87878787878787912</v>
      </c>
      <c r="AD151" s="435">
        <v>0.98412698412698363</v>
      </c>
      <c r="AG151" s="218">
        <v>143</v>
      </c>
      <c r="AH151" s="218">
        <v>1.0243902439024386</v>
      </c>
      <c r="AI151" s="218">
        <v>1</v>
      </c>
      <c r="AJ151" s="218">
        <v>1.0243902439024386</v>
      </c>
      <c r="AK151" s="218">
        <v>0.97674418604651214</v>
      </c>
      <c r="AL151" s="218">
        <v>1.0357142857142854</v>
      </c>
      <c r="AM151" s="218">
        <v>143</v>
      </c>
      <c r="AN151" s="218">
        <v>0.98449612403100806</v>
      </c>
      <c r="AO151" s="218">
        <v>0.98780487804878081</v>
      </c>
      <c r="AS151" s="218">
        <v>143</v>
      </c>
      <c r="AT151" s="218">
        <v>0.94308943089430886</v>
      </c>
      <c r="AU151" s="218">
        <v>1</v>
      </c>
      <c r="AW151" s="218">
        <v>1.0249999999999948</v>
      </c>
    </row>
    <row r="152" spans="1:49">
      <c r="A152" s="429">
        <v>0.6789236111111111</v>
      </c>
      <c r="B152" s="218">
        <v>67.099999999999994</v>
      </c>
      <c r="C152" s="218" t="s">
        <v>314</v>
      </c>
      <c r="D152" s="218">
        <v>33.6</v>
      </c>
      <c r="E152" s="218" t="s">
        <v>315</v>
      </c>
      <c r="F152" s="218">
        <v>22.7</v>
      </c>
      <c r="G152" s="218" t="s">
        <v>316</v>
      </c>
      <c r="H152" s="218">
        <v>95</v>
      </c>
      <c r="I152" s="218">
        <f t="shared" si="5"/>
        <v>67.599999999999994</v>
      </c>
      <c r="J152" s="218">
        <f t="shared" si="6"/>
        <v>1.4792899408284025E-2</v>
      </c>
      <c r="K152" s="218">
        <f t="shared" si="7"/>
        <v>3.4468184335558337E-2</v>
      </c>
      <c r="L152" s="218">
        <f t="shared" si="8"/>
        <v>47.3</v>
      </c>
      <c r="M152" s="218" t="s">
        <v>323</v>
      </c>
      <c r="P152" s="218">
        <v>147</v>
      </c>
      <c r="Q152" s="218">
        <v>108.7</v>
      </c>
      <c r="R152" s="218">
        <v>156</v>
      </c>
      <c r="S152" s="218">
        <v>45</v>
      </c>
      <c r="T152" s="218">
        <v>103.23333333333333</v>
      </c>
      <c r="U152" s="273">
        <v>9.6867936712948018E-3</v>
      </c>
      <c r="V152" s="218">
        <v>9.711946007994042E-3</v>
      </c>
      <c r="W152" s="250">
        <v>1.658985291026284E-4</v>
      </c>
      <c r="X152" s="250">
        <v>0.22788815305371596</v>
      </c>
      <c r="Z152" s="218">
        <v>144</v>
      </c>
      <c r="AA152" s="435">
        <v>0.22428256070640179</v>
      </c>
      <c r="AB152" s="435">
        <v>0.94661458333333337</v>
      </c>
      <c r="AC152" s="435">
        <v>0.87878787878787912</v>
      </c>
      <c r="AD152" s="435">
        <v>0.97619047619047605</v>
      </c>
      <c r="AG152" s="218">
        <v>144</v>
      </c>
      <c r="AH152" s="218">
        <v>1.0121951219512193</v>
      </c>
      <c r="AJ152" s="218">
        <v>1.0243902439024386</v>
      </c>
      <c r="AK152" s="218">
        <v>0.97674418604651214</v>
      </c>
      <c r="AL152" s="218">
        <v>1.0238095238095237</v>
      </c>
      <c r="AM152" s="218">
        <v>144</v>
      </c>
      <c r="AN152" s="218">
        <v>0.97674418604651214</v>
      </c>
      <c r="AO152" s="218">
        <v>1</v>
      </c>
      <c r="AS152" s="218">
        <v>144</v>
      </c>
      <c r="AT152" s="218">
        <v>0.95121951219512313</v>
      </c>
      <c r="AU152" s="218">
        <v>0.97560975609756151</v>
      </c>
      <c r="AW152" s="218">
        <v>1</v>
      </c>
    </row>
    <row r="153" spans="1:49">
      <c r="A153" s="429">
        <v>0.67893518518518514</v>
      </c>
      <c r="B153" s="218">
        <v>66.599999999999994</v>
      </c>
      <c r="C153" s="218" t="s">
        <v>314</v>
      </c>
      <c r="D153" s="218">
        <v>33.299999999999997</v>
      </c>
      <c r="E153" s="218" t="s">
        <v>315</v>
      </c>
      <c r="F153" s="218">
        <v>22.7</v>
      </c>
      <c r="G153" s="218" t="s">
        <v>316</v>
      </c>
      <c r="H153" s="218">
        <v>96</v>
      </c>
      <c r="I153" s="218">
        <f t="shared" si="5"/>
        <v>67.099999999999994</v>
      </c>
      <c r="J153" s="218">
        <f t="shared" si="6"/>
        <v>1.490312965722802E-2</v>
      </c>
      <c r="K153" s="218">
        <f t="shared" si="7"/>
        <v>3.4357954086614337E-2</v>
      </c>
      <c r="L153" s="218">
        <f t="shared" si="8"/>
        <v>46.8</v>
      </c>
      <c r="M153" s="218" t="s">
        <v>323</v>
      </c>
      <c r="P153" s="218">
        <v>148</v>
      </c>
      <c r="Q153" s="218">
        <v>104.5</v>
      </c>
      <c r="R153" s="218">
        <v>159</v>
      </c>
      <c r="S153" s="218">
        <v>45</v>
      </c>
      <c r="T153" s="218">
        <v>102.83333333333333</v>
      </c>
      <c r="U153" s="273">
        <v>9.7244732576985422E-3</v>
      </c>
      <c r="V153" s="218">
        <v>9.705633464496672E-3</v>
      </c>
      <c r="W153" s="250">
        <v>1.6579069884077889E-4</v>
      </c>
      <c r="X153" s="250">
        <v>0.22700515084621045</v>
      </c>
      <c r="Z153" s="218">
        <v>145</v>
      </c>
      <c r="AA153" s="435">
        <v>0.22376747608535691</v>
      </c>
      <c r="AB153" s="435">
        <v>0.95963541666666663</v>
      </c>
      <c r="AC153" s="435">
        <v>0.87878787878787912</v>
      </c>
      <c r="AD153" s="435">
        <v>0.98412698412698363</v>
      </c>
      <c r="AG153" s="218">
        <v>145</v>
      </c>
      <c r="AH153" s="218">
        <v>1</v>
      </c>
      <c r="AJ153" s="218">
        <v>1.0243902439024386</v>
      </c>
      <c r="AK153" s="218">
        <v>0.97674418604651214</v>
      </c>
      <c r="AL153" s="218">
        <v>1</v>
      </c>
      <c r="AM153" s="218">
        <v>145</v>
      </c>
      <c r="AN153" s="218">
        <v>0.97674418604651214</v>
      </c>
      <c r="AO153" s="218">
        <v>1</v>
      </c>
      <c r="AS153" s="218">
        <v>145</v>
      </c>
      <c r="AT153" s="218">
        <v>0.95121951219512313</v>
      </c>
      <c r="AU153" s="218">
        <v>1</v>
      </c>
      <c r="AW153" s="218">
        <v>1</v>
      </c>
    </row>
    <row r="154" spans="1:49">
      <c r="A154" s="429">
        <v>0.67894675925925929</v>
      </c>
      <c r="B154" s="218">
        <v>70.3</v>
      </c>
      <c r="C154" s="218" t="s">
        <v>314</v>
      </c>
      <c r="D154" s="218">
        <v>35.200000000000003</v>
      </c>
      <c r="E154" s="218" t="s">
        <v>315</v>
      </c>
      <c r="F154" s="218">
        <v>22.7</v>
      </c>
      <c r="G154" s="218" t="s">
        <v>316</v>
      </c>
      <c r="H154" s="218">
        <v>97</v>
      </c>
      <c r="I154" s="218">
        <f t="shared" si="5"/>
        <v>66.599999999999994</v>
      </c>
      <c r="J154" s="218">
        <f t="shared" si="6"/>
        <v>1.5015015015015017E-2</v>
      </c>
      <c r="K154" s="218">
        <f t="shared" si="7"/>
        <v>3.4246068728827343E-2</v>
      </c>
      <c r="L154" s="218">
        <f t="shared" si="8"/>
        <v>46.3</v>
      </c>
      <c r="M154" s="218" t="s">
        <v>323</v>
      </c>
      <c r="P154" s="218">
        <v>149</v>
      </c>
      <c r="Q154" s="218">
        <v>109.89999999999999</v>
      </c>
      <c r="R154" s="218">
        <v>159</v>
      </c>
      <c r="S154" s="218">
        <v>47</v>
      </c>
      <c r="T154" s="218">
        <v>105.3</v>
      </c>
      <c r="U154" s="273">
        <v>9.4966761633428296E-3</v>
      </c>
      <c r="V154" s="218">
        <v>9.6105747105206859E-3</v>
      </c>
      <c r="W154" s="250">
        <v>1.6416691433353761E-4</v>
      </c>
      <c r="X154" s="250">
        <v>0.2324503311258278</v>
      </c>
      <c r="Z154" s="218">
        <v>146</v>
      </c>
      <c r="AA154" s="435">
        <v>0.22671081677704194</v>
      </c>
      <c r="AB154" s="435">
        <v>0.96354166666666663</v>
      </c>
      <c r="AC154" s="435">
        <v>0.87878787878787912</v>
      </c>
      <c r="AD154" s="435">
        <v>0.97619047619047605</v>
      </c>
      <c r="AG154" s="218">
        <v>146</v>
      </c>
      <c r="AH154" s="218">
        <v>1.0121951219512193</v>
      </c>
      <c r="AJ154" s="218">
        <v>1.0243902439024386</v>
      </c>
      <c r="AK154" s="218">
        <v>0.97674418604651214</v>
      </c>
      <c r="AL154" s="218">
        <v>1</v>
      </c>
      <c r="AM154" s="218">
        <v>146</v>
      </c>
      <c r="AN154" s="218">
        <v>0.97674418604651214</v>
      </c>
      <c r="AO154" s="218">
        <v>1</v>
      </c>
      <c r="AS154" s="218">
        <v>146</v>
      </c>
      <c r="AT154" s="218">
        <v>0.95121951219512313</v>
      </c>
      <c r="AU154" s="218">
        <v>1</v>
      </c>
      <c r="AW154" s="218">
        <v>1.0249999999999948</v>
      </c>
    </row>
    <row r="155" spans="1:49">
      <c r="A155" s="429">
        <v>0.67895833333333344</v>
      </c>
      <c r="B155" s="218">
        <v>70.3</v>
      </c>
      <c r="C155" s="218" t="s">
        <v>314</v>
      </c>
      <c r="D155" s="218">
        <v>35.200000000000003</v>
      </c>
      <c r="E155" s="218" t="s">
        <v>315</v>
      </c>
      <c r="F155" s="218">
        <v>22.7</v>
      </c>
      <c r="G155" s="218" t="s">
        <v>316</v>
      </c>
      <c r="H155" s="218">
        <v>98</v>
      </c>
      <c r="I155" s="218">
        <f t="shared" si="5"/>
        <v>70.3</v>
      </c>
      <c r="J155" s="218">
        <f t="shared" si="6"/>
        <v>1.422475106685633E-2</v>
      </c>
      <c r="K155" s="218">
        <f t="shared" si="7"/>
        <v>3.5036332676986026E-2</v>
      </c>
      <c r="L155" s="218">
        <f t="shared" si="8"/>
        <v>50</v>
      </c>
      <c r="M155" s="218" t="s">
        <v>323</v>
      </c>
      <c r="P155" s="218">
        <v>150</v>
      </c>
      <c r="Q155" s="218">
        <v>110.50000000000001</v>
      </c>
      <c r="R155" s="218">
        <v>162</v>
      </c>
      <c r="S155" s="218">
        <v>47</v>
      </c>
      <c r="T155" s="218">
        <v>106.5</v>
      </c>
      <c r="U155" s="273">
        <v>9.3896713615023476E-3</v>
      </c>
      <c r="V155" s="218">
        <v>9.4431737624225895E-3</v>
      </c>
      <c r="W155" s="250">
        <v>1.6130738741308311E-4</v>
      </c>
      <c r="X155" s="250">
        <v>0.23509933774834438</v>
      </c>
      <c r="Z155" s="218">
        <v>147</v>
      </c>
      <c r="AA155" s="435">
        <v>0.22788815305371596</v>
      </c>
      <c r="AB155" s="435">
        <v>0.96223958333333337</v>
      </c>
      <c r="AC155" s="435">
        <v>0.87878787878787867</v>
      </c>
      <c r="AD155" s="435">
        <v>0.96825396825396814</v>
      </c>
      <c r="AG155" s="218">
        <v>147</v>
      </c>
      <c r="AH155" s="218">
        <v>1.0243902439024386</v>
      </c>
      <c r="AJ155" s="218">
        <v>1</v>
      </c>
      <c r="AK155" s="218">
        <v>1</v>
      </c>
      <c r="AL155" s="218">
        <v>1</v>
      </c>
      <c r="AM155" s="218">
        <v>147</v>
      </c>
      <c r="AN155" s="218">
        <v>0.98449612403100806</v>
      </c>
      <c r="AO155" s="218">
        <v>1</v>
      </c>
      <c r="AS155" s="218">
        <v>147</v>
      </c>
      <c r="AT155" s="218">
        <v>0.95121951219512313</v>
      </c>
      <c r="AU155" s="218">
        <v>0.97560975609756151</v>
      </c>
      <c r="AW155" s="218">
        <v>1.0249999999999948</v>
      </c>
    </row>
    <row r="156" spans="1:49">
      <c r="A156" s="429">
        <v>0.67896990740740737</v>
      </c>
      <c r="B156" s="218">
        <v>66</v>
      </c>
      <c r="C156" s="218" t="s">
        <v>314</v>
      </c>
      <c r="D156" s="218">
        <v>33</v>
      </c>
      <c r="E156" s="218" t="s">
        <v>315</v>
      </c>
      <c r="F156" s="218">
        <v>22.7</v>
      </c>
      <c r="G156" s="218" t="s">
        <v>316</v>
      </c>
      <c r="H156" s="218">
        <v>99</v>
      </c>
      <c r="I156" s="218">
        <f t="shared" si="5"/>
        <v>70.3</v>
      </c>
      <c r="J156" s="218">
        <f t="shared" si="6"/>
        <v>1.422475106685633E-2</v>
      </c>
      <c r="K156" s="218">
        <f t="shared" si="7"/>
        <v>3.5036332676986026E-2</v>
      </c>
      <c r="L156" s="218">
        <f t="shared" si="8"/>
        <v>50</v>
      </c>
      <c r="M156" s="218" t="s">
        <v>323</v>
      </c>
      <c r="P156" s="218">
        <v>151</v>
      </c>
      <c r="Q156" s="218">
        <v>110.8</v>
      </c>
      <c r="R156" s="218">
        <v>162</v>
      </c>
      <c r="S156" s="218">
        <v>45</v>
      </c>
      <c r="T156" s="218">
        <v>105.93333333333334</v>
      </c>
      <c r="U156" s="273">
        <v>9.4398993077407164E-3</v>
      </c>
      <c r="V156" s="218">
        <v>9.414785334621532E-3</v>
      </c>
      <c r="W156" s="250">
        <v>1.6082245901543189E-4</v>
      </c>
      <c r="X156" s="250">
        <v>0.23384841795437822</v>
      </c>
      <c r="Z156" s="218">
        <v>148</v>
      </c>
      <c r="AA156" s="435">
        <v>0.22700515084621045</v>
      </c>
      <c r="AB156" s="435">
        <v>1</v>
      </c>
      <c r="AC156" s="435">
        <v>0.87878787878787912</v>
      </c>
      <c r="AD156" s="435">
        <v>0.98412698412698363</v>
      </c>
      <c r="AG156" s="218">
        <v>148</v>
      </c>
      <c r="AH156" s="218">
        <v>1.0243902439024386</v>
      </c>
      <c r="AK156" s="218">
        <v>0.98412698412698363</v>
      </c>
      <c r="AM156" s="218">
        <v>148</v>
      </c>
      <c r="AN156" s="218">
        <v>0.99224806201550408</v>
      </c>
      <c r="AO156" s="218">
        <v>1</v>
      </c>
      <c r="AS156" s="218">
        <v>148</v>
      </c>
      <c r="AT156" s="218">
        <v>0.95121951219512313</v>
      </c>
      <c r="AU156" s="218">
        <v>0.97560975609756151</v>
      </c>
      <c r="AW156" s="218">
        <v>1</v>
      </c>
    </row>
    <row r="157" spans="1:49">
      <c r="A157" s="429">
        <v>0.67898148148148152</v>
      </c>
      <c r="B157" s="218">
        <v>65.900000000000006</v>
      </c>
      <c r="C157" s="218" t="s">
        <v>314</v>
      </c>
      <c r="D157" s="218">
        <v>33</v>
      </c>
      <c r="E157" s="218" t="s">
        <v>315</v>
      </c>
      <c r="F157" s="218">
        <v>22.7</v>
      </c>
      <c r="G157" s="218" t="s">
        <v>316</v>
      </c>
      <c r="H157" s="218">
        <v>100</v>
      </c>
      <c r="I157" s="218">
        <f t="shared" si="5"/>
        <v>66</v>
      </c>
      <c r="J157" s="218">
        <f t="shared" si="6"/>
        <v>1.5151515151515152E-2</v>
      </c>
      <c r="K157" s="218">
        <f t="shared" si="7"/>
        <v>3.4109568592327208E-2</v>
      </c>
      <c r="L157" s="218">
        <f t="shared" si="8"/>
        <v>45.7</v>
      </c>
      <c r="M157" s="218" t="s">
        <v>323</v>
      </c>
      <c r="P157" s="218">
        <v>152</v>
      </c>
      <c r="Q157" s="218">
        <v>111.3</v>
      </c>
      <c r="R157" s="218">
        <v>164</v>
      </c>
      <c r="S157" s="218">
        <v>45</v>
      </c>
      <c r="T157" s="218">
        <v>106.76666666666667</v>
      </c>
      <c r="U157" s="273">
        <v>9.3662191695285668E-3</v>
      </c>
      <c r="V157" s="218">
        <v>9.4030592386346416E-3</v>
      </c>
      <c r="W157" s="250">
        <v>1.6062215496980188E-4</v>
      </c>
      <c r="X157" s="250">
        <v>0.23568800588668137</v>
      </c>
      <c r="Z157" s="218">
        <v>149</v>
      </c>
      <c r="AA157" s="435">
        <v>0.2324503311258278</v>
      </c>
      <c r="AB157" s="435">
        <v>1</v>
      </c>
      <c r="AC157" s="435">
        <v>0.87878787878787912</v>
      </c>
      <c r="AD157" s="435">
        <v>0.97619047619047605</v>
      </c>
      <c r="AG157" s="218">
        <v>149</v>
      </c>
      <c r="AH157" s="218">
        <v>1.0243902439024386</v>
      </c>
      <c r="AK157" s="218">
        <v>0.97619047619047605</v>
      </c>
      <c r="AM157" s="218">
        <v>149</v>
      </c>
      <c r="AN157" s="218">
        <v>0.98449612403100806</v>
      </c>
      <c r="AO157" s="218">
        <v>1</v>
      </c>
      <c r="AS157" s="218">
        <v>149</v>
      </c>
      <c r="AT157" s="218">
        <v>0.95121951219512313</v>
      </c>
      <c r="AU157" s="218">
        <v>0.97560975609756151</v>
      </c>
      <c r="AW157" s="218">
        <v>1.0249999999999948</v>
      </c>
    </row>
    <row r="158" spans="1:49">
      <c r="A158" s="429">
        <v>0.67899305555555556</v>
      </c>
      <c r="B158" s="218">
        <v>72</v>
      </c>
      <c r="C158" s="218" t="s">
        <v>314</v>
      </c>
      <c r="D158" s="218">
        <v>36</v>
      </c>
      <c r="E158" s="218" t="s">
        <v>315</v>
      </c>
      <c r="F158" s="218">
        <v>22.7</v>
      </c>
      <c r="G158" s="218" t="s">
        <v>316</v>
      </c>
      <c r="H158" s="218">
        <v>101</v>
      </c>
      <c r="I158" s="218">
        <f t="shared" si="5"/>
        <v>65.900000000000006</v>
      </c>
      <c r="J158" s="218">
        <f t="shared" si="6"/>
        <v>1.5174506828528072E-2</v>
      </c>
      <c r="K158" s="218">
        <f t="shared" si="7"/>
        <v>3.408657691531429E-2</v>
      </c>
      <c r="L158" s="218">
        <f t="shared" si="8"/>
        <v>45.600000000000009</v>
      </c>
      <c r="M158" s="218" t="s">
        <v>323</v>
      </c>
      <c r="P158" s="218">
        <v>153</v>
      </c>
      <c r="Q158" s="218">
        <v>122.10000000000001</v>
      </c>
      <c r="R158" s="218">
        <v>166</v>
      </c>
      <c r="S158" s="218">
        <v>46</v>
      </c>
      <c r="T158" s="218">
        <v>111.36666666666667</v>
      </c>
      <c r="U158" s="273">
        <v>8.9793475007482783E-3</v>
      </c>
      <c r="V158" s="218">
        <v>9.1727833351384225E-3</v>
      </c>
      <c r="W158" s="250">
        <v>1.5668860409890983E-4</v>
      </c>
      <c r="X158" s="250">
        <v>0.24584253127299488</v>
      </c>
      <c r="Z158" s="218">
        <v>150</v>
      </c>
      <c r="AA158" s="435">
        <v>0.23509933774834438</v>
      </c>
      <c r="AB158" s="435">
        <v>1</v>
      </c>
      <c r="AC158" s="435">
        <v>0.87878787878787912</v>
      </c>
      <c r="AD158" s="435">
        <v>0.96825396825396814</v>
      </c>
      <c r="AG158" s="218">
        <v>150</v>
      </c>
      <c r="AH158" s="218">
        <v>1.0121951219512193</v>
      </c>
      <c r="AK158" s="218">
        <v>0.96825396825396814</v>
      </c>
      <c r="AM158" s="218">
        <v>150</v>
      </c>
      <c r="AN158" s="218">
        <v>0.98449612403100806</v>
      </c>
      <c r="AO158" s="218">
        <v>1</v>
      </c>
      <c r="AS158" s="218">
        <v>150</v>
      </c>
      <c r="AT158" s="218">
        <v>0.95121951219512313</v>
      </c>
      <c r="AU158" s="218">
        <v>1</v>
      </c>
      <c r="AW158" s="218">
        <v>1.0249999999999948</v>
      </c>
    </row>
    <row r="159" spans="1:49">
      <c r="A159" s="429">
        <v>0.6790046296296296</v>
      </c>
      <c r="B159" s="218">
        <v>72.400000000000006</v>
      </c>
      <c r="C159" s="218" t="s">
        <v>314</v>
      </c>
      <c r="D159" s="218">
        <v>36.200000000000003</v>
      </c>
      <c r="E159" s="218" t="s">
        <v>315</v>
      </c>
      <c r="F159" s="218">
        <v>22.7</v>
      </c>
      <c r="G159" s="218" t="s">
        <v>316</v>
      </c>
      <c r="H159" s="218">
        <v>102</v>
      </c>
      <c r="I159" s="218">
        <f t="shared" si="5"/>
        <v>72</v>
      </c>
      <c r="J159" s="218">
        <f t="shared" si="6"/>
        <v>1.3888888888888888E-2</v>
      </c>
      <c r="K159" s="218">
        <f t="shared" si="7"/>
        <v>3.5372194854953472E-2</v>
      </c>
      <c r="L159" s="218">
        <f t="shared" si="8"/>
        <v>51.7</v>
      </c>
      <c r="M159" s="218" t="s">
        <v>323</v>
      </c>
      <c r="P159" s="218">
        <v>154</v>
      </c>
      <c r="Q159" s="218">
        <v>121.50000000000001</v>
      </c>
      <c r="R159" s="218">
        <v>168</v>
      </c>
      <c r="S159" s="218">
        <v>46</v>
      </c>
      <c r="T159" s="218">
        <v>111.83333333333333</v>
      </c>
      <c r="U159" s="273">
        <v>8.9418777943368107E-3</v>
      </c>
      <c r="V159" s="218">
        <v>8.9606126475425436E-3</v>
      </c>
      <c r="W159" s="250">
        <v>1.5306432478744364E-4</v>
      </c>
      <c r="X159" s="250">
        <v>0.24687270051508461</v>
      </c>
      <c r="Z159" s="218">
        <v>151</v>
      </c>
      <c r="AA159" s="435">
        <v>0.23384841795437822</v>
      </c>
      <c r="AC159" s="435">
        <v>0.87878787878787912</v>
      </c>
      <c r="AD159" s="435">
        <v>0.97619047619047605</v>
      </c>
      <c r="AG159" s="218">
        <v>151</v>
      </c>
      <c r="AH159" s="218">
        <v>1</v>
      </c>
      <c r="AK159" s="218">
        <v>0.97619047619047605</v>
      </c>
      <c r="AM159" s="218">
        <v>151</v>
      </c>
      <c r="AN159" s="218">
        <v>0.98449612403100806</v>
      </c>
      <c r="AS159" s="218">
        <v>151</v>
      </c>
      <c r="AT159" s="218">
        <v>0.95121951219512313</v>
      </c>
      <c r="AU159" s="218">
        <v>1</v>
      </c>
      <c r="AW159" s="218">
        <v>1</v>
      </c>
    </row>
    <row r="160" spans="1:49">
      <c r="A160" s="429">
        <v>0.67901620370370364</v>
      </c>
      <c r="B160" s="218">
        <v>72.2</v>
      </c>
      <c r="C160" s="218" t="s">
        <v>314</v>
      </c>
      <c r="D160" s="218">
        <v>36.1</v>
      </c>
      <c r="E160" s="218" t="s">
        <v>315</v>
      </c>
      <c r="F160" s="218">
        <v>22.7</v>
      </c>
      <c r="G160" s="218" t="s">
        <v>316</v>
      </c>
      <c r="H160" s="218">
        <v>103</v>
      </c>
      <c r="I160" s="218">
        <f t="shared" si="5"/>
        <v>72.400000000000006</v>
      </c>
      <c r="J160" s="218">
        <f t="shared" si="6"/>
        <v>1.3812154696132596E-2</v>
      </c>
      <c r="K160" s="218">
        <f t="shared" si="7"/>
        <v>3.5448929047709764E-2</v>
      </c>
      <c r="L160" s="218">
        <f t="shared" si="8"/>
        <v>52.100000000000009</v>
      </c>
      <c r="M160" s="218" t="s">
        <v>323</v>
      </c>
      <c r="P160" s="218">
        <v>155</v>
      </c>
      <c r="Q160" s="218">
        <v>117.2</v>
      </c>
      <c r="R160" s="218">
        <v>169</v>
      </c>
      <c r="S160" s="218">
        <v>46</v>
      </c>
      <c r="T160" s="218">
        <v>110.73333333333333</v>
      </c>
      <c r="U160" s="273">
        <v>9.0307043949428047E-3</v>
      </c>
      <c r="V160" s="218">
        <v>8.9862910946398068E-3</v>
      </c>
      <c r="W160" s="250">
        <v>1.5350296155494309E-4</v>
      </c>
      <c r="X160" s="250">
        <v>0.24444444444444444</v>
      </c>
      <c r="Z160" s="218">
        <v>152</v>
      </c>
      <c r="AA160" s="435">
        <v>0.23568800588668137</v>
      </c>
      <c r="AC160" s="435">
        <v>0.88636363636363635</v>
      </c>
      <c r="AD160" s="435">
        <v>0.96825396825396814</v>
      </c>
      <c r="AG160" s="218">
        <v>152</v>
      </c>
      <c r="AH160" s="218">
        <v>1</v>
      </c>
      <c r="AK160" s="218">
        <v>0.96825396825396814</v>
      </c>
      <c r="AM160" s="218">
        <v>152</v>
      </c>
      <c r="AN160" s="218">
        <v>0.98449612403100806</v>
      </c>
      <c r="AS160" s="218">
        <v>152</v>
      </c>
      <c r="AT160" s="218">
        <v>0.95934959349593729</v>
      </c>
      <c r="AU160" s="218">
        <v>0.97560975609756151</v>
      </c>
      <c r="AW160" s="218">
        <v>1.0249999999999948</v>
      </c>
    </row>
    <row r="161" spans="1:49">
      <c r="A161" s="429">
        <v>0.67902777777777779</v>
      </c>
      <c r="B161" s="218">
        <v>72.7</v>
      </c>
      <c r="C161" s="218" t="s">
        <v>314</v>
      </c>
      <c r="D161" s="218">
        <v>36.4</v>
      </c>
      <c r="E161" s="218" t="s">
        <v>315</v>
      </c>
      <c r="F161" s="218">
        <v>22.7</v>
      </c>
      <c r="G161" s="218" t="s">
        <v>316</v>
      </c>
      <c r="H161" s="218">
        <v>104</v>
      </c>
      <c r="I161" s="218">
        <f t="shared" si="5"/>
        <v>72.2</v>
      </c>
      <c r="J161" s="218">
        <f t="shared" si="6"/>
        <v>1.3850415512465374E-2</v>
      </c>
      <c r="K161" s="218">
        <f t="shared" si="7"/>
        <v>3.5410668231376986E-2</v>
      </c>
      <c r="L161" s="218">
        <f t="shared" si="8"/>
        <v>51.900000000000006</v>
      </c>
      <c r="M161" s="218" t="s">
        <v>323</v>
      </c>
      <c r="P161" s="218">
        <v>156</v>
      </c>
      <c r="Q161" s="218">
        <v>117.60000000000001</v>
      </c>
      <c r="R161" s="218">
        <v>171</v>
      </c>
      <c r="S161" s="218">
        <v>46</v>
      </c>
      <c r="T161" s="218">
        <v>111.53333333333335</v>
      </c>
      <c r="U161" s="273">
        <v>8.9659294680215166E-3</v>
      </c>
      <c r="V161" s="218">
        <v>8.9983169314821615E-3</v>
      </c>
      <c r="W161" s="250">
        <v>1.53708385745083E-4</v>
      </c>
      <c r="X161" s="250">
        <v>0.24621044885945551</v>
      </c>
      <c r="Z161" s="218">
        <v>153</v>
      </c>
      <c r="AA161" s="435">
        <v>0.24584253127299488</v>
      </c>
      <c r="AC161" s="435">
        <v>0.88636363636363635</v>
      </c>
      <c r="AD161" s="435">
        <v>0.96825396825396814</v>
      </c>
      <c r="AG161" s="218">
        <v>153</v>
      </c>
      <c r="AH161" s="218">
        <v>1</v>
      </c>
      <c r="AK161" s="218">
        <v>0.96825396825396814</v>
      </c>
      <c r="AM161" s="218">
        <v>153</v>
      </c>
      <c r="AN161" s="218">
        <v>0.97674418604651214</v>
      </c>
      <c r="AS161" s="218">
        <v>153</v>
      </c>
      <c r="AT161" s="218">
        <v>0.96747967479675168</v>
      </c>
      <c r="AU161" s="218">
        <v>1</v>
      </c>
      <c r="AW161" s="218">
        <v>1.0249999999999948</v>
      </c>
    </row>
    <row r="162" spans="1:49">
      <c r="A162" s="429">
        <v>0.67903935185185194</v>
      </c>
      <c r="B162" s="218">
        <v>73.099999999999994</v>
      </c>
      <c r="C162" s="218" t="s">
        <v>314</v>
      </c>
      <c r="D162" s="218">
        <v>36.6</v>
      </c>
      <c r="E162" s="218" t="s">
        <v>315</v>
      </c>
      <c r="F162" s="218">
        <v>22.7</v>
      </c>
      <c r="G162" s="218" t="s">
        <v>316</v>
      </c>
      <c r="H162" s="218">
        <v>105</v>
      </c>
      <c r="I162" s="218">
        <f t="shared" si="5"/>
        <v>72.7</v>
      </c>
      <c r="J162" s="218">
        <f t="shared" si="6"/>
        <v>1.3755158184319119E-2</v>
      </c>
      <c r="K162" s="218">
        <f t="shared" si="7"/>
        <v>3.5505925559523241E-2</v>
      </c>
      <c r="L162" s="218">
        <f t="shared" si="8"/>
        <v>52.400000000000006</v>
      </c>
      <c r="M162" s="218" t="s">
        <v>323</v>
      </c>
      <c r="P162" s="218">
        <v>157</v>
      </c>
      <c r="Q162" s="218">
        <v>121.89999999999999</v>
      </c>
      <c r="R162" s="218">
        <v>172</v>
      </c>
      <c r="S162" s="218">
        <v>50</v>
      </c>
      <c r="T162" s="218">
        <v>114.63333333333333</v>
      </c>
      <c r="U162" s="273">
        <v>8.7234661238732199E-3</v>
      </c>
      <c r="V162" s="218">
        <v>8.8446977959473691E-3</v>
      </c>
      <c r="W162" s="250">
        <v>1.5108427842341316E-4</v>
      </c>
      <c r="X162" s="250">
        <v>0.25305371596762322</v>
      </c>
      <c r="Z162" s="218">
        <v>154</v>
      </c>
      <c r="AA162" s="435">
        <v>0.24687270051508461</v>
      </c>
      <c r="AC162" s="435">
        <v>0.87878787878787912</v>
      </c>
      <c r="AD162" s="435">
        <v>0.96825396825396814</v>
      </c>
      <c r="AG162" s="218">
        <v>154</v>
      </c>
      <c r="AH162" s="218">
        <v>1</v>
      </c>
      <c r="AK162" s="218">
        <v>0.96825396825396814</v>
      </c>
      <c r="AM162" s="218">
        <v>154</v>
      </c>
      <c r="AN162" s="218">
        <v>0.97674418604651214</v>
      </c>
      <c r="AS162" s="218">
        <v>154</v>
      </c>
      <c r="AT162" s="218">
        <v>0.96747967479675168</v>
      </c>
      <c r="AW162" s="218">
        <v>1</v>
      </c>
    </row>
    <row r="163" spans="1:49">
      <c r="A163" s="429">
        <v>0.67905092592592586</v>
      </c>
      <c r="B163" s="218">
        <v>73.5</v>
      </c>
      <c r="C163" s="218" t="s">
        <v>314</v>
      </c>
      <c r="D163" s="218">
        <v>36.799999999999997</v>
      </c>
      <c r="E163" s="218" t="s">
        <v>315</v>
      </c>
      <c r="F163" s="218">
        <v>22.7</v>
      </c>
      <c r="G163" s="218" t="s">
        <v>316</v>
      </c>
      <c r="H163" s="218">
        <v>106</v>
      </c>
      <c r="I163" s="218">
        <f t="shared" si="5"/>
        <v>73.099999999999994</v>
      </c>
      <c r="J163" s="218">
        <f t="shared" si="6"/>
        <v>1.3679890560875515E-2</v>
      </c>
      <c r="K163" s="218">
        <f t="shared" si="7"/>
        <v>3.5581193182966847E-2</v>
      </c>
      <c r="L163" s="218">
        <f t="shared" si="8"/>
        <v>52.8</v>
      </c>
      <c r="M163" s="218" t="s">
        <v>323</v>
      </c>
      <c r="P163" s="218">
        <v>158</v>
      </c>
      <c r="Q163" s="218">
        <v>128.79999999999998</v>
      </c>
      <c r="R163" s="218">
        <v>173</v>
      </c>
      <c r="S163" s="218">
        <v>50</v>
      </c>
      <c r="T163" s="218">
        <v>117.26666666666665</v>
      </c>
      <c r="U163" s="273">
        <v>8.527572484366119E-3</v>
      </c>
      <c r="V163" s="218">
        <v>8.6255193041196686E-3</v>
      </c>
      <c r="W163" s="250">
        <v>1.4734029247299513E-4</v>
      </c>
      <c r="X163" s="250">
        <v>0.25886681383370119</v>
      </c>
      <c r="Z163" s="218">
        <v>155</v>
      </c>
      <c r="AA163" s="435">
        <v>0.24444444444444444</v>
      </c>
      <c r="AC163" s="435">
        <v>0.87878787878787912</v>
      </c>
      <c r="AD163" s="435">
        <v>0.97619047619047605</v>
      </c>
      <c r="AK163" s="218">
        <v>0.97619047619047605</v>
      </c>
      <c r="AM163" s="218">
        <v>155</v>
      </c>
      <c r="AN163" s="218">
        <v>0.97674418604651214</v>
      </c>
      <c r="AS163" s="218">
        <v>155</v>
      </c>
      <c r="AT163" s="218">
        <v>0.96747967479675168</v>
      </c>
      <c r="AW163" s="218">
        <v>1.0249999999999948</v>
      </c>
    </row>
    <row r="164" spans="1:49">
      <c r="A164" s="429">
        <v>0.67906250000000001</v>
      </c>
      <c r="B164" s="218">
        <v>73.5</v>
      </c>
      <c r="C164" s="218" t="s">
        <v>314</v>
      </c>
      <c r="D164" s="218">
        <v>36.799999999999997</v>
      </c>
      <c r="E164" s="218" t="s">
        <v>315</v>
      </c>
      <c r="F164" s="218">
        <v>22.7</v>
      </c>
      <c r="G164" s="218" t="s">
        <v>316</v>
      </c>
      <c r="H164" s="218">
        <v>107</v>
      </c>
      <c r="I164" s="218">
        <f t="shared" si="5"/>
        <v>73.5</v>
      </c>
      <c r="J164" s="218">
        <f t="shared" si="6"/>
        <v>1.3605442176870748E-2</v>
      </c>
      <c r="K164" s="218">
        <f t="shared" si="7"/>
        <v>3.565564156697161E-2</v>
      </c>
      <c r="L164" s="218">
        <f t="shared" si="8"/>
        <v>53.2</v>
      </c>
      <c r="M164" s="218" t="s">
        <v>323</v>
      </c>
      <c r="P164" s="218">
        <v>159</v>
      </c>
      <c r="Q164" s="218">
        <v>124.7</v>
      </c>
      <c r="R164" s="218">
        <v>174</v>
      </c>
      <c r="S164" s="218">
        <v>50</v>
      </c>
      <c r="T164" s="218">
        <v>116.23333333333333</v>
      </c>
      <c r="U164" s="273">
        <v>8.6033839977057644E-3</v>
      </c>
      <c r="V164" s="218">
        <v>8.5654782410359426E-3</v>
      </c>
      <c r="W164" s="250">
        <v>1.4631467679894285E-4</v>
      </c>
      <c r="X164" s="250">
        <v>0.25658572479764535</v>
      </c>
      <c r="Z164" s="218">
        <v>156</v>
      </c>
      <c r="AA164" s="435">
        <v>0.24621044885945551</v>
      </c>
      <c r="AC164" s="435">
        <v>0.87878787878787912</v>
      </c>
      <c r="AD164" s="435">
        <v>0.97619047619047605</v>
      </c>
      <c r="AK164" s="218">
        <v>0.97619047619047605</v>
      </c>
      <c r="AM164" s="218">
        <v>156</v>
      </c>
      <c r="AN164" s="218">
        <v>0.97674418604651214</v>
      </c>
      <c r="AS164" s="218">
        <v>156</v>
      </c>
      <c r="AT164" s="218">
        <v>0.97560975609756595</v>
      </c>
      <c r="AW164" s="218">
        <v>1</v>
      </c>
    </row>
    <row r="165" spans="1:49">
      <c r="A165" s="429">
        <v>0.67907407407407405</v>
      </c>
      <c r="B165" s="218">
        <v>74.2</v>
      </c>
      <c r="C165" s="218" t="s">
        <v>314</v>
      </c>
      <c r="D165" s="218">
        <v>37.1</v>
      </c>
      <c r="E165" s="218" t="s">
        <v>315</v>
      </c>
      <c r="F165" s="218">
        <v>22.7</v>
      </c>
      <c r="G165" s="218" t="s">
        <v>316</v>
      </c>
      <c r="H165" s="218">
        <v>108</v>
      </c>
      <c r="I165" s="218">
        <f t="shared" si="5"/>
        <v>73.5</v>
      </c>
      <c r="J165" s="218">
        <f t="shared" si="6"/>
        <v>1.3605442176870748E-2</v>
      </c>
      <c r="K165" s="218">
        <f t="shared" si="7"/>
        <v>3.565564156697161E-2</v>
      </c>
      <c r="L165" s="218">
        <f t="shared" si="8"/>
        <v>53.2</v>
      </c>
      <c r="M165" s="218" t="s">
        <v>323</v>
      </c>
      <c r="P165" s="218">
        <v>160</v>
      </c>
      <c r="Q165" s="218">
        <v>124.60000000000001</v>
      </c>
      <c r="R165" s="218">
        <v>175</v>
      </c>
      <c r="S165" s="218">
        <v>50</v>
      </c>
      <c r="T165" s="218">
        <v>116.53333333333335</v>
      </c>
      <c r="U165" s="273">
        <v>8.5812356979405018E-3</v>
      </c>
      <c r="V165" s="218">
        <v>8.592309847823134E-3</v>
      </c>
      <c r="W165" s="250">
        <v>1.4677301172953154E-4</v>
      </c>
      <c r="X165" s="250">
        <v>0.25724797645327452</v>
      </c>
      <c r="Z165" s="218">
        <v>157</v>
      </c>
      <c r="AA165" s="435">
        <v>0.25305371596762322</v>
      </c>
      <c r="AC165" s="435">
        <v>0.88636363636363635</v>
      </c>
      <c r="AD165" s="435">
        <v>0.97619047619047605</v>
      </c>
      <c r="AK165" s="218">
        <v>0.97619047619047605</v>
      </c>
      <c r="AM165" s="218">
        <v>157</v>
      </c>
      <c r="AN165" s="218">
        <v>1</v>
      </c>
      <c r="AS165" s="218">
        <v>157</v>
      </c>
      <c r="AT165" s="218">
        <v>0.97560975609756595</v>
      </c>
      <c r="AW165" s="218">
        <v>1</v>
      </c>
    </row>
    <row r="166" spans="1:49">
      <c r="A166" s="429">
        <v>0.6790856481481482</v>
      </c>
      <c r="B166" s="218">
        <v>78.400000000000006</v>
      </c>
      <c r="C166" s="218" t="s">
        <v>314</v>
      </c>
      <c r="D166" s="218">
        <v>39.200000000000003</v>
      </c>
      <c r="E166" s="218" t="s">
        <v>315</v>
      </c>
      <c r="F166" s="218">
        <v>22.7</v>
      </c>
      <c r="G166" s="218" t="s">
        <v>316</v>
      </c>
      <c r="H166" s="218">
        <v>109</v>
      </c>
      <c r="I166" s="218">
        <f t="shared" si="5"/>
        <v>74.2</v>
      </c>
      <c r="J166" s="218">
        <f t="shared" si="6"/>
        <v>1.3477088948787061E-2</v>
      </c>
      <c r="K166" s="218">
        <f t="shared" si="7"/>
        <v>3.5783994795055299E-2</v>
      </c>
      <c r="L166" s="218">
        <f t="shared" si="8"/>
        <v>53.900000000000006</v>
      </c>
      <c r="M166" s="218" t="s">
        <v>323</v>
      </c>
      <c r="P166" s="218">
        <v>161</v>
      </c>
      <c r="Q166" s="218">
        <v>124.00000000000001</v>
      </c>
      <c r="R166" s="218">
        <v>176</v>
      </c>
      <c r="S166" s="218">
        <v>52</v>
      </c>
      <c r="T166" s="218">
        <v>117.33333333333333</v>
      </c>
      <c r="U166" s="273">
        <v>8.5227272727272738E-3</v>
      </c>
      <c r="V166" s="218">
        <v>8.5519814853338878E-3</v>
      </c>
      <c r="W166" s="250">
        <v>1.4608412651408899E-4</v>
      </c>
      <c r="X166" s="250">
        <v>0.25901398086828548</v>
      </c>
      <c r="Z166" s="218">
        <v>158</v>
      </c>
      <c r="AA166" s="435">
        <v>0.25886681383370119</v>
      </c>
      <c r="AC166" s="435">
        <v>0.89393939393939392</v>
      </c>
      <c r="AD166" s="435">
        <v>0.97619047619047605</v>
      </c>
      <c r="AK166" s="218">
        <v>0.97619047619047605</v>
      </c>
      <c r="AS166" s="218">
        <v>158</v>
      </c>
      <c r="AT166" s="218">
        <v>0.96747967479675168</v>
      </c>
      <c r="AW166" s="218">
        <v>1</v>
      </c>
    </row>
    <row r="167" spans="1:49">
      <c r="A167" s="429">
        <v>0.67909722222222213</v>
      </c>
      <c r="B167" s="218">
        <v>78</v>
      </c>
      <c r="C167" s="218" t="s">
        <v>314</v>
      </c>
      <c r="D167" s="218">
        <v>39</v>
      </c>
      <c r="E167" s="218" t="s">
        <v>315</v>
      </c>
      <c r="F167" s="218">
        <v>22.7</v>
      </c>
      <c r="G167" s="218" t="s">
        <v>316</v>
      </c>
      <c r="H167" s="218">
        <v>110</v>
      </c>
      <c r="I167" s="218">
        <f t="shared" si="5"/>
        <v>78.400000000000006</v>
      </c>
      <c r="J167" s="218">
        <f t="shared" si="6"/>
        <v>1.2755102040816325E-2</v>
      </c>
      <c r="K167" s="218">
        <f t="shared" si="7"/>
        <v>3.6505981703026033E-2</v>
      </c>
      <c r="L167" s="218">
        <f t="shared" si="8"/>
        <v>58.100000000000009</v>
      </c>
      <c r="M167" s="218" t="s">
        <v>323</v>
      </c>
      <c r="P167" s="218">
        <v>162</v>
      </c>
      <c r="Q167" s="218">
        <v>123.89999999999999</v>
      </c>
      <c r="R167" s="218">
        <v>178</v>
      </c>
      <c r="S167" s="218">
        <v>52</v>
      </c>
      <c r="T167" s="218">
        <v>117.96666666666665</v>
      </c>
      <c r="U167" s="273">
        <v>8.4769708957332587E-3</v>
      </c>
      <c r="V167" s="218">
        <v>8.4998490842302654E-3</v>
      </c>
      <c r="W167" s="250">
        <v>1.4519360584453828E-4</v>
      </c>
      <c r="X167" s="250">
        <v>0.26041206769683589</v>
      </c>
      <c r="Z167" s="218">
        <v>159</v>
      </c>
      <c r="AA167" s="435">
        <v>0.25658572479764535</v>
      </c>
      <c r="AC167" s="435">
        <v>0.88636363636363635</v>
      </c>
      <c r="AD167" s="435">
        <v>0.97619047619047605</v>
      </c>
      <c r="AK167" s="218">
        <v>0.97619047619047605</v>
      </c>
      <c r="AS167" s="218">
        <v>159</v>
      </c>
      <c r="AT167" s="218">
        <v>0.97560975609756595</v>
      </c>
      <c r="AW167" s="218">
        <v>1</v>
      </c>
    </row>
    <row r="168" spans="1:49">
      <c r="A168" s="429">
        <v>0.67910879629629628</v>
      </c>
      <c r="B168" s="218">
        <v>78.599999999999994</v>
      </c>
      <c r="C168" s="218" t="s">
        <v>314</v>
      </c>
      <c r="D168" s="218">
        <v>39.299999999999997</v>
      </c>
      <c r="E168" s="218" t="s">
        <v>315</v>
      </c>
      <c r="F168" s="218">
        <v>22.7</v>
      </c>
      <c r="G168" s="218" t="s">
        <v>316</v>
      </c>
      <c r="H168" s="218">
        <v>111</v>
      </c>
      <c r="I168" s="218">
        <f t="shared" si="5"/>
        <v>78</v>
      </c>
      <c r="J168" s="218">
        <f t="shared" si="6"/>
        <v>1.282051282051282E-2</v>
      </c>
      <c r="K168" s="218">
        <f t="shared" si="7"/>
        <v>3.6440570923329543E-2</v>
      </c>
      <c r="L168" s="218">
        <f t="shared" si="8"/>
        <v>57.7</v>
      </c>
      <c r="M168" s="218" t="s">
        <v>323</v>
      </c>
      <c r="P168" s="218">
        <v>163</v>
      </c>
      <c r="Q168" s="218">
        <v>129.69999999999999</v>
      </c>
      <c r="R168" s="218">
        <v>181</v>
      </c>
      <c r="S168" s="218">
        <v>54</v>
      </c>
      <c r="T168" s="218">
        <v>121.56666666666666</v>
      </c>
      <c r="U168" s="273">
        <v>8.225939128050452E-3</v>
      </c>
      <c r="V168" s="218">
        <v>8.3514550118918562E-3</v>
      </c>
      <c r="W168" s="250">
        <v>1.4265875255064359E-4</v>
      </c>
      <c r="X168" s="250">
        <v>0.26835908756438559</v>
      </c>
      <c r="Z168" s="218">
        <v>160</v>
      </c>
      <c r="AA168" s="435">
        <v>0.25724797645327452</v>
      </c>
      <c r="AC168" s="435">
        <v>0.87878787878787912</v>
      </c>
      <c r="AD168" s="435">
        <v>0.97619047619047605</v>
      </c>
      <c r="AK168" s="218">
        <v>0.97619047619047605</v>
      </c>
      <c r="AS168" s="218">
        <v>160</v>
      </c>
      <c r="AT168" s="218">
        <v>0.97560975609756595</v>
      </c>
      <c r="AW168" s="218">
        <v>1</v>
      </c>
    </row>
    <row r="169" spans="1:49">
      <c r="A169" s="429">
        <v>0.67912037037037043</v>
      </c>
      <c r="B169" s="218">
        <v>83.9</v>
      </c>
      <c r="C169" s="218" t="s">
        <v>314</v>
      </c>
      <c r="D169" s="218">
        <v>42</v>
      </c>
      <c r="E169" s="218" t="s">
        <v>315</v>
      </c>
      <c r="F169" s="218">
        <v>22.7</v>
      </c>
      <c r="G169" s="218" t="s">
        <v>316</v>
      </c>
      <c r="H169" s="218">
        <v>112</v>
      </c>
      <c r="I169" s="218">
        <f t="shared" si="5"/>
        <v>78.599999999999994</v>
      </c>
      <c r="J169" s="218">
        <f t="shared" si="6"/>
        <v>1.2722646310432571E-2</v>
      </c>
      <c r="K169" s="218">
        <f t="shared" si="7"/>
        <v>3.6538437433409787E-2</v>
      </c>
      <c r="L169" s="218">
        <f t="shared" si="8"/>
        <v>58.3</v>
      </c>
      <c r="M169" s="218" t="s">
        <v>323</v>
      </c>
      <c r="P169" s="218">
        <v>164</v>
      </c>
      <c r="Q169" s="218">
        <v>125.39999999999999</v>
      </c>
      <c r="R169" s="218">
        <v>182</v>
      </c>
      <c r="S169" s="218">
        <v>54</v>
      </c>
      <c r="T169" s="218">
        <v>120.46666666666665</v>
      </c>
      <c r="U169" s="273">
        <v>8.3010514665190927E-3</v>
      </c>
      <c r="V169" s="218">
        <v>8.2634952972847724E-3</v>
      </c>
      <c r="W169" s="250">
        <v>1.4115623315220468E-4</v>
      </c>
      <c r="X169" s="250">
        <v>0.26593083149374536</v>
      </c>
      <c r="Z169" s="218">
        <v>161</v>
      </c>
      <c r="AA169" s="435">
        <v>0.25901398086828548</v>
      </c>
      <c r="AC169" s="435">
        <v>0.87878787878787912</v>
      </c>
      <c r="AD169" s="435">
        <v>0.98412698412698363</v>
      </c>
      <c r="AK169" s="218">
        <v>0.98412698412698363</v>
      </c>
      <c r="AS169" s="218">
        <v>161</v>
      </c>
      <c r="AT169" s="218">
        <v>0.96747967479675168</v>
      </c>
      <c r="AW169" s="218">
        <v>1</v>
      </c>
    </row>
    <row r="170" spans="1:49">
      <c r="A170" s="429">
        <v>0.67913194444444447</v>
      </c>
      <c r="B170" s="218">
        <v>84.1</v>
      </c>
      <c r="C170" s="218" t="s">
        <v>314</v>
      </c>
      <c r="D170" s="218">
        <v>42.1</v>
      </c>
      <c r="E170" s="218" t="s">
        <v>315</v>
      </c>
      <c r="F170" s="218">
        <v>22.7</v>
      </c>
      <c r="G170" s="218" t="s">
        <v>316</v>
      </c>
      <c r="H170" s="218">
        <v>113</v>
      </c>
      <c r="I170" s="218">
        <f t="shared" si="5"/>
        <v>83.9</v>
      </c>
      <c r="J170" s="218">
        <f t="shared" si="6"/>
        <v>1.1918951132300357E-2</v>
      </c>
      <c r="K170" s="218">
        <f t="shared" si="7"/>
        <v>3.7342132611542005E-2</v>
      </c>
      <c r="L170" s="218">
        <f t="shared" si="8"/>
        <v>63.600000000000009</v>
      </c>
      <c r="M170" s="218" t="s">
        <v>323</v>
      </c>
      <c r="P170" s="218">
        <v>165</v>
      </c>
      <c r="Q170" s="218">
        <v>129.5</v>
      </c>
      <c r="R170" s="218">
        <v>182</v>
      </c>
      <c r="S170" s="218">
        <v>56</v>
      </c>
      <c r="T170" s="218">
        <v>122.5</v>
      </c>
      <c r="U170" s="273">
        <v>8.1632653061224497E-3</v>
      </c>
      <c r="V170" s="218">
        <v>8.2321583863207703E-3</v>
      </c>
      <c r="W170" s="250">
        <v>1.4062093904829712E-4</v>
      </c>
      <c r="X170" s="250">
        <v>0.27041942604856511</v>
      </c>
      <c r="Z170" s="218">
        <v>162</v>
      </c>
      <c r="AA170" s="435">
        <v>0.26041206769683589</v>
      </c>
      <c r="AC170" s="435">
        <v>0.90151515151515127</v>
      </c>
      <c r="AD170" s="435">
        <v>0.97619047619047605</v>
      </c>
      <c r="AK170" s="218">
        <v>0.97619047619047605</v>
      </c>
      <c r="AS170" s="218">
        <v>162</v>
      </c>
      <c r="AT170" s="218">
        <v>0.97560975609756595</v>
      </c>
      <c r="AW170" s="218">
        <v>1</v>
      </c>
    </row>
    <row r="171" spans="1:49">
      <c r="A171" s="429">
        <v>0.67914351851851851</v>
      </c>
      <c r="B171" s="218">
        <v>83.9</v>
      </c>
      <c r="C171" s="218" t="s">
        <v>314</v>
      </c>
      <c r="D171" s="218">
        <v>42</v>
      </c>
      <c r="E171" s="218" t="s">
        <v>315</v>
      </c>
      <c r="F171" s="218">
        <v>22.7</v>
      </c>
      <c r="G171" s="218" t="s">
        <v>316</v>
      </c>
      <c r="H171" s="218">
        <v>114</v>
      </c>
      <c r="I171" s="218">
        <f t="shared" si="5"/>
        <v>84.1</v>
      </c>
      <c r="J171" s="218">
        <f t="shared" si="6"/>
        <v>1.1890606420927468E-2</v>
      </c>
      <c r="K171" s="218">
        <f t="shared" si="7"/>
        <v>3.7370477322914888E-2</v>
      </c>
      <c r="L171" s="218">
        <f t="shared" si="8"/>
        <v>63.8</v>
      </c>
      <c r="M171" s="218" t="s">
        <v>323</v>
      </c>
      <c r="P171" s="218">
        <v>166</v>
      </c>
      <c r="Q171" s="218">
        <v>130.1</v>
      </c>
      <c r="R171" s="218">
        <v>183</v>
      </c>
      <c r="S171" s="218">
        <v>56</v>
      </c>
      <c r="T171" s="218">
        <v>123.03333333333335</v>
      </c>
      <c r="U171" s="273">
        <v>8.1278786236792192E-3</v>
      </c>
      <c r="V171" s="218">
        <v>8.1455719649008336E-3</v>
      </c>
      <c r="W171" s="250">
        <v>1.3914187811220829E-4</v>
      </c>
      <c r="X171" s="250">
        <v>0.27159676232523916</v>
      </c>
      <c r="Z171" s="218">
        <v>163</v>
      </c>
      <c r="AA171" s="435">
        <v>0.26835908756438559</v>
      </c>
      <c r="AC171" s="435">
        <v>0.89393939393939392</v>
      </c>
      <c r="AD171" s="435">
        <v>0.97619047619047605</v>
      </c>
      <c r="AK171" s="218">
        <v>0.97619047619047605</v>
      </c>
      <c r="AS171" s="218">
        <v>163</v>
      </c>
      <c r="AT171" s="218">
        <v>0.97560975609756595</v>
      </c>
      <c r="AW171" s="218">
        <v>1</v>
      </c>
    </row>
    <row r="172" spans="1:49">
      <c r="A172" s="429">
        <v>0.67915509259259255</v>
      </c>
      <c r="B172" s="218">
        <v>87.6</v>
      </c>
      <c r="C172" s="218" t="s">
        <v>314</v>
      </c>
      <c r="D172" s="218">
        <v>43.8</v>
      </c>
      <c r="E172" s="218" t="s">
        <v>315</v>
      </c>
      <c r="F172" s="218">
        <v>22.7</v>
      </c>
      <c r="G172" s="218" t="s">
        <v>316</v>
      </c>
      <c r="H172" s="218">
        <v>115</v>
      </c>
      <c r="I172" s="218">
        <f t="shared" si="5"/>
        <v>83.9</v>
      </c>
      <c r="J172" s="218">
        <f t="shared" si="6"/>
        <v>1.1918951132300357E-2</v>
      </c>
      <c r="K172" s="218">
        <f t="shared" si="7"/>
        <v>3.7342132611542005E-2</v>
      </c>
      <c r="L172" s="218">
        <f t="shared" si="8"/>
        <v>63.600000000000009</v>
      </c>
      <c r="M172" s="218" t="s">
        <v>323</v>
      </c>
      <c r="P172" s="218">
        <v>167</v>
      </c>
      <c r="Q172" s="218">
        <v>134.79999999999998</v>
      </c>
      <c r="R172" s="218">
        <v>186</v>
      </c>
      <c r="S172" s="218">
        <v>59</v>
      </c>
      <c r="T172" s="218">
        <v>126.59999999999998</v>
      </c>
      <c r="U172" s="273">
        <v>7.8988941548183266E-3</v>
      </c>
      <c r="V172" s="218">
        <v>8.0133863892487729E-3</v>
      </c>
      <c r="W172" s="250">
        <v>1.3688389680226168E-4</v>
      </c>
      <c r="X172" s="250">
        <v>0.27947019867549666</v>
      </c>
      <c r="Z172" s="218">
        <v>164</v>
      </c>
      <c r="AA172" s="435">
        <v>0.26593083149374536</v>
      </c>
      <c r="AC172" s="435">
        <v>0.88636363636363635</v>
      </c>
      <c r="AD172" s="435">
        <v>0.97619047619047605</v>
      </c>
      <c r="AK172" s="218">
        <v>0.97619047619047605</v>
      </c>
      <c r="AS172" s="218">
        <v>164</v>
      </c>
      <c r="AT172" s="218">
        <v>0.96747967479675168</v>
      </c>
      <c r="AW172" s="218">
        <v>1</v>
      </c>
    </row>
    <row r="173" spans="1:49">
      <c r="A173" s="429">
        <v>0.6791666666666667</v>
      </c>
      <c r="B173" s="218">
        <v>87.7</v>
      </c>
      <c r="C173" s="218" t="s">
        <v>314</v>
      </c>
      <c r="D173" s="218">
        <v>43.9</v>
      </c>
      <c r="E173" s="218" t="s">
        <v>315</v>
      </c>
      <c r="F173" s="218">
        <v>22.7</v>
      </c>
      <c r="G173" s="218" t="s">
        <v>316</v>
      </c>
      <c r="H173" s="218">
        <v>116</v>
      </c>
      <c r="I173" s="218">
        <f t="shared" si="5"/>
        <v>87.6</v>
      </c>
      <c r="J173" s="218">
        <f t="shared" si="6"/>
        <v>1.1415525114155252E-2</v>
      </c>
      <c r="K173" s="218">
        <f t="shared" si="7"/>
        <v>3.7845558629687109E-2</v>
      </c>
      <c r="L173" s="218">
        <f t="shared" si="8"/>
        <v>67.3</v>
      </c>
      <c r="M173" s="218" t="s">
        <v>323</v>
      </c>
      <c r="P173" s="218">
        <v>168</v>
      </c>
      <c r="Q173" s="218">
        <v>135.69999999999999</v>
      </c>
      <c r="R173" s="218">
        <v>187</v>
      </c>
      <c r="S173" s="218">
        <v>59</v>
      </c>
      <c r="T173" s="218">
        <v>127.23333333333333</v>
      </c>
      <c r="U173" s="273">
        <v>7.8595755829185231E-3</v>
      </c>
      <c r="V173" s="218">
        <v>7.879234868868424E-3</v>
      </c>
      <c r="W173" s="250">
        <v>1.3459233341324959E-4</v>
      </c>
      <c r="X173" s="250">
        <v>0.28086828550404708</v>
      </c>
      <c r="Z173" s="218">
        <v>165</v>
      </c>
      <c r="AA173" s="435">
        <v>0.27041942604856511</v>
      </c>
      <c r="AC173" s="435">
        <v>0.88636363636363635</v>
      </c>
      <c r="AD173" s="435">
        <v>0.98412698412698363</v>
      </c>
      <c r="AK173" s="218">
        <v>0.98412698412698363</v>
      </c>
      <c r="AS173" s="218">
        <v>165</v>
      </c>
      <c r="AT173" s="218">
        <v>0.97560975609756595</v>
      </c>
      <c r="AW173" s="218">
        <v>1</v>
      </c>
    </row>
    <row r="174" spans="1:49">
      <c r="A174" s="429">
        <v>0.67917824074074085</v>
      </c>
      <c r="B174" s="218">
        <v>92.2</v>
      </c>
      <c r="C174" s="218" t="s">
        <v>314</v>
      </c>
      <c r="D174" s="218">
        <v>46.1</v>
      </c>
      <c r="E174" s="218" t="s">
        <v>315</v>
      </c>
      <c r="F174" s="218">
        <v>22.7</v>
      </c>
      <c r="G174" s="218" t="s">
        <v>316</v>
      </c>
      <c r="H174" s="218">
        <v>117</v>
      </c>
      <c r="I174" s="218">
        <f t="shared" si="5"/>
        <v>87.7</v>
      </c>
      <c r="J174" s="218">
        <f t="shared" si="6"/>
        <v>1.1402508551881414E-2</v>
      </c>
      <c r="K174" s="218">
        <f t="shared" si="7"/>
        <v>3.7858575191960946E-2</v>
      </c>
      <c r="L174" s="218">
        <f t="shared" si="8"/>
        <v>67.400000000000006</v>
      </c>
      <c r="M174" s="218" t="s">
        <v>323</v>
      </c>
      <c r="P174" s="218">
        <v>169</v>
      </c>
      <c r="Q174" s="218">
        <v>140.29999999999998</v>
      </c>
      <c r="R174" s="218">
        <v>189</v>
      </c>
      <c r="S174" s="218">
        <v>62</v>
      </c>
      <c r="T174" s="218">
        <v>130.43333333333331</v>
      </c>
      <c r="U174" s="273">
        <v>7.6667518527983661E-3</v>
      </c>
      <c r="V174" s="218">
        <v>7.7631637178584446E-3</v>
      </c>
      <c r="W174" s="250">
        <v>1.3260961715762435E-4</v>
      </c>
      <c r="X174" s="250">
        <v>0.28793230316409119</v>
      </c>
      <c r="Z174" s="218">
        <v>166</v>
      </c>
      <c r="AA174" s="435">
        <v>0.27159676232523916</v>
      </c>
      <c r="AC174" s="435">
        <v>0.89393939393939392</v>
      </c>
      <c r="AD174" s="435">
        <v>0.97619047619047605</v>
      </c>
      <c r="AK174" s="218">
        <v>0.97619047619047605</v>
      </c>
      <c r="AS174" s="218">
        <v>166</v>
      </c>
      <c r="AT174" s="218">
        <v>0.97560975609756595</v>
      </c>
      <c r="AW174" s="218">
        <v>1</v>
      </c>
    </row>
    <row r="175" spans="1:49">
      <c r="A175" s="429">
        <v>0.67918981481481477</v>
      </c>
      <c r="B175" s="218">
        <v>92.1</v>
      </c>
      <c r="C175" s="218" t="s">
        <v>314</v>
      </c>
      <c r="D175" s="218">
        <v>46.1</v>
      </c>
      <c r="E175" s="218" t="s">
        <v>315</v>
      </c>
      <c r="F175" s="218">
        <v>22.7</v>
      </c>
      <c r="G175" s="218" t="s">
        <v>316</v>
      </c>
      <c r="H175" s="218">
        <v>118</v>
      </c>
      <c r="I175" s="218">
        <f t="shared" si="5"/>
        <v>92.2</v>
      </c>
      <c r="J175" s="218">
        <f t="shared" si="6"/>
        <v>1.0845986984815618E-2</v>
      </c>
      <c r="K175" s="218">
        <f t="shared" si="7"/>
        <v>3.841509675902674E-2</v>
      </c>
      <c r="L175" s="218">
        <f t="shared" si="8"/>
        <v>71.900000000000006</v>
      </c>
      <c r="M175" s="218" t="s">
        <v>323</v>
      </c>
      <c r="P175" s="218">
        <v>170</v>
      </c>
      <c r="Q175" s="218">
        <v>140.89999999999998</v>
      </c>
      <c r="R175" s="218">
        <v>191</v>
      </c>
      <c r="S175" s="218">
        <v>62</v>
      </c>
      <c r="T175" s="218">
        <v>131.29999999999998</v>
      </c>
      <c r="U175" s="273">
        <v>7.616146230007617E-3</v>
      </c>
      <c r="V175" s="218">
        <v>7.641449041402992E-3</v>
      </c>
      <c r="W175" s="250">
        <v>1.3053049874226853E-4</v>
      </c>
      <c r="X175" s="250">
        <v>0.28984547461368648</v>
      </c>
      <c r="Z175" s="218">
        <v>167</v>
      </c>
      <c r="AA175" s="435">
        <v>0.27947019867549666</v>
      </c>
      <c r="AC175" s="435">
        <v>0.88636363636363635</v>
      </c>
      <c r="AD175" s="435">
        <v>0.97619047619047605</v>
      </c>
      <c r="AK175" s="218">
        <v>0.97619047619047605</v>
      </c>
      <c r="AS175" s="218">
        <v>167</v>
      </c>
      <c r="AT175" s="218">
        <v>0.96747967479675168</v>
      </c>
      <c r="AW175" s="218">
        <v>1</v>
      </c>
    </row>
    <row r="176" spans="1:49">
      <c r="A176" s="429">
        <v>0.67920138888888892</v>
      </c>
      <c r="B176" s="218">
        <v>91.5</v>
      </c>
      <c r="C176" s="218" t="s">
        <v>314</v>
      </c>
      <c r="D176" s="218">
        <v>45.8</v>
      </c>
      <c r="E176" s="218" t="s">
        <v>315</v>
      </c>
      <c r="F176" s="218">
        <v>22.7</v>
      </c>
      <c r="G176" s="218" t="s">
        <v>316</v>
      </c>
      <c r="H176" s="218">
        <v>119</v>
      </c>
      <c r="I176" s="218">
        <f t="shared" si="5"/>
        <v>92.1</v>
      </c>
      <c r="J176" s="218">
        <f t="shared" si="6"/>
        <v>1.0857763300760045E-2</v>
      </c>
      <c r="K176" s="218">
        <f t="shared" si="7"/>
        <v>3.8403320443082312E-2</v>
      </c>
      <c r="L176" s="218">
        <f t="shared" si="8"/>
        <v>71.8</v>
      </c>
      <c r="M176" s="218" t="s">
        <v>323</v>
      </c>
      <c r="P176" s="218">
        <v>171</v>
      </c>
      <c r="Q176" s="218">
        <v>138.79999999999998</v>
      </c>
      <c r="R176" s="218">
        <v>194</v>
      </c>
      <c r="S176" s="218">
        <v>66</v>
      </c>
      <c r="T176" s="218">
        <v>132.93333333333331</v>
      </c>
      <c r="U176" s="273">
        <v>7.5225677031093294E-3</v>
      </c>
      <c r="V176" s="218">
        <v>7.5693569665584732E-3</v>
      </c>
      <c r="W176" s="250">
        <v>1.2929902884253701E-4</v>
      </c>
      <c r="X176" s="250">
        <v>0.29345106696100071</v>
      </c>
      <c r="Z176" s="218">
        <v>168</v>
      </c>
      <c r="AA176" s="435">
        <v>0.28086828550404708</v>
      </c>
      <c r="AC176" s="435">
        <v>0.89393939393939392</v>
      </c>
      <c r="AD176" s="435">
        <v>0.97619047619047605</v>
      </c>
      <c r="AK176" s="218">
        <v>0.97619047619047605</v>
      </c>
      <c r="AS176" s="218">
        <v>168</v>
      </c>
      <c r="AT176" s="218">
        <v>0.97560975609756595</v>
      </c>
      <c r="AW176" s="218">
        <v>1</v>
      </c>
    </row>
    <row r="177" spans="1:49">
      <c r="A177" s="429">
        <v>0.67921296296296296</v>
      </c>
      <c r="B177" s="218">
        <v>91</v>
      </c>
      <c r="C177" s="218" t="s">
        <v>314</v>
      </c>
      <c r="D177" s="218">
        <v>45.5</v>
      </c>
      <c r="E177" s="218" t="s">
        <v>315</v>
      </c>
      <c r="F177" s="218">
        <v>22.7</v>
      </c>
      <c r="G177" s="218" t="s">
        <v>316</v>
      </c>
      <c r="H177" s="218">
        <v>120</v>
      </c>
      <c r="I177" s="218">
        <f t="shared" si="5"/>
        <v>91.5</v>
      </c>
      <c r="J177" s="218">
        <f t="shared" si="6"/>
        <v>1.092896174863388E-2</v>
      </c>
      <c r="K177" s="218">
        <f t="shared" si="7"/>
        <v>3.8332121995208482E-2</v>
      </c>
      <c r="L177" s="218">
        <f t="shared" si="8"/>
        <v>71.2</v>
      </c>
      <c r="M177" s="218" t="s">
        <v>323</v>
      </c>
      <c r="P177" s="218">
        <v>172</v>
      </c>
      <c r="Q177" s="218">
        <v>139.29999999999998</v>
      </c>
      <c r="R177" s="218">
        <v>195</v>
      </c>
      <c r="S177" s="218">
        <v>66</v>
      </c>
      <c r="T177" s="218">
        <v>133.43333333333331</v>
      </c>
      <c r="U177" s="273">
        <v>7.49437921558831E-3</v>
      </c>
      <c r="V177" s="218">
        <v>7.5084734593488193E-3</v>
      </c>
      <c r="W177" s="250">
        <v>1.2825902261882273E-4</v>
      </c>
      <c r="X177" s="250">
        <v>0.29455481972038255</v>
      </c>
      <c r="Z177" s="218">
        <v>169</v>
      </c>
      <c r="AA177" s="435">
        <v>0.28793230316409119</v>
      </c>
      <c r="AC177" s="435">
        <v>0.90151515151515127</v>
      </c>
      <c r="AD177" s="435">
        <v>0.98412698412698363</v>
      </c>
      <c r="AK177" s="218">
        <v>0.98412698412698363</v>
      </c>
      <c r="AS177" s="218">
        <v>169</v>
      </c>
      <c r="AT177" s="218">
        <v>0.97560975609756595</v>
      </c>
      <c r="AW177" s="218">
        <v>1</v>
      </c>
    </row>
    <row r="178" spans="1:49">
      <c r="A178" s="429">
        <v>0.679224537037037</v>
      </c>
      <c r="B178" s="218">
        <v>91</v>
      </c>
      <c r="C178" s="218" t="s">
        <v>314</v>
      </c>
      <c r="D178" s="218">
        <v>45.5</v>
      </c>
      <c r="E178" s="218" t="s">
        <v>315</v>
      </c>
      <c r="F178" s="218">
        <v>22.7</v>
      </c>
      <c r="G178" s="218" t="s">
        <v>316</v>
      </c>
      <c r="H178" s="218">
        <v>121</v>
      </c>
      <c r="I178" s="218">
        <f t="shared" si="5"/>
        <v>91</v>
      </c>
      <c r="J178" s="218">
        <f t="shared" si="6"/>
        <v>1.098901098901099E-2</v>
      </c>
      <c r="K178" s="218">
        <f t="shared" si="7"/>
        <v>3.8272072754831368E-2</v>
      </c>
      <c r="L178" s="218">
        <f t="shared" si="8"/>
        <v>70.7</v>
      </c>
      <c r="M178" s="218" t="s">
        <v>323</v>
      </c>
      <c r="P178" s="218">
        <v>173</v>
      </c>
      <c r="Q178" s="218">
        <v>139.39999999999998</v>
      </c>
      <c r="R178" s="218">
        <v>197</v>
      </c>
      <c r="S178" s="218">
        <v>66</v>
      </c>
      <c r="T178" s="218">
        <v>134.13333333333333</v>
      </c>
      <c r="U178" s="273">
        <v>7.4552683896620285E-3</v>
      </c>
      <c r="V178" s="218">
        <v>7.4748238026251697E-3</v>
      </c>
      <c r="W178" s="250">
        <v>1.2768422241393415E-4</v>
      </c>
      <c r="X178" s="250">
        <v>0.29610007358351725</v>
      </c>
      <c r="Z178" s="218">
        <v>170</v>
      </c>
      <c r="AA178" s="435">
        <v>0.28984547461368648</v>
      </c>
      <c r="AC178" s="435">
        <v>0.90151515151515127</v>
      </c>
      <c r="AD178" s="435">
        <v>0.97619047619047605</v>
      </c>
      <c r="AK178" s="218">
        <v>0.97619047619047605</v>
      </c>
      <c r="AS178" s="218">
        <v>170</v>
      </c>
      <c r="AT178" s="218">
        <v>0.97560975609756595</v>
      </c>
      <c r="AW178" s="218">
        <v>1</v>
      </c>
    </row>
    <row r="179" spans="1:49">
      <c r="A179" s="429">
        <v>0.67923611111111104</v>
      </c>
      <c r="B179" s="218">
        <v>95.1</v>
      </c>
      <c r="C179" s="218" t="s">
        <v>314</v>
      </c>
      <c r="D179" s="218">
        <v>47.6</v>
      </c>
      <c r="E179" s="218" t="s">
        <v>315</v>
      </c>
      <c r="F179" s="218">
        <v>22.7</v>
      </c>
      <c r="G179" s="218" t="s">
        <v>316</v>
      </c>
      <c r="H179" s="218">
        <v>122</v>
      </c>
      <c r="I179" s="218">
        <f t="shared" si="5"/>
        <v>91</v>
      </c>
      <c r="J179" s="218">
        <f t="shared" si="6"/>
        <v>1.098901098901099E-2</v>
      </c>
      <c r="K179" s="218">
        <f t="shared" si="7"/>
        <v>3.8272072754831368E-2</v>
      </c>
      <c r="L179" s="218">
        <f t="shared" si="8"/>
        <v>70.7</v>
      </c>
      <c r="M179" s="218" t="s">
        <v>323</v>
      </c>
      <c r="P179" s="218">
        <v>174</v>
      </c>
      <c r="Q179" s="218">
        <v>139.69999999999999</v>
      </c>
      <c r="R179" s="218">
        <v>198</v>
      </c>
      <c r="S179" s="218">
        <v>66</v>
      </c>
      <c r="T179" s="218">
        <v>134.56666666666666</v>
      </c>
      <c r="U179" s="273">
        <v>7.4312608372553877E-3</v>
      </c>
      <c r="V179" s="218">
        <v>7.4432646134587081E-3</v>
      </c>
      <c r="W179" s="250">
        <v>1.2714513137511679E-4</v>
      </c>
      <c r="X179" s="250">
        <v>0.29705665930831493</v>
      </c>
      <c r="Z179" s="218">
        <v>171</v>
      </c>
      <c r="AA179" s="435">
        <v>0.29345106696100071</v>
      </c>
      <c r="AC179" s="435">
        <v>0.89393939393939392</v>
      </c>
      <c r="AD179" s="435">
        <v>0.96825396825396814</v>
      </c>
      <c r="AK179" s="218">
        <v>0.96825396825396814</v>
      </c>
      <c r="AS179" s="218">
        <v>171</v>
      </c>
      <c r="AT179" s="218">
        <v>0.97560975609756595</v>
      </c>
      <c r="AW179" s="218">
        <v>1</v>
      </c>
    </row>
    <row r="180" spans="1:49">
      <c r="A180" s="429">
        <v>0.67924768518518519</v>
      </c>
      <c r="B180" s="218">
        <v>98.8</v>
      </c>
      <c r="C180" s="218" t="s">
        <v>314</v>
      </c>
      <c r="D180" s="218">
        <v>49.4</v>
      </c>
      <c r="E180" s="218" t="s">
        <v>315</v>
      </c>
      <c r="F180" s="218">
        <v>22.7</v>
      </c>
      <c r="G180" s="218" t="s">
        <v>316</v>
      </c>
      <c r="H180" s="218">
        <v>123</v>
      </c>
      <c r="I180" s="218">
        <f t="shared" si="5"/>
        <v>95.1</v>
      </c>
      <c r="J180" s="218">
        <f t="shared" si="6"/>
        <v>1.0515247108307046E-2</v>
      </c>
      <c r="K180" s="218">
        <f t="shared" si="7"/>
        <v>3.8745836635535311E-2</v>
      </c>
      <c r="L180" s="218">
        <f t="shared" si="8"/>
        <v>74.8</v>
      </c>
      <c r="M180" s="218" t="s">
        <v>323</v>
      </c>
      <c r="P180" s="218">
        <v>175</v>
      </c>
      <c r="Q180" s="218">
        <v>139.79999999999998</v>
      </c>
      <c r="R180" s="218">
        <v>201</v>
      </c>
      <c r="S180" s="218">
        <v>68</v>
      </c>
      <c r="T180" s="218">
        <v>136.26666666666665</v>
      </c>
      <c r="U180" s="273">
        <v>7.3385518590998048E-3</v>
      </c>
      <c r="V180" s="218">
        <v>7.3849063481775962E-3</v>
      </c>
      <c r="W180" s="250">
        <v>1.2614826109153527E-4</v>
      </c>
      <c r="X180" s="250">
        <v>0.30080941869021338</v>
      </c>
      <c r="Z180" s="218">
        <v>172</v>
      </c>
      <c r="AA180" s="435">
        <v>0.29455481972038255</v>
      </c>
      <c r="AC180" s="435">
        <v>0.89393939393939392</v>
      </c>
      <c r="AD180" s="435">
        <v>0.97619047619047605</v>
      </c>
      <c r="AK180" s="218">
        <v>0.97619047619047605</v>
      </c>
      <c r="AS180" s="218">
        <v>172</v>
      </c>
      <c r="AT180" s="218">
        <v>0.97560975609756595</v>
      </c>
      <c r="AW180" s="218">
        <v>1</v>
      </c>
    </row>
    <row r="181" spans="1:49">
      <c r="A181" s="429">
        <v>0.67925925925925934</v>
      </c>
      <c r="B181" s="218">
        <v>94.7</v>
      </c>
      <c r="C181" s="218" t="s">
        <v>314</v>
      </c>
      <c r="D181" s="218">
        <v>47.4</v>
      </c>
      <c r="E181" s="218" t="s">
        <v>315</v>
      </c>
      <c r="F181" s="218">
        <v>22.7</v>
      </c>
      <c r="G181" s="218" t="s">
        <v>316</v>
      </c>
      <c r="H181" s="218">
        <v>124</v>
      </c>
      <c r="I181" s="218">
        <f t="shared" si="5"/>
        <v>98.8</v>
      </c>
      <c r="J181" s="218">
        <f t="shared" si="6"/>
        <v>1.0121457489878543E-2</v>
      </c>
      <c r="K181" s="218">
        <f t="shared" si="7"/>
        <v>3.9139626253963819E-2</v>
      </c>
      <c r="L181" s="218">
        <f t="shared" si="8"/>
        <v>78.5</v>
      </c>
      <c r="M181" s="218" t="s">
        <v>323</v>
      </c>
      <c r="P181" s="218">
        <v>176</v>
      </c>
      <c r="Q181" s="218">
        <v>144.39999999999998</v>
      </c>
      <c r="R181" s="218">
        <v>199</v>
      </c>
      <c r="S181" s="218">
        <v>68</v>
      </c>
      <c r="T181" s="218">
        <v>137.13333333333333</v>
      </c>
      <c r="U181" s="273">
        <v>7.2921730675741371E-3</v>
      </c>
      <c r="V181" s="218">
        <v>7.315362463336971E-3</v>
      </c>
      <c r="W181" s="250">
        <v>1.2496031912875605E-4</v>
      </c>
      <c r="X181" s="250">
        <v>0.30272259013980868</v>
      </c>
      <c r="Z181" s="218">
        <v>173</v>
      </c>
      <c r="AA181" s="435">
        <v>0.29610007358351725</v>
      </c>
      <c r="AC181" s="435">
        <v>0.90151515151515127</v>
      </c>
      <c r="AD181" s="435">
        <v>0.96825396825396814</v>
      </c>
      <c r="AK181" s="218">
        <v>0.96825396825396814</v>
      </c>
      <c r="AS181" s="218">
        <v>173</v>
      </c>
      <c r="AT181" s="218">
        <v>0.97560975609756595</v>
      </c>
      <c r="AW181" s="218">
        <v>1</v>
      </c>
    </row>
    <row r="182" spans="1:49">
      <c r="A182" s="429">
        <v>0.67927083333333327</v>
      </c>
      <c r="B182" s="218">
        <v>98.8</v>
      </c>
      <c r="C182" s="218" t="s">
        <v>314</v>
      </c>
      <c r="D182" s="218">
        <v>49.4</v>
      </c>
      <c r="E182" s="218" t="s">
        <v>315</v>
      </c>
      <c r="F182" s="218">
        <v>22.7</v>
      </c>
      <c r="G182" s="218" t="s">
        <v>316</v>
      </c>
      <c r="H182" s="218">
        <v>125</v>
      </c>
      <c r="I182" s="218">
        <f t="shared" si="5"/>
        <v>94.7</v>
      </c>
      <c r="J182" s="218">
        <f t="shared" si="6"/>
        <v>1.0559662090813094E-2</v>
      </c>
      <c r="K182" s="218">
        <f t="shared" si="7"/>
        <v>3.8701421653029269E-2</v>
      </c>
      <c r="L182" s="218">
        <f t="shared" si="8"/>
        <v>74.400000000000006</v>
      </c>
      <c r="M182" s="218" t="s">
        <v>323</v>
      </c>
      <c r="P182" s="218">
        <v>177</v>
      </c>
      <c r="Q182" s="218">
        <v>152.89999999999998</v>
      </c>
      <c r="R182" s="218">
        <v>200</v>
      </c>
      <c r="S182" s="218">
        <v>68</v>
      </c>
      <c r="T182" s="218">
        <v>140.29999999999998</v>
      </c>
      <c r="U182" s="273">
        <v>7.1275837491090533E-3</v>
      </c>
      <c r="V182" s="218">
        <v>7.2098784083415952E-3</v>
      </c>
      <c r="W182" s="250">
        <v>1.2315845063060857E-4</v>
      </c>
      <c r="X182" s="250">
        <v>0.30971302428256064</v>
      </c>
      <c r="Z182" s="218">
        <v>174</v>
      </c>
      <c r="AA182" s="435">
        <v>0.29705665930831493</v>
      </c>
      <c r="AC182" s="435">
        <v>0.89393939393939392</v>
      </c>
      <c r="AD182" s="435">
        <v>0.96825396825396814</v>
      </c>
      <c r="AK182" s="218">
        <v>0.96825396825396814</v>
      </c>
      <c r="AS182" s="218">
        <v>174</v>
      </c>
      <c r="AT182" s="218">
        <v>0.97560975609756595</v>
      </c>
    </row>
    <row r="183" spans="1:49">
      <c r="A183" s="429">
        <v>0.67928240740740742</v>
      </c>
      <c r="B183" s="218">
        <v>106.5</v>
      </c>
      <c r="C183" s="218" t="s">
        <v>314</v>
      </c>
      <c r="D183" s="218">
        <v>53.3</v>
      </c>
      <c r="E183" s="218" t="s">
        <v>315</v>
      </c>
      <c r="F183" s="218">
        <v>22.7</v>
      </c>
      <c r="G183" s="218" t="s">
        <v>316</v>
      </c>
      <c r="H183" s="218">
        <v>126</v>
      </c>
      <c r="I183" s="218">
        <f t="shared" si="5"/>
        <v>98.8</v>
      </c>
      <c r="J183" s="218">
        <f t="shared" si="6"/>
        <v>1.0121457489878543E-2</v>
      </c>
      <c r="K183" s="218">
        <f t="shared" si="7"/>
        <v>3.9139626253963819E-2</v>
      </c>
      <c r="L183" s="218">
        <f t="shared" si="8"/>
        <v>78.5</v>
      </c>
      <c r="M183" s="218" t="s">
        <v>323</v>
      </c>
      <c r="P183" s="218">
        <v>178</v>
      </c>
      <c r="Q183" s="218">
        <v>153.1</v>
      </c>
      <c r="R183" s="218">
        <v>197</v>
      </c>
      <c r="S183" s="218">
        <v>68</v>
      </c>
      <c r="T183" s="218">
        <v>139.36666666666667</v>
      </c>
      <c r="U183" s="273">
        <v>7.1753169098301836E-3</v>
      </c>
      <c r="V183" s="218">
        <v>7.1514503294696184E-3</v>
      </c>
      <c r="W183" s="250">
        <v>1.2216038779797186E-4</v>
      </c>
      <c r="X183" s="250">
        <v>0.30765268579838118</v>
      </c>
      <c r="Z183" s="218">
        <v>175</v>
      </c>
      <c r="AA183" s="435">
        <v>0.30080941869021338</v>
      </c>
      <c r="AC183" s="435">
        <v>0.90151515151515127</v>
      </c>
      <c r="AD183" s="435">
        <v>0.97619047619047605</v>
      </c>
      <c r="AK183" s="218">
        <v>0.97619047619047605</v>
      </c>
      <c r="AS183" s="218">
        <v>175</v>
      </c>
      <c r="AT183" s="218">
        <v>0.97560975609756595</v>
      </c>
    </row>
    <row r="184" spans="1:49">
      <c r="A184" s="429">
        <v>0.67929398148148146</v>
      </c>
      <c r="B184" s="218">
        <v>106.2</v>
      </c>
      <c r="C184" s="218" t="s">
        <v>314</v>
      </c>
      <c r="D184" s="218">
        <v>53.1</v>
      </c>
      <c r="E184" s="218" t="s">
        <v>315</v>
      </c>
      <c r="F184" s="218">
        <v>22.7</v>
      </c>
      <c r="G184" s="218" t="s">
        <v>316</v>
      </c>
      <c r="H184" s="218">
        <v>127</v>
      </c>
      <c r="I184" s="218">
        <f t="shared" si="5"/>
        <v>106.5</v>
      </c>
      <c r="J184" s="218">
        <f t="shared" si="6"/>
        <v>9.3896713615023476E-3</v>
      </c>
      <c r="K184" s="218">
        <f t="shared" si="7"/>
        <v>3.9871412382340016E-2</v>
      </c>
      <c r="L184" s="218">
        <f t="shared" si="8"/>
        <v>86.2</v>
      </c>
      <c r="M184" s="218" t="s">
        <v>323</v>
      </c>
      <c r="P184" s="218">
        <v>179</v>
      </c>
      <c r="Q184" s="218">
        <v>149</v>
      </c>
      <c r="R184" s="218">
        <v>199</v>
      </c>
      <c r="S184" s="218">
        <v>69</v>
      </c>
      <c r="T184" s="218">
        <v>139</v>
      </c>
      <c r="U184" s="273">
        <v>7.1942446043165471E-3</v>
      </c>
      <c r="V184" s="218">
        <v>7.1847807570733658E-3</v>
      </c>
      <c r="W184" s="250">
        <v>1.2272973496168878E-4</v>
      </c>
      <c r="X184" s="250">
        <v>0.30684326710816778</v>
      </c>
      <c r="Z184" s="218">
        <v>176</v>
      </c>
      <c r="AA184" s="435">
        <v>0.30272259013980868</v>
      </c>
      <c r="AC184" s="435">
        <v>0.90151515151515127</v>
      </c>
      <c r="AD184" s="435">
        <v>0.98412698412698363</v>
      </c>
      <c r="AK184" s="218">
        <v>0.98412698412698363</v>
      </c>
      <c r="AS184" s="218">
        <v>176</v>
      </c>
      <c r="AT184" s="218">
        <v>0.98373983739837723</v>
      </c>
    </row>
    <row r="185" spans="1:49">
      <c r="A185" s="429">
        <v>0.67930555555555561</v>
      </c>
      <c r="B185" s="218">
        <v>105.3</v>
      </c>
      <c r="C185" s="218" t="s">
        <v>314</v>
      </c>
      <c r="D185" s="218">
        <v>52.7</v>
      </c>
      <c r="E185" s="218" t="s">
        <v>315</v>
      </c>
      <c r="F185" s="218">
        <v>22.7</v>
      </c>
      <c r="G185" s="218" t="s">
        <v>316</v>
      </c>
      <c r="H185" s="218">
        <v>128</v>
      </c>
      <c r="I185" s="218">
        <f t="shared" si="5"/>
        <v>106.2</v>
      </c>
      <c r="J185" s="218">
        <f t="shared" si="6"/>
        <v>9.4161958568738224E-3</v>
      </c>
      <c r="K185" s="218">
        <f t="shared" si="7"/>
        <v>3.9844887886968536E-2</v>
      </c>
      <c r="L185" s="218">
        <f t="shared" si="8"/>
        <v>85.9</v>
      </c>
      <c r="M185" s="218" t="s">
        <v>323</v>
      </c>
      <c r="P185" s="218">
        <v>180</v>
      </c>
      <c r="Q185" s="218">
        <v>149.19999999999999</v>
      </c>
      <c r="R185" s="218">
        <v>199</v>
      </c>
      <c r="S185" s="218">
        <v>69</v>
      </c>
      <c r="T185" s="218">
        <v>139.06666666666666</v>
      </c>
      <c r="U185" s="273">
        <v>7.1907957813998084E-3</v>
      </c>
      <c r="V185" s="218">
        <v>7.1925201928581782E-3</v>
      </c>
      <c r="W185" s="250">
        <v>1.2286193926057263E-4</v>
      </c>
      <c r="X185" s="250">
        <v>0.30699043414275201</v>
      </c>
      <c r="Z185" s="218">
        <v>177</v>
      </c>
      <c r="AA185" s="435">
        <v>0.30971302428256064</v>
      </c>
      <c r="AC185" s="435">
        <v>0.90151515151515127</v>
      </c>
      <c r="AD185" s="435">
        <v>0.98412698412698363</v>
      </c>
      <c r="AK185" s="218">
        <v>0.98412698412698363</v>
      </c>
      <c r="AS185" s="218">
        <v>177</v>
      </c>
      <c r="AT185" s="218">
        <v>0.97560975609756595</v>
      </c>
    </row>
    <row r="186" spans="1:49">
      <c r="A186" s="429">
        <v>0.67931712962962953</v>
      </c>
      <c r="B186" s="218">
        <v>105.4</v>
      </c>
      <c r="C186" s="218" t="s">
        <v>314</v>
      </c>
      <c r="D186" s="218">
        <v>52.7</v>
      </c>
      <c r="E186" s="218" t="s">
        <v>315</v>
      </c>
      <c r="F186" s="218">
        <v>22.7</v>
      </c>
      <c r="G186" s="218" t="s">
        <v>316</v>
      </c>
      <c r="H186" s="218">
        <v>129</v>
      </c>
      <c r="I186" s="218">
        <f t="shared" ref="I186:I249" si="9">B185</f>
        <v>105.3</v>
      </c>
      <c r="J186" s="218">
        <f t="shared" ref="J186:J249" si="10">1/I186</f>
        <v>9.4966761633428296E-3</v>
      </c>
      <c r="K186" s="218">
        <f t="shared" ref="K186:K249" si="11">$J$57-J186</f>
        <v>3.9764407580499532E-2</v>
      </c>
      <c r="L186" s="218">
        <f t="shared" ref="L186:L249" si="12">(B185-$J$55)</f>
        <v>85</v>
      </c>
      <c r="M186" s="218" t="s">
        <v>323</v>
      </c>
      <c r="P186" s="218">
        <v>181</v>
      </c>
      <c r="Q186" s="218">
        <v>153.5</v>
      </c>
      <c r="R186" s="218">
        <v>204</v>
      </c>
      <c r="S186" s="218">
        <v>72</v>
      </c>
      <c r="T186" s="218">
        <v>143.16666666666666</v>
      </c>
      <c r="U186" s="273">
        <v>6.9848661233993022E-3</v>
      </c>
      <c r="V186" s="218">
        <v>7.0878309523995549E-3</v>
      </c>
      <c r="W186" s="250">
        <v>1.2107364770801855E-4</v>
      </c>
      <c r="X186" s="250">
        <v>0.31604120676968356</v>
      </c>
      <c r="Z186" s="218">
        <v>178</v>
      </c>
      <c r="AA186" s="435">
        <v>0.30765268579838118</v>
      </c>
      <c r="AC186" s="435">
        <v>0.90151515151515127</v>
      </c>
      <c r="AD186" s="435">
        <v>0.97619047619047605</v>
      </c>
      <c r="AK186" s="218">
        <v>0.97619047619047605</v>
      </c>
      <c r="AS186" s="218">
        <v>178</v>
      </c>
      <c r="AT186" s="218">
        <v>0.97560975609756595</v>
      </c>
    </row>
    <row r="187" spans="1:49">
      <c r="A187" s="429">
        <v>0.67932870370370368</v>
      </c>
      <c r="B187" s="218">
        <v>111.3</v>
      </c>
      <c r="C187" s="218" t="s">
        <v>314</v>
      </c>
      <c r="D187" s="218">
        <v>55.7</v>
      </c>
      <c r="E187" s="218" t="s">
        <v>315</v>
      </c>
      <c r="F187" s="218">
        <v>22.7</v>
      </c>
      <c r="G187" s="218" t="s">
        <v>316</v>
      </c>
      <c r="H187" s="218">
        <v>130</v>
      </c>
      <c r="I187" s="218">
        <f t="shared" si="9"/>
        <v>105.4</v>
      </c>
      <c r="J187" s="218">
        <f t="shared" si="10"/>
        <v>9.4876660341555973E-3</v>
      </c>
      <c r="K187" s="218">
        <f t="shared" si="11"/>
        <v>3.9773417709686759E-2</v>
      </c>
      <c r="L187" s="218">
        <f t="shared" si="12"/>
        <v>85.100000000000009</v>
      </c>
      <c r="M187" s="218" t="s">
        <v>323</v>
      </c>
      <c r="P187" s="218">
        <v>182</v>
      </c>
      <c r="Q187" s="218">
        <v>153.1</v>
      </c>
      <c r="R187" s="218">
        <v>205</v>
      </c>
      <c r="S187" s="218">
        <v>72</v>
      </c>
      <c r="T187" s="218">
        <v>143.36666666666667</v>
      </c>
      <c r="U187" s="273">
        <v>6.9751220646361309E-3</v>
      </c>
      <c r="V187" s="218">
        <v>6.979994094017717E-3</v>
      </c>
      <c r="W187" s="250">
        <v>1.1923158884835544E-4</v>
      </c>
      <c r="X187" s="250">
        <v>0.31648270787343635</v>
      </c>
      <c r="Z187" s="218">
        <v>179</v>
      </c>
      <c r="AA187" s="435">
        <v>0.30684326710816778</v>
      </c>
      <c r="AC187" s="435">
        <v>0.90151515151515127</v>
      </c>
      <c r="AD187" s="435">
        <v>0.98412698412698363</v>
      </c>
      <c r="AK187" s="218">
        <v>0.98412698412698363</v>
      </c>
      <c r="AS187" s="218">
        <v>179</v>
      </c>
      <c r="AT187" s="218">
        <v>0.98373983739837723</v>
      </c>
    </row>
    <row r="188" spans="1:49">
      <c r="A188" s="429">
        <v>0.67934027777777783</v>
      </c>
      <c r="B188" s="218">
        <v>111.7</v>
      </c>
      <c r="C188" s="218" t="s">
        <v>314</v>
      </c>
      <c r="D188" s="218">
        <v>55.9</v>
      </c>
      <c r="E188" s="218" t="s">
        <v>315</v>
      </c>
      <c r="F188" s="218">
        <v>22.7</v>
      </c>
      <c r="G188" s="218" t="s">
        <v>316</v>
      </c>
      <c r="H188" s="218">
        <v>131</v>
      </c>
      <c r="I188" s="218">
        <f t="shared" si="9"/>
        <v>111.3</v>
      </c>
      <c r="J188" s="218">
        <f t="shared" si="10"/>
        <v>8.9847259658580418E-3</v>
      </c>
      <c r="K188" s="218">
        <f t="shared" si="11"/>
        <v>4.0276357777984315E-2</v>
      </c>
      <c r="L188" s="218">
        <f t="shared" si="12"/>
        <v>91</v>
      </c>
      <c r="M188" s="218" t="s">
        <v>323</v>
      </c>
      <c r="P188" s="218">
        <v>183</v>
      </c>
      <c r="Q188" s="218">
        <v>153.19999999999999</v>
      </c>
      <c r="R188" s="218">
        <v>208</v>
      </c>
      <c r="S188" s="218">
        <v>75</v>
      </c>
      <c r="T188" s="218">
        <v>145.4</v>
      </c>
      <c r="U188" s="273">
        <v>6.8775790921595595E-3</v>
      </c>
      <c r="V188" s="218">
        <v>6.9263505783978448E-3</v>
      </c>
      <c r="W188" s="250">
        <v>1.1831525546574545E-4</v>
      </c>
      <c r="X188" s="250">
        <v>0.32097130242825606</v>
      </c>
      <c r="Z188" s="218">
        <v>180</v>
      </c>
      <c r="AA188" s="435">
        <v>0.30699043414275201</v>
      </c>
      <c r="AC188" s="435">
        <v>0.89393939393939392</v>
      </c>
      <c r="AD188" s="435">
        <v>0.98412698412698363</v>
      </c>
      <c r="AK188" s="218">
        <v>0.98412698412698363</v>
      </c>
      <c r="AS188" s="218">
        <v>180</v>
      </c>
      <c r="AT188" s="218">
        <v>0.97560975609756595</v>
      </c>
    </row>
    <row r="189" spans="1:49">
      <c r="A189" s="429">
        <v>0.67935185185185187</v>
      </c>
      <c r="B189" s="218">
        <v>107.8</v>
      </c>
      <c r="C189" s="218" t="s">
        <v>314</v>
      </c>
      <c r="D189" s="218">
        <v>53.9</v>
      </c>
      <c r="E189" s="218" t="s">
        <v>315</v>
      </c>
      <c r="F189" s="218">
        <v>22.7</v>
      </c>
      <c r="G189" s="218" t="s">
        <v>316</v>
      </c>
      <c r="H189" s="218">
        <v>132</v>
      </c>
      <c r="I189" s="218">
        <f t="shared" si="9"/>
        <v>111.7</v>
      </c>
      <c r="J189" s="218">
        <f t="shared" si="10"/>
        <v>8.9525514771709933E-3</v>
      </c>
      <c r="K189" s="218">
        <f t="shared" si="11"/>
        <v>4.0308532266671367E-2</v>
      </c>
      <c r="L189" s="218">
        <f t="shared" si="12"/>
        <v>91.4</v>
      </c>
      <c r="M189" s="218" t="s">
        <v>323</v>
      </c>
      <c r="P189" s="218">
        <v>184</v>
      </c>
      <c r="Q189" s="218">
        <v>153.39999999999998</v>
      </c>
      <c r="R189" s="218">
        <v>210</v>
      </c>
      <c r="S189" s="218">
        <v>75</v>
      </c>
      <c r="T189" s="218">
        <v>146.13333333333333</v>
      </c>
      <c r="U189" s="273">
        <v>6.8430656934306573E-3</v>
      </c>
      <c r="V189" s="218">
        <v>6.8603223927951084E-3</v>
      </c>
      <c r="W189" s="250">
        <v>1.1718736833974692E-4</v>
      </c>
      <c r="X189" s="250">
        <v>0.32259013980868284</v>
      </c>
      <c r="Z189" s="218">
        <v>181</v>
      </c>
      <c r="AA189" s="435">
        <v>0.31604120676968356</v>
      </c>
      <c r="AC189" s="435">
        <v>0.90151515151515127</v>
      </c>
      <c r="AD189" s="435">
        <v>0.98412698412698363</v>
      </c>
      <c r="AK189" s="218">
        <v>0.98412698412698363</v>
      </c>
      <c r="AS189" s="218">
        <v>181</v>
      </c>
      <c r="AT189" s="218">
        <v>0.99186991869918872</v>
      </c>
    </row>
    <row r="190" spans="1:49">
      <c r="A190" s="429">
        <v>0.67936342592592591</v>
      </c>
      <c r="B190" s="218">
        <v>112.5</v>
      </c>
      <c r="C190" s="218" t="s">
        <v>314</v>
      </c>
      <c r="D190" s="218">
        <v>56.3</v>
      </c>
      <c r="E190" s="218" t="s">
        <v>315</v>
      </c>
      <c r="F190" s="218">
        <v>22.7</v>
      </c>
      <c r="G190" s="218" t="s">
        <v>316</v>
      </c>
      <c r="H190" s="218">
        <v>133</v>
      </c>
      <c r="I190" s="218">
        <f t="shared" si="9"/>
        <v>107.8</v>
      </c>
      <c r="J190" s="218">
        <f t="shared" si="10"/>
        <v>9.2764378478664197E-3</v>
      </c>
      <c r="K190" s="218">
        <f t="shared" si="11"/>
        <v>3.9984645895975938E-2</v>
      </c>
      <c r="L190" s="218">
        <f t="shared" si="12"/>
        <v>87.5</v>
      </c>
      <c r="M190" s="218" t="s">
        <v>323</v>
      </c>
      <c r="P190" s="218">
        <v>185</v>
      </c>
      <c r="Q190" s="218">
        <v>158</v>
      </c>
      <c r="R190" s="218">
        <v>214</v>
      </c>
      <c r="S190" s="218">
        <v>78</v>
      </c>
      <c r="T190" s="218">
        <v>150</v>
      </c>
      <c r="U190" s="273">
        <v>6.6666666666666671E-3</v>
      </c>
      <c r="V190" s="218">
        <v>6.7548661800486617E-3</v>
      </c>
      <c r="W190" s="250">
        <v>1.1538597544022205E-4</v>
      </c>
      <c r="X190" s="250">
        <v>0.33112582781456956</v>
      </c>
      <c r="Z190" s="218">
        <v>182</v>
      </c>
      <c r="AA190" s="435">
        <v>0.31648270787343635</v>
      </c>
      <c r="AC190" s="435">
        <v>0.90151515151515127</v>
      </c>
      <c r="AD190" s="435">
        <v>0.98412698412698363</v>
      </c>
      <c r="AK190" s="218">
        <v>0.98412698412698363</v>
      </c>
      <c r="AS190" s="218">
        <v>182</v>
      </c>
      <c r="AT190" s="218">
        <v>0.99186991869918872</v>
      </c>
    </row>
    <row r="191" spans="1:49">
      <c r="A191" s="429">
        <v>0.67937499999999995</v>
      </c>
      <c r="B191" s="218">
        <v>112.7</v>
      </c>
      <c r="C191" s="218" t="s">
        <v>314</v>
      </c>
      <c r="D191" s="218">
        <v>56.4</v>
      </c>
      <c r="E191" s="218" t="s">
        <v>315</v>
      </c>
      <c r="F191" s="218">
        <v>22.7</v>
      </c>
      <c r="G191" s="218" t="s">
        <v>316</v>
      </c>
      <c r="H191" s="218">
        <v>134</v>
      </c>
      <c r="I191" s="218">
        <f t="shared" si="9"/>
        <v>112.5</v>
      </c>
      <c r="J191" s="218">
        <f t="shared" si="10"/>
        <v>8.8888888888888889E-3</v>
      </c>
      <c r="K191" s="218">
        <f t="shared" si="11"/>
        <v>4.0372194854953469E-2</v>
      </c>
      <c r="L191" s="218">
        <f t="shared" si="12"/>
        <v>92.2</v>
      </c>
      <c r="M191" s="218" t="s">
        <v>323</v>
      </c>
      <c r="P191" s="218">
        <v>186</v>
      </c>
      <c r="Q191" s="218">
        <v>165.79999999999998</v>
      </c>
      <c r="R191" s="218">
        <v>216</v>
      </c>
      <c r="S191" s="218">
        <v>78</v>
      </c>
      <c r="T191" s="218">
        <v>153.26666666666665</v>
      </c>
      <c r="U191" s="273">
        <v>6.5245759025663336E-3</v>
      </c>
      <c r="V191" s="218">
        <v>6.5956212846164999E-3</v>
      </c>
      <c r="W191" s="250">
        <v>1.1266576942820838E-4</v>
      </c>
      <c r="X191" s="250">
        <v>0.3383370125091979</v>
      </c>
      <c r="Z191" s="218">
        <v>183</v>
      </c>
      <c r="AA191" s="435">
        <v>0.32097130242825606</v>
      </c>
      <c r="AC191" s="435">
        <v>0.89393939393939392</v>
      </c>
      <c r="AD191" s="435">
        <v>0.98412698412698363</v>
      </c>
      <c r="AK191" s="218">
        <v>0.98412698412698363</v>
      </c>
      <c r="AS191" s="218">
        <v>183</v>
      </c>
      <c r="AT191" s="218">
        <v>0.98373983739837723</v>
      </c>
    </row>
    <row r="192" spans="1:49">
      <c r="A192" s="429">
        <v>0.6793865740740741</v>
      </c>
      <c r="B192" s="218">
        <v>112.6</v>
      </c>
      <c r="C192" s="218" t="s">
        <v>314</v>
      </c>
      <c r="D192" s="218">
        <v>56.3</v>
      </c>
      <c r="E192" s="218" t="s">
        <v>315</v>
      </c>
      <c r="F192" s="218">
        <v>22.7</v>
      </c>
      <c r="G192" s="218" t="s">
        <v>316</v>
      </c>
      <c r="H192" s="218">
        <v>135</v>
      </c>
      <c r="I192" s="218">
        <f t="shared" si="9"/>
        <v>112.7</v>
      </c>
      <c r="J192" s="218">
        <f t="shared" si="10"/>
        <v>8.8731144631765749E-3</v>
      </c>
      <c r="K192" s="218">
        <f t="shared" si="11"/>
        <v>4.0387969280665785E-2</v>
      </c>
      <c r="L192" s="218">
        <f t="shared" si="12"/>
        <v>92.4</v>
      </c>
      <c r="M192" s="218" t="s">
        <v>323</v>
      </c>
      <c r="P192" s="218">
        <v>187</v>
      </c>
      <c r="Q192" s="218">
        <v>165.89999999999998</v>
      </c>
      <c r="R192" s="218">
        <v>218</v>
      </c>
      <c r="S192" s="218">
        <v>77</v>
      </c>
      <c r="T192" s="218">
        <v>153.63333333333333</v>
      </c>
      <c r="U192" s="273">
        <v>6.5090041223692776E-3</v>
      </c>
      <c r="V192" s="218">
        <v>6.516790012467806E-3</v>
      </c>
      <c r="W192" s="250">
        <v>1.113191812072697E-4</v>
      </c>
      <c r="X192" s="250">
        <v>0.33914643119941129</v>
      </c>
      <c r="Z192" s="218">
        <v>184</v>
      </c>
      <c r="AA192" s="435">
        <v>0.32259013980868284</v>
      </c>
      <c r="AC192" s="435">
        <v>0.90151515151515127</v>
      </c>
      <c r="AD192" s="435">
        <v>0.97619047619047605</v>
      </c>
      <c r="AK192" s="218">
        <v>0.97619047619047605</v>
      </c>
      <c r="AS192" s="218">
        <v>184</v>
      </c>
      <c r="AT192" s="218">
        <v>0.98373983739837723</v>
      </c>
    </row>
    <row r="193" spans="1:46">
      <c r="A193" s="429">
        <v>0.67939814814814825</v>
      </c>
      <c r="B193" s="218">
        <v>117.2</v>
      </c>
      <c r="C193" s="218" t="s">
        <v>314</v>
      </c>
      <c r="D193" s="218">
        <v>58.6</v>
      </c>
      <c r="E193" s="218" t="s">
        <v>315</v>
      </c>
      <c r="F193" s="218">
        <v>22.7</v>
      </c>
      <c r="G193" s="218" t="s">
        <v>316</v>
      </c>
      <c r="H193" s="218">
        <v>136</v>
      </c>
      <c r="I193" s="218">
        <f t="shared" si="9"/>
        <v>112.6</v>
      </c>
      <c r="J193" s="218">
        <f t="shared" si="10"/>
        <v>8.8809946714031984E-3</v>
      </c>
      <c r="K193" s="218">
        <f t="shared" si="11"/>
        <v>4.038008907243916E-2</v>
      </c>
      <c r="L193" s="218">
        <f t="shared" si="12"/>
        <v>92.3</v>
      </c>
      <c r="M193" s="218" t="s">
        <v>323</v>
      </c>
      <c r="P193" s="218">
        <v>188</v>
      </c>
      <c r="Q193" s="218">
        <v>165.5</v>
      </c>
      <c r="R193" s="218">
        <v>219</v>
      </c>
      <c r="S193" s="218">
        <v>77</v>
      </c>
      <c r="T193" s="218">
        <v>153.83333333333334</v>
      </c>
      <c r="U193" s="273">
        <v>6.5005417118093167E-3</v>
      </c>
      <c r="V193" s="218">
        <v>6.5047729170892975E-3</v>
      </c>
      <c r="W193" s="250">
        <v>1.1111390633797579E-4</v>
      </c>
      <c r="X193" s="250">
        <v>0.33958793230316409</v>
      </c>
      <c r="Z193" s="218">
        <v>185</v>
      </c>
      <c r="AA193" s="435">
        <v>0.33112582781456956</v>
      </c>
      <c r="AC193" s="435">
        <v>0.90151515151515127</v>
      </c>
      <c r="AD193" s="435">
        <v>0.98412698412698363</v>
      </c>
      <c r="AK193" s="218">
        <v>0.98412698412698363</v>
      </c>
      <c r="AS193" s="218">
        <v>185</v>
      </c>
      <c r="AT193" s="218">
        <v>0.98373983739837723</v>
      </c>
    </row>
    <row r="194" spans="1:46">
      <c r="A194" s="429">
        <v>0.67940972222222218</v>
      </c>
      <c r="B194" s="218">
        <v>121.3</v>
      </c>
      <c r="C194" s="218" t="s">
        <v>314</v>
      </c>
      <c r="D194" s="218">
        <v>60.7</v>
      </c>
      <c r="E194" s="218" t="s">
        <v>315</v>
      </c>
      <c r="F194" s="218">
        <v>22.7</v>
      </c>
      <c r="G194" s="218" t="s">
        <v>316</v>
      </c>
      <c r="H194" s="218">
        <v>137</v>
      </c>
      <c r="I194" s="218">
        <f t="shared" si="9"/>
        <v>117.2</v>
      </c>
      <c r="J194" s="218">
        <f t="shared" si="10"/>
        <v>8.5324232081911266E-3</v>
      </c>
      <c r="K194" s="218">
        <f t="shared" si="11"/>
        <v>4.0728660535651232E-2</v>
      </c>
      <c r="L194" s="218">
        <f t="shared" si="12"/>
        <v>96.9</v>
      </c>
      <c r="M194" s="218" t="s">
        <v>323</v>
      </c>
      <c r="P194" s="218">
        <v>189</v>
      </c>
      <c r="Q194" s="218">
        <v>161.5</v>
      </c>
      <c r="R194" s="218">
        <v>220</v>
      </c>
      <c r="S194" s="218">
        <v>79</v>
      </c>
      <c r="T194" s="218">
        <v>153.5</v>
      </c>
      <c r="U194" s="273">
        <v>6.5146579804560263E-3</v>
      </c>
      <c r="V194" s="218">
        <v>6.5075998461326719E-3</v>
      </c>
      <c r="W194" s="250">
        <v>1.111621956684341E-4</v>
      </c>
      <c r="X194" s="250">
        <v>0.33885209713024284</v>
      </c>
      <c r="Z194" s="218">
        <v>186</v>
      </c>
      <c r="AA194" s="435">
        <v>0.3383370125091979</v>
      </c>
      <c r="AC194" s="435">
        <v>0.90151515151515127</v>
      </c>
      <c r="AD194" s="435">
        <v>0.98412698412698363</v>
      </c>
      <c r="AK194" s="218">
        <v>0.98412698412698363</v>
      </c>
      <c r="AS194" s="218">
        <v>186</v>
      </c>
      <c r="AT194" s="218">
        <v>0.99186991869918872</v>
      </c>
    </row>
    <row r="195" spans="1:46">
      <c r="A195" s="429">
        <v>0.67942129629629633</v>
      </c>
      <c r="B195" s="218">
        <v>121.5</v>
      </c>
      <c r="C195" s="218" t="s">
        <v>314</v>
      </c>
      <c r="D195" s="218">
        <v>60.8</v>
      </c>
      <c r="E195" s="218" t="s">
        <v>315</v>
      </c>
      <c r="F195" s="218">
        <v>22.7</v>
      </c>
      <c r="G195" s="218" t="s">
        <v>316</v>
      </c>
      <c r="H195" s="218">
        <v>138</v>
      </c>
      <c r="I195" s="218">
        <f t="shared" si="9"/>
        <v>121.3</v>
      </c>
      <c r="J195" s="218">
        <f t="shared" si="10"/>
        <v>8.2440230832646327E-3</v>
      </c>
      <c r="K195" s="218">
        <f t="shared" si="11"/>
        <v>4.1017060660577725E-2</v>
      </c>
      <c r="L195" s="218">
        <f t="shared" si="12"/>
        <v>101</v>
      </c>
      <c r="M195" s="218" t="s">
        <v>323</v>
      </c>
      <c r="P195" s="218">
        <v>190</v>
      </c>
      <c r="Q195" s="218">
        <v>165.79999999999998</v>
      </c>
      <c r="R195" s="218">
        <v>222</v>
      </c>
      <c r="S195" s="218">
        <v>79</v>
      </c>
      <c r="T195" s="218">
        <v>155.6</v>
      </c>
      <c r="U195" s="273">
        <v>6.4267352185089976E-3</v>
      </c>
      <c r="V195" s="218">
        <v>6.470696599482512E-3</v>
      </c>
      <c r="W195" s="250">
        <v>1.1053181795285229E-4</v>
      </c>
      <c r="X195" s="250">
        <v>0.34348785871964677</v>
      </c>
      <c r="Z195" s="218">
        <v>187</v>
      </c>
      <c r="AA195" s="435">
        <v>0.33914643119941129</v>
      </c>
      <c r="AC195" s="435">
        <v>0.90151515151515127</v>
      </c>
      <c r="AD195" s="435">
        <v>0.96825396825396814</v>
      </c>
      <c r="AK195" s="218">
        <v>0.96825396825396814</v>
      </c>
      <c r="AS195" s="218">
        <v>187</v>
      </c>
      <c r="AT195" s="218">
        <v>0.98373983739837723</v>
      </c>
    </row>
    <row r="196" spans="1:46">
      <c r="A196" s="429">
        <v>0.67943287037037037</v>
      </c>
      <c r="B196" s="218">
        <v>122.1</v>
      </c>
      <c r="C196" s="218" t="s">
        <v>314</v>
      </c>
      <c r="D196" s="218">
        <v>61.1</v>
      </c>
      <c r="E196" s="218" t="s">
        <v>315</v>
      </c>
      <c r="F196" s="218">
        <v>22.7</v>
      </c>
      <c r="G196" s="218" t="s">
        <v>316</v>
      </c>
      <c r="H196" s="218">
        <v>139</v>
      </c>
      <c r="I196" s="218">
        <f t="shared" si="9"/>
        <v>121.5</v>
      </c>
      <c r="J196" s="218">
        <f t="shared" si="10"/>
        <v>8.23045267489712E-3</v>
      </c>
      <c r="K196" s="218">
        <f t="shared" si="11"/>
        <v>4.1030631068945236E-2</v>
      </c>
      <c r="L196" s="218">
        <f t="shared" si="12"/>
        <v>101.2</v>
      </c>
      <c r="M196" s="218" t="s">
        <v>323</v>
      </c>
      <c r="P196" s="218">
        <v>191</v>
      </c>
      <c r="Q196" s="218">
        <v>165.6</v>
      </c>
      <c r="R196" s="218">
        <v>222</v>
      </c>
      <c r="S196" s="218">
        <v>79</v>
      </c>
      <c r="T196" s="218">
        <v>155.53333333333333</v>
      </c>
      <c r="U196" s="273">
        <v>6.4294899271324472E-3</v>
      </c>
      <c r="V196" s="218">
        <v>6.4281125728207229E-3</v>
      </c>
      <c r="W196" s="250">
        <v>1.0980440169861829E-4</v>
      </c>
      <c r="X196" s="250">
        <v>0.34334069168506254</v>
      </c>
      <c r="Z196" s="218">
        <v>188</v>
      </c>
      <c r="AA196" s="435">
        <v>0.33958793230316409</v>
      </c>
      <c r="AC196" s="435">
        <v>0.90151515151515127</v>
      </c>
      <c r="AD196" s="435">
        <v>0.97619047619047605</v>
      </c>
      <c r="AK196" s="218">
        <v>0.97619047619047605</v>
      </c>
      <c r="AS196" s="218">
        <v>188</v>
      </c>
      <c r="AT196" s="218">
        <v>0.98373983739837723</v>
      </c>
    </row>
    <row r="197" spans="1:46">
      <c r="A197" s="429">
        <v>0.67944444444444441</v>
      </c>
      <c r="B197" s="218">
        <v>118.3</v>
      </c>
      <c r="C197" s="218" t="s">
        <v>314</v>
      </c>
      <c r="D197" s="218">
        <v>59.2</v>
      </c>
      <c r="E197" s="218" t="s">
        <v>315</v>
      </c>
      <c r="F197" s="218">
        <v>22.7</v>
      </c>
      <c r="G197" s="218" t="s">
        <v>316</v>
      </c>
      <c r="H197" s="218">
        <v>140</v>
      </c>
      <c r="I197" s="218">
        <f t="shared" si="9"/>
        <v>122.1</v>
      </c>
      <c r="J197" s="218">
        <f t="shared" si="10"/>
        <v>8.1900081900081901E-3</v>
      </c>
      <c r="K197" s="218">
        <f t="shared" si="11"/>
        <v>4.1071075553834172E-2</v>
      </c>
      <c r="L197" s="218">
        <f t="shared" si="12"/>
        <v>101.8</v>
      </c>
      <c r="M197" s="218" t="s">
        <v>323</v>
      </c>
      <c r="P197" s="218">
        <v>192</v>
      </c>
      <c r="Q197" s="218">
        <v>165.1</v>
      </c>
      <c r="R197" s="218">
        <v>223</v>
      </c>
      <c r="S197" s="218">
        <v>79</v>
      </c>
      <c r="T197" s="218">
        <v>155.70000000000002</v>
      </c>
      <c r="U197" s="273">
        <v>6.4226075786769418E-3</v>
      </c>
      <c r="V197" s="218">
        <v>6.4260487529046945E-3</v>
      </c>
      <c r="W197" s="250">
        <v>1.0976914772499447E-4</v>
      </c>
      <c r="X197" s="250">
        <v>0.34370860927152319</v>
      </c>
      <c r="Z197" s="218">
        <v>189</v>
      </c>
      <c r="AA197" s="435">
        <v>0.33885209713024284</v>
      </c>
      <c r="AC197" s="435">
        <v>0.90151515151515127</v>
      </c>
      <c r="AD197" s="435">
        <v>0.97619047619047605</v>
      </c>
      <c r="AK197" s="218">
        <v>0.97619047619047605</v>
      </c>
      <c r="AS197" s="218">
        <v>189</v>
      </c>
      <c r="AT197" s="218">
        <v>0.98373983739837723</v>
      </c>
    </row>
    <row r="198" spans="1:46">
      <c r="A198" s="429">
        <v>0.67945601851851845</v>
      </c>
      <c r="B198" s="218">
        <v>123.4</v>
      </c>
      <c r="C198" s="218" t="s">
        <v>314</v>
      </c>
      <c r="D198" s="218">
        <v>61.7</v>
      </c>
      <c r="E198" s="218" t="s">
        <v>315</v>
      </c>
      <c r="F198" s="218">
        <v>22.7</v>
      </c>
      <c r="G198" s="218" t="s">
        <v>316</v>
      </c>
      <c r="H198" s="218">
        <v>141</v>
      </c>
      <c r="I198" s="218">
        <f t="shared" si="9"/>
        <v>118.3</v>
      </c>
      <c r="J198" s="218">
        <f t="shared" si="10"/>
        <v>8.4530853761623E-3</v>
      </c>
      <c r="K198" s="218">
        <f t="shared" si="11"/>
        <v>4.0807998367680058E-2</v>
      </c>
      <c r="L198" s="218">
        <f t="shared" si="12"/>
        <v>98</v>
      </c>
      <c r="M198" s="218" t="s">
        <v>323</v>
      </c>
      <c r="P198" s="218">
        <v>193</v>
      </c>
      <c r="Q198" s="218">
        <v>164.89999999999998</v>
      </c>
      <c r="R198" s="218">
        <v>223</v>
      </c>
      <c r="S198" s="218">
        <v>81</v>
      </c>
      <c r="T198" s="218">
        <v>156.29999999999998</v>
      </c>
      <c r="U198" s="273">
        <v>6.3979526551503525E-3</v>
      </c>
      <c r="V198" s="218">
        <v>6.4102801169136471E-3</v>
      </c>
      <c r="W198" s="250">
        <v>1.0949978939920515E-4</v>
      </c>
      <c r="X198" s="250">
        <v>0.34503311258278141</v>
      </c>
      <c r="Z198" s="218">
        <v>190</v>
      </c>
      <c r="AA198" s="435">
        <v>0.34348785871964677</v>
      </c>
      <c r="AC198" s="435">
        <v>0.90151515151515127</v>
      </c>
      <c r="AD198" s="435">
        <v>0.96825396825396814</v>
      </c>
      <c r="AK198" s="218">
        <v>0.96825396825396814</v>
      </c>
      <c r="AS198" s="218">
        <v>190</v>
      </c>
      <c r="AT198" s="218">
        <v>0.99186991869918872</v>
      </c>
    </row>
    <row r="199" spans="1:46">
      <c r="A199" s="429">
        <v>0.6794675925925926</v>
      </c>
      <c r="B199" s="218">
        <v>129</v>
      </c>
      <c r="C199" s="218" t="s">
        <v>314</v>
      </c>
      <c r="D199" s="218">
        <v>64.5</v>
      </c>
      <c r="E199" s="218" t="s">
        <v>315</v>
      </c>
      <c r="F199" s="218">
        <v>22.7</v>
      </c>
      <c r="G199" s="218" t="s">
        <v>316</v>
      </c>
      <c r="H199" s="218">
        <v>142</v>
      </c>
      <c r="I199" s="218">
        <f t="shared" si="9"/>
        <v>123.4</v>
      </c>
      <c r="J199" s="218">
        <f t="shared" si="10"/>
        <v>8.1037277147487843E-3</v>
      </c>
      <c r="K199" s="218">
        <f t="shared" si="11"/>
        <v>4.1157356029093574E-2</v>
      </c>
      <c r="L199" s="218">
        <f t="shared" si="12"/>
        <v>103.10000000000001</v>
      </c>
      <c r="M199" s="218" t="s">
        <v>323</v>
      </c>
      <c r="P199" s="218">
        <v>194</v>
      </c>
      <c r="Q199" s="218">
        <v>164.79999999999998</v>
      </c>
      <c r="R199" s="218">
        <v>224</v>
      </c>
      <c r="S199" s="218">
        <v>81</v>
      </c>
      <c r="T199" s="218">
        <v>156.6</v>
      </c>
      <c r="U199" s="273">
        <v>6.3856960408684551E-3</v>
      </c>
      <c r="V199" s="218">
        <v>6.3918243480094034E-3</v>
      </c>
      <c r="W199" s="250">
        <v>1.0918452972702906E-4</v>
      </c>
      <c r="X199" s="250">
        <v>0.34569536423841057</v>
      </c>
      <c r="Z199" s="218">
        <v>191</v>
      </c>
      <c r="AA199" s="435">
        <v>0.34334069168506254</v>
      </c>
      <c r="AC199" s="435">
        <v>0.90151515151515127</v>
      </c>
      <c r="AD199" s="435">
        <v>0.96825396825396814</v>
      </c>
      <c r="AK199" s="218">
        <v>0.96825396825396814</v>
      </c>
      <c r="AS199" s="218">
        <v>191</v>
      </c>
      <c r="AT199" s="218">
        <v>0.98373983739837723</v>
      </c>
    </row>
    <row r="200" spans="1:46">
      <c r="A200" s="429">
        <v>0.67947916666666675</v>
      </c>
      <c r="B200" s="218">
        <v>129.1</v>
      </c>
      <c r="C200" s="218" t="s">
        <v>314</v>
      </c>
      <c r="D200" s="218">
        <v>64.599999999999994</v>
      </c>
      <c r="E200" s="218" t="s">
        <v>315</v>
      </c>
      <c r="F200" s="218">
        <v>22.7</v>
      </c>
      <c r="G200" s="218" t="s">
        <v>316</v>
      </c>
      <c r="H200" s="218">
        <v>143</v>
      </c>
      <c r="I200" s="218">
        <f t="shared" si="9"/>
        <v>129</v>
      </c>
      <c r="J200" s="218">
        <f t="shared" si="10"/>
        <v>7.7519379844961239E-3</v>
      </c>
      <c r="K200" s="218">
        <f t="shared" si="11"/>
        <v>4.1509145759346236E-2</v>
      </c>
      <c r="L200" s="218">
        <f t="shared" si="12"/>
        <v>108.7</v>
      </c>
      <c r="M200" s="218" t="s">
        <v>323</v>
      </c>
      <c r="P200" s="218">
        <v>195</v>
      </c>
      <c r="Q200" s="218">
        <v>171.29999999999998</v>
      </c>
      <c r="R200" s="218">
        <v>224</v>
      </c>
      <c r="S200" s="218">
        <v>81</v>
      </c>
      <c r="T200" s="218">
        <v>158.76666666666665</v>
      </c>
      <c r="U200" s="273">
        <v>6.2985513331933664E-3</v>
      </c>
      <c r="V200" s="218">
        <v>6.3421236870309112E-3</v>
      </c>
      <c r="W200" s="250">
        <v>1.083355478087839E-4</v>
      </c>
      <c r="X200" s="250">
        <v>0.35047829286239879</v>
      </c>
      <c r="Z200" s="218">
        <v>192</v>
      </c>
      <c r="AA200" s="435">
        <v>0.34370860927152319</v>
      </c>
      <c r="AC200" s="435">
        <v>0.90151515151515127</v>
      </c>
      <c r="AD200" s="435">
        <v>0.96825396825396814</v>
      </c>
      <c r="AK200" s="218">
        <v>0.96825396825396814</v>
      </c>
      <c r="AS200" s="218">
        <v>192</v>
      </c>
      <c r="AT200" s="218">
        <v>0.98373983739837723</v>
      </c>
    </row>
    <row r="201" spans="1:46">
      <c r="A201" s="429">
        <v>0.67949074074074067</v>
      </c>
      <c r="B201" s="218">
        <v>129.4</v>
      </c>
      <c r="C201" s="218" t="s">
        <v>314</v>
      </c>
      <c r="D201" s="218">
        <v>64.7</v>
      </c>
      <c r="E201" s="218" t="s">
        <v>315</v>
      </c>
      <c r="F201" s="218">
        <v>22.7</v>
      </c>
      <c r="G201" s="218" t="s">
        <v>316</v>
      </c>
      <c r="H201" s="218">
        <v>144</v>
      </c>
      <c r="I201" s="218">
        <f t="shared" si="9"/>
        <v>129.1</v>
      </c>
      <c r="J201" s="218">
        <f t="shared" si="10"/>
        <v>7.7459333849728895E-3</v>
      </c>
      <c r="K201" s="218">
        <f t="shared" si="11"/>
        <v>4.151515035886947E-2</v>
      </c>
      <c r="L201" s="218">
        <f t="shared" si="12"/>
        <v>108.8</v>
      </c>
      <c r="M201" s="218" t="s">
        <v>323</v>
      </c>
      <c r="P201" s="218">
        <v>196</v>
      </c>
      <c r="Q201" s="218">
        <v>175.89999999999998</v>
      </c>
      <c r="R201" s="218">
        <v>224</v>
      </c>
      <c r="S201" s="218">
        <v>81</v>
      </c>
      <c r="T201" s="218">
        <v>160.29999999999998</v>
      </c>
      <c r="U201" s="273">
        <v>6.238303181534623E-3</v>
      </c>
      <c r="V201" s="218">
        <v>6.2684272573639947E-3</v>
      </c>
      <c r="W201" s="250">
        <v>1.0707667247403706E-4</v>
      </c>
      <c r="X201" s="250">
        <v>0.35386313465783659</v>
      </c>
      <c r="Z201" s="218">
        <v>193</v>
      </c>
      <c r="AA201" s="435">
        <v>0.34503311258278141</v>
      </c>
      <c r="AC201" s="435">
        <v>0.89393939393939392</v>
      </c>
      <c r="AD201" s="435">
        <v>0.96031746031746035</v>
      </c>
      <c r="AK201" s="218">
        <v>0.96031746031746035</v>
      </c>
      <c r="AS201" s="218">
        <v>193</v>
      </c>
      <c r="AT201" s="218">
        <v>0.99186991869918872</v>
      </c>
    </row>
    <row r="202" spans="1:46">
      <c r="A202" s="429">
        <v>0.67950231481481482</v>
      </c>
      <c r="B202" s="218">
        <v>129.4</v>
      </c>
      <c r="C202" s="218" t="s">
        <v>314</v>
      </c>
      <c r="D202" s="218">
        <v>64.7</v>
      </c>
      <c r="E202" s="218" t="s">
        <v>315</v>
      </c>
      <c r="F202" s="218">
        <v>22.7</v>
      </c>
      <c r="G202" s="218" t="s">
        <v>316</v>
      </c>
      <c r="H202" s="218">
        <v>145</v>
      </c>
      <c r="I202" s="218">
        <f t="shared" si="9"/>
        <v>129.4</v>
      </c>
      <c r="J202" s="218">
        <f t="shared" si="10"/>
        <v>7.7279752704791345E-3</v>
      </c>
      <c r="K202" s="218">
        <f t="shared" si="11"/>
        <v>4.1533108473363223E-2</v>
      </c>
      <c r="L202" s="218">
        <f t="shared" si="12"/>
        <v>109.10000000000001</v>
      </c>
      <c r="M202" s="218" t="s">
        <v>323</v>
      </c>
      <c r="P202" s="218">
        <v>197</v>
      </c>
      <c r="Q202" s="218">
        <v>175.7</v>
      </c>
      <c r="R202" s="218">
        <v>224</v>
      </c>
      <c r="S202" s="218">
        <v>82</v>
      </c>
      <c r="T202" s="218">
        <v>160.56666666666666</v>
      </c>
      <c r="U202" s="273">
        <v>6.2279427029271334E-3</v>
      </c>
      <c r="V202" s="218">
        <v>6.2331229422308782E-3</v>
      </c>
      <c r="W202" s="250">
        <v>1.0647360755308931E-4</v>
      </c>
      <c r="X202" s="250">
        <v>0.35445180279617367</v>
      </c>
      <c r="Z202" s="218">
        <v>194</v>
      </c>
      <c r="AA202" s="435">
        <v>0.34569536423841057</v>
      </c>
      <c r="AC202" s="435">
        <v>0.89393939393939392</v>
      </c>
      <c r="AD202" s="435">
        <v>0.96825396825396814</v>
      </c>
      <c r="AK202" s="218">
        <v>0.96825396825396814</v>
      </c>
      <c r="AS202" s="218">
        <v>194</v>
      </c>
      <c r="AT202" s="218">
        <v>0.99186991869918872</v>
      </c>
    </row>
    <row r="203" spans="1:46">
      <c r="A203" s="429">
        <v>0.67951388888888886</v>
      </c>
      <c r="B203" s="218">
        <v>129</v>
      </c>
      <c r="C203" s="218" t="s">
        <v>314</v>
      </c>
      <c r="D203" s="218">
        <v>64.5</v>
      </c>
      <c r="E203" s="218" t="s">
        <v>315</v>
      </c>
      <c r="F203" s="218">
        <v>22.7</v>
      </c>
      <c r="G203" s="218" t="s">
        <v>316</v>
      </c>
      <c r="H203" s="218">
        <v>146</v>
      </c>
      <c r="I203" s="218">
        <f t="shared" si="9"/>
        <v>129.4</v>
      </c>
      <c r="J203" s="218">
        <f t="shared" si="10"/>
        <v>7.7279752704791345E-3</v>
      </c>
      <c r="K203" s="218">
        <f t="shared" si="11"/>
        <v>4.1533108473363223E-2</v>
      </c>
      <c r="L203" s="218">
        <f t="shared" si="12"/>
        <v>109.10000000000001</v>
      </c>
      <c r="M203" s="218" t="s">
        <v>323</v>
      </c>
      <c r="P203" s="218">
        <v>198</v>
      </c>
      <c r="Q203" s="218">
        <v>175.6</v>
      </c>
      <c r="R203" s="218">
        <v>226</v>
      </c>
      <c r="S203" s="218">
        <v>82</v>
      </c>
      <c r="T203" s="218">
        <v>161.20000000000002</v>
      </c>
      <c r="U203" s="273">
        <v>6.2034739454094288E-3</v>
      </c>
      <c r="V203" s="218">
        <v>6.2157083241682811E-3</v>
      </c>
      <c r="W203" s="250">
        <v>1.0617613271961197E-4</v>
      </c>
      <c r="X203" s="250">
        <v>0.35584988962472408</v>
      </c>
      <c r="Z203" s="218">
        <v>195</v>
      </c>
      <c r="AA203" s="435">
        <v>0.35047829286239879</v>
      </c>
      <c r="AC203" s="435">
        <v>0.90909090909090895</v>
      </c>
      <c r="AD203" s="435">
        <v>0.96825396825396814</v>
      </c>
      <c r="AK203" s="218">
        <v>0.96825396825396814</v>
      </c>
      <c r="AS203" s="218">
        <v>195</v>
      </c>
      <c r="AT203" s="218">
        <v>0.99186991869918872</v>
      </c>
    </row>
    <row r="204" spans="1:46">
      <c r="A204" s="429">
        <v>0.67952546296296301</v>
      </c>
      <c r="B204" s="218">
        <v>124.8</v>
      </c>
      <c r="C204" s="218" t="s">
        <v>314</v>
      </c>
      <c r="D204" s="218">
        <v>62.4</v>
      </c>
      <c r="E204" s="218" t="s">
        <v>315</v>
      </c>
      <c r="F204" s="218">
        <v>22.7</v>
      </c>
      <c r="G204" s="218" t="s">
        <v>316</v>
      </c>
      <c r="H204" s="218">
        <v>147</v>
      </c>
      <c r="I204" s="218">
        <f t="shared" si="9"/>
        <v>129</v>
      </c>
      <c r="J204" s="218">
        <f t="shared" si="10"/>
        <v>7.7519379844961239E-3</v>
      </c>
      <c r="K204" s="218">
        <f t="shared" si="11"/>
        <v>4.1509145759346236E-2</v>
      </c>
      <c r="L204" s="218">
        <f t="shared" si="12"/>
        <v>108.7</v>
      </c>
      <c r="M204" s="218" t="s">
        <v>323</v>
      </c>
      <c r="P204" s="218">
        <v>199</v>
      </c>
      <c r="Q204" s="218">
        <v>175.6</v>
      </c>
      <c r="R204" s="218">
        <v>228</v>
      </c>
      <c r="S204" s="218">
        <v>85</v>
      </c>
      <c r="T204" s="218">
        <v>162.86666666666667</v>
      </c>
      <c r="U204" s="273">
        <v>6.1399918133442487E-3</v>
      </c>
      <c r="V204" s="218">
        <v>6.1717328793768388E-3</v>
      </c>
      <c r="W204" s="250">
        <v>1.0542494839450049E-4</v>
      </c>
      <c r="X204" s="250">
        <v>0.35952906548933039</v>
      </c>
      <c r="Z204" s="218">
        <v>196</v>
      </c>
      <c r="AA204" s="435">
        <v>0.35386313465783659</v>
      </c>
      <c r="AC204" s="435">
        <v>0.90909090909090895</v>
      </c>
      <c r="AD204" s="435">
        <v>0.96825396825396814</v>
      </c>
      <c r="AK204" s="218">
        <v>0.96825396825396814</v>
      </c>
      <c r="AS204" s="218">
        <v>196</v>
      </c>
      <c r="AT204" s="218">
        <v>0.99186991869918872</v>
      </c>
    </row>
    <row r="205" spans="1:46">
      <c r="A205" s="429">
        <v>0.67953703703703694</v>
      </c>
      <c r="B205" s="218">
        <v>130.19999999999999</v>
      </c>
      <c r="C205" s="218" t="s">
        <v>314</v>
      </c>
      <c r="D205" s="218">
        <v>65.099999999999994</v>
      </c>
      <c r="E205" s="218" t="s">
        <v>315</v>
      </c>
      <c r="F205" s="218">
        <v>22.7</v>
      </c>
      <c r="G205" s="218" t="s">
        <v>316</v>
      </c>
      <c r="H205" s="218">
        <v>148</v>
      </c>
      <c r="I205" s="218">
        <f t="shared" si="9"/>
        <v>124.8</v>
      </c>
      <c r="J205" s="218">
        <f t="shared" si="10"/>
        <v>8.0128205128205138E-3</v>
      </c>
      <c r="K205" s="218">
        <f t="shared" si="11"/>
        <v>4.1248263231021848E-2</v>
      </c>
      <c r="L205" s="218">
        <f t="shared" si="12"/>
        <v>104.5</v>
      </c>
      <c r="M205" s="218" t="s">
        <v>323</v>
      </c>
      <c r="P205" s="218">
        <v>200</v>
      </c>
      <c r="Q205" s="218">
        <v>174.79999999999998</v>
      </c>
      <c r="R205" s="218">
        <v>230</v>
      </c>
      <c r="S205" s="218">
        <v>85</v>
      </c>
      <c r="T205" s="218">
        <v>163.26666666666665</v>
      </c>
      <c r="U205" s="273">
        <v>6.1249489587586773E-3</v>
      </c>
      <c r="V205" s="218">
        <v>6.1324703860514626E-3</v>
      </c>
      <c r="W205" s="250">
        <v>1.0475427025376328E-4</v>
      </c>
      <c r="X205" s="250">
        <v>0.36041206769683587</v>
      </c>
      <c r="Z205" s="218">
        <v>197</v>
      </c>
      <c r="AA205" s="435">
        <v>0.35445180279617367</v>
      </c>
      <c r="AC205" s="435">
        <v>0.90909090909090895</v>
      </c>
      <c r="AD205" s="435">
        <v>0.98412698412698363</v>
      </c>
      <c r="AK205" s="218">
        <v>0.98412698412698363</v>
      </c>
      <c r="AS205" s="218">
        <v>197</v>
      </c>
      <c r="AT205" s="218">
        <v>0.99186991869918872</v>
      </c>
    </row>
    <row r="206" spans="1:46">
      <c r="A206" s="429">
        <v>0.67954861111111109</v>
      </c>
      <c r="B206" s="218">
        <v>130.80000000000001</v>
      </c>
      <c r="C206" s="218" t="s">
        <v>314</v>
      </c>
      <c r="D206" s="218">
        <v>65.400000000000006</v>
      </c>
      <c r="E206" s="218" t="s">
        <v>315</v>
      </c>
      <c r="F206" s="218">
        <v>22.7</v>
      </c>
      <c r="G206" s="218" t="s">
        <v>316</v>
      </c>
      <c r="H206" s="218">
        <v>149</v>
      </c>
      <c r="I206" s="218">
        <f t="shared" si="9"/>
        <v>130.19999999999999</v>
      </c>
      <c r="J206" s="218">
        <f t="shared" si="10"/>
        <v>7.6804915514592943E-3</v>
      </c>
      <c r="K206" s="218">
        <f t="shared" si="11"/>
        <v>4.1580592192383067E-2</v>
      </c>
      <c r="L206" s="218">
        <f t="shared" si="12"/>
        <v>109.89999999999999</v>
      </c>
      <c r="M206" s="218" t="s">
        <v>323</v>
      </c>
      <c r="P206" s="218">
        <v>201</v>
      </c>
      <c r="Q206" s="218">
        <v>175.5</v>
      </c>
      <c r="R206" s="218">
        <v>230</v>
      </c>
      <c r="S206" s="218">
        <v>85</v>
      </c>
      <c r="T206" s="218">
        <v>163.5</v>
      </c>
      <c r="U206" s="273">
        <v>6.1162079510703364E-3</v>
      </c>
      <c r="V206" s="218">
        <v>6.1205784549145069E-3</v>
      </c>
      <c r="W206" s="250">
        <v>1.0455113342802446E-4</v>
      </c>
      <c r="X206" s="250">
        <v>0.36092715231788081</v>
      </c>
      <c r="Z206" s="218">
        <v>198</v>
      </c>
      <c r="AA206" s="435">
        <v>0.35584988962472408</v>
      </c>
      <c r="AC206" s="435">
        <v>0.90909090909090895</v>
      </c>
      <c r="AD206" s="435">
        <v>0.98412698412698363</v>
      </c>
      <c r="AK206" s="218">
        <v>0.98412698412698363</v>
      </c>
      <c r="AS206" s="218">
        <v>198</v>
      </c>
      <c r="AT206" s="218">
        <v>0.99186991869918872</v>
      </c>
    </row>
    <row r="207" spans="1:46">
      <c r="A207" s="429">
        <v>0.67956018518518524</v>
      </c>
      <c r="B207" s="218">
        <v>131.1</v>
      </c>
      <c r="C207" s="218" t="s">
        <v>314</v>
      </c>
      <c r="D207" s="218">
        <v>65.599999999999994</v>
      </c>
      <c r="E207" s="218" t="s">
        <v>315</v>
      </c>
      <c r="F207" s="218">
        <v>22.7</v>
      </c>
      <c r="G207" s="218" t="s">
        <v>316</v>
      </c>
      <c r="H207" s="218">
        <v>150</v>
      </c>
      <c r="I207" s="218">
        <f t="shared" si="9"/>
        <v>130.80000000000001</v>
      </c>
      <c r="J207" s="218">
        <f t="shared" si="10"/>
        <v>7.6452599388379195E-3</v>
      </c>
      <c r="K207" s="218">
        <f t="shared" si="11"/>
        <v>4.1615823805004441E-2</v>
      </c>
      <c r="L207" s="218">
        <f t="shared" si="12"/>
        <v>110.50000000000001</v>
      </c>
      <c r="M207" s="218" t="s">
        <v>323</v>
      </c>
      <c r="P207" s="218">
        <v>202</v>
      </c>
      <c r="Q207" s="218">
        <v>179.5</v>
      </c>
      <c r="R207" s="218">
        <v>231</v>
      </c>
      <c r="S207" s="218">
        <v>85</v>
      </c>
      <c r="T207" s="218">
        <v>165.16666666666666</v>
      </c>
      <c r="U207" s="273">
        <v>6.0544904137235121E-3</v>
      </c>
      <c r="V207" s="218">
        <v>6.0853491823969243E-3</v>
      </c>
      <c r="W207" s="250">
        <v>1.0394935037782917E-4</v>
      </c>
      <c r="X207" s="250">
        <v>0.36460632818248712</v>
      </c>
      <c r="Z207" s="218">
        <v>199</v>
      </c>
      <c r="AA207" s="435">
        <v>0.35952906548933039</v>
      </c>
      <c r="AC207" s="435">
        <v>0.90909090909090895</v>
      </c>
      <c r="AD207" s="435">
        <v>0.98412698412698363</v>
      </c>
      <c r="AK207" s="218">
        <v>0.98412698412698363</v>
      </c>
      <c r="AS207" s="218">
        <v>199</v>
      </c>
      <c r="AT207" s="218">
        <v>0.99186991869918872</v>
      </c>
    </row>
    <row r="208" spans="1:46">
      <c r="A208" s="429">
        <v>0.67957175925925928</v>
      </c>
      <c r="B208" s="218">
        <v>131.6</v>
      </c>
      <c r="C208" s="218" t="s">
        <v>314</v>
      </c>
      <c r="D208" s="218">
        <v>65.8</v>
      </c>
      <c r="E208" s="218" t="s">
        <v>315</v>
      </c>
      <c r="F208" s="218">
        <v>22.7</v>
      </c>
      <c r="G208" s="218" t="s">
        <v>316</v>
      </c>
      <c r="H208" s="218">
        <v>151</v>
      </c>
      <c r="I208" s="218">
        <f t="shared" si="9"/>
        <v>131.1</v>
      </c>
      <c r="J208" s="218">
        <f t="shared" si="10"/>
        <v>7.6277650648360036E-3</v>
      </c>
      <c r="K208" s="218">
        <f t="shared" si="11"/>
        <v>4.1633318679006354E-2</v>
      </c>
      <c r="L208" s="218">
        <f t="shared" si="12"/>
        <v>110.8</v>
      </c>
      <c r="M208" s="218" t="s">
        <v>323</v>
      </c>
      <c r="P208" s="218">
        <v>203</v>
      </c>
      <c r="Q208" s="218">
        <v>179.6</v>
      </c>
      <c r="R208" s="218">
        <v>229</v>
      </c>
      <c r="S208" s="218">
        <v>88</v>
      </c>
      <c r="T208" s="218">
        <v>165.53333333333333</v>
      </c>
      <c r="U208" s="273">
        <v>6.0410793395086586E-3</v>
      </c>
      <c r="V208" s="218">
        <v>6.0477848766160858E-3</v>
      </c>
      <c r="W208" s="250">
        <v>1.0330768051365643E-4</v>
      </c>
      <c r="X208" s="250">
        <v>0.36541574687270051</v>
      </c>
      <c r="Z208" s="218">
        <v>200</v>
      </c>
      <c r="AA208" s="435">
        <v>0.36041206769683587</v>
      </c>
      <c r="AC208" s="435">
        <v>0.90909090909090895</v>
      </c>
      <c r="AD208" s="435">
        <v>0.98412698412698363</v>
      </c>
      <c r="AK208" s="218">
        <v>0.98412698412698363</v>
      </c>
      <c r="AS208" s="218">
        <v>200</v>
      </c>
      <c r="AT208" s="218">
        <v>0.99186991869918872</v>
      </c>
    </row>
    <row r="209" spans="1:46">
      <c r="A209" s="429">
        <v>0.67958333333333332</v>
      </c>
      <c r="B209" s="218">
        <v>142.4</v>
      </c>
      <c r="C209" s="218" t="s">
        <v>314</v>
      </c>
      <c r="D209" s="218">
        <v>71.2</v>
      </c>
      <c r="E209" s="218" t="s">
        <v>315</v>
      </c>
      <c r="F209" s="218">
        <v>22.7</v>
      </c>
      <c r="G209" s="218" t="s">
        <v>316</v>
      </c>
      <c r="H209" s="218">
        <v>152</v>
      </c>
      <c r="I209" s="218">
        <f t="shared" si="9"/>
        <v>131.6</v>
      </c>
      <c r="J209" s="218">
        <f t="shared" si="10"/>
        <v>7.5987841945288756E-3</v>
      </c>
      <c r="K209" s="218">
        <f t="shared" si="11"/>
        <v>4.1662299549313483E-2</v>
      </c>
      <c r="L209" s="218">
        <f t="shared" si="12"/>
        <v>111.3</v>
      </c>
      <c r="M209" s="218" t="s">
        <v>323</v>
      </c>
      <c r="P209" s="218">
        <v>204</v>
      </c>
      <c r="Q209" s="218">
        <v>185.7</v>
      </c>
      <c r="R209" s="218">
        <v>231</v>
      </c>
      <c r="S209" s="218">
        <v>88</v>
      </c>
      <c r="T209" s="218">
        <v>168.23333333333332</v>
      </c>
      <c r="U209" s="273">
        <v>5.9441252229046962E-3</v>
      </c>
      <c r="V209" s="218">
        <v>5.9926022812066774E-3</v>
      </c>
      <c r="W209" s="250">
        <v>1.0236505671787432E-4</v>
      </c>
      <c r="X209" s="250">
        <v>0.37137601177336271</v>
      </c>
      <c r="Z209" s="218">
        <v>201</v>
      </c>
      <c r="AA209" s="435">
        <v>0.36092715231788081</v>
      </c>
      <c r="AC209" s="435">
        <v>0.90151515151515127</v>
      </c>
      <c r="AD209" s="435">
        <v>0.98412698412698363</v>
      </c>
      <c r="AK209" s="218">
        <v>0.98412698412698363</v>
      </c>
      <c r="AS209" s="218">
        <v>201</v>
      </c>
      <c r="AT209" s="218">
        <v>0.99186991869918872</v>
      </c>
    </row>
    <row r="210" spans="1:46">
      <c r="A210" s="429">
        <v>0.67959490740740736</v>
      </c>
      <c r="B210" s="218">
        <v>141.80000000000001</v>
      </c>
      <c r="C210" s="218" t="s">
        <v>314</v>
      </c>
      <c r="D210" s="218">
        <v>70.900000000000006</v>
      </c>
      <c r="E210" s="218" t="s">
        <v>315</v>
      </c>
      <c r="F210" s="218">
        <v>22.7</v>
      </c>
      <c r="G210" s="218" t="s">
        <v>316</v>
      </c>
      <c r="H210" s="218">
        <v>153</v>
      </c>
      <c r="I210" s="218">
        <f t="shared" si="9"/>
        <v>142.4</v>
      </c>
      <c r="J210" s="218">
        <f t="shared" si="10"/>
        <v>7.0224719101123594E-3</v>
      </c>
      <c r="K210" s="218">
        <f t="shared" si="11"/>
        <v>4.2238611833729997E-2</v>
      </c>
      <c r="L210" s="218">
        <f t="shared" si="12"/>
        <v>122.10000000000001</v>
      </c>
      <c r="M210" s="218" t="s">
        <v>323</v>
      </c>
      <c r="P210" s="218">
        <v>205</v>
      </c>
      <c r="Q210" s="218">
        <v>186.7</v>
      </c>
      <c r="R210" s="218">
        <v>231</v>
      </c>
      <c r="S210" s="218">
        <v>90</v>
      </c>
      <c r="T210" s="218">
        <v>169.23333333333332</v>
      </c>
      <c r="U210" s="273">
        <v>5.9090013787669888E-3</v>
      </c>
      <c r="V210" s="218">
        <v>5.9265633008358425E-3</v>
      </c>
      <c r="W210" s="250">
        <v>1.0123698519668372E-4</v>
      </c>
      <c r="X210" s="250">
        <v>0.37358351729212652</v>
      </c>
      <c r="Z210" s="218">
        <v>202</v>
      </c>
      <c r="AA210" s="435">
        <v>0.36460632818248712</v>
      </c>
      <c r="AC210" s="435">
        <v>0.90909090909090895</v>
      </c>
      <c r="AD210" s="435">
        <v>0.99206349206349143</v>
      </c>
      <c r="AK210" s="218">
        <v>0.99206349206349143</v>
      </c>
      <c r="AS210" s="218">
        <v>202</v>
      </c>
      <c r="AT210" s="218">
        <v>0.99186991869918872</v>
      </c>
    </row>
    <row r="211" spans="1:46">
      <c r="A211" s="429">
        <v>0.67960648148148151</v>
      </c>
      <c r="B211" s="218">
        <v>137.5</v>
      </c>
      <c r="C211" s="218" t="s">
        <v>314</v>
      </c>
      <c r="D211" s="218">
        <v>68.8</v>
      </c>
      <c r="E211" s="218" t="s">
        <v>315</v>
      </c>
      <c r="F211" s="218">
        <v>22.7</v>
      </c>
      <c r="G211" s="218" t="s">
        <v>316</v>
      </c>
      <c r="H211" s="218">
        <v>154</v>
      </c>
      <c r="I211" s="218">
        <f t="shared" si="9"/>
        <v>141.80000000000001</v>
      </c>
      <c r="J211" s="218">
        <f t="shared" si="10"/>
        <v>7.0521861777150911E-3</v>
      </c>
      <c r="K211" s="218">
        <f t="shared" si="11"/>
        <v>4.2208897566127265E-2</v>
      </c>
      <c r="L211" s="218">
        <f t="shared" si="12"/>
        <v>121.50000000000001</v>
      </c>
      <c r="M211" s="218" t="s">
        <v>323</v>
      </c>
      <c r="P211" s="218">
        <v>206</v>
      </c>
      <c r="Q211" s="218">
        <v>187.7</v>
      </c>
      <c r="R211" s="218">
        <v>235</v>
      </c>
      <c r="S211" s="218">
        <v>90</v>
      </c>
      <c r="T211" s="218">
        <v>170.9</v>
      </c>
      <c r="U211" s="273">
        <v>5.8513750731421883E-3</v>
      </c>
      <c r="V211" s="218">
        <v>5.8801882259545881E-3</v>
      </c>
      <c r="W211" s="250">
        <v>1.0044481062080658E-4</v>
      </c>
      <c r="X211" s="250">
        <v>0.37726269315673289</v>
      </c>
      <c r="Z211" s="218">
        <v>203</v>
      </c>
      <c r="AA211" s="435">
        <v>0.36541574687270051</v>
      </c>
      <c r="AC211" s="435">
        <v>0.90909090909090895</v>
      </c>
      <c r="AD211" s="435">
        <v>0.99999999999999933</v>
      </c>
      <c r="AK211" s="218">
        <v>0.99999999999999933</v>
      </c>
      <c r="AS211" s="218">
        <v>203</v>
      </c>
      <c r="AT211" s="218">
        <v>0.98373983739837723</v>
      </c>
    </row>
    <row r="212" spans="1:46">
      <c r="A212" s="429">
        <v>0.67961805555555566</v>
      </c>
      <c r="B212" s="218">
        <v>137.9</v>
      </c>
      <c r="C212" s="218" t="s">
        <v>314</v>
      </c>
      <c r="D212" s="218">
        <v>69</v>
      </c>
      <c r="E212" s="218" t="s">
        <v>315</v>
      </c>
      <c r="F212" s="218">
        <v>22.7</v>
      </c>
      <c r="G212" s="218" t="s">
        <v>316</v>
      </c>
      <c r="H212" s="218">
        <v>155</v>
      </c>
      <c r="I212" s="218">
        <f t="shared" si="9"/>
        <v>137.5</v>
      </c>
      <c r="J212" s="218">
        <f t="shared" si="10"/>
        <v>7.2727272727272727E-3</v>
      </c>
      <c r="K212" s="218">
        <f t="shared" si="11"/>
        <v>4.1988356471115089E-2</v>
      </c>
      <c r="L212" s="218">
        <f t="shared" si="12"/>
        <v>117.2</v>
      </c>
      <c r="M212" s="218" t="s">
        <v>323</v>
      </c>
      <c r="P212" s="218">
        <v>207</v>
      </c>
      <c r="Q212" s="218">
        <v>188.7</v>
      </c>
      <c r="R212" s="218">
        <v>234</v>
      </c>
      <c r="S212" s="218">
        <v>94</v>
      </c>
      <c r="T212" s="218">
        <v>172.23333333333335</v>
      </c>
      <c r="U212" s="273">
        <v>5.8060770272885618E-3</v>
      </c>
      <c r="V212" s="218">
        <v>5.8287260502153746E-3</v>
      </c>
      <c r="W212" s="250">
        <v>9.956573867657119E-5</v>
      </c>
      <c r="X212" s="250">
        <v>0.380206033848418</v>
      </c>
      <c r="Z212" s="218">
        <v>204</v>
      </c>
      <c r="AA212" s="435">
        <v>0.37137601177336271</v>
      </c>
      <c r="AC212" s="435">
        <v>0.90909090909090895</v>
      </c>
      <c r="AD212" s="435">
        <v>0.98412698412698363</v>
      </c>
      <c r="AK212" s="218">
        <v>0.98412698412698363</v>
      </c>
      <c r="AS212" s="218">
        <v>204</v>
      </c>
      <c r="AT212" s="218">
        <v>0.99186991869918872</v>
      </c>
    </row>
    <row r="213" spans="1:46">
      <c r="A213" s="429">
        <v>0.67962962962962958</v>
      </c>
      <c r="B213" s="218">
        <v>142.19999999999999</v>
      </c>
      <c r="C213" s="218" t="s">
        <v>314</v>
      </c>
      <c r="D213" s="218">
        <v>71.099999999999994</v>
      </c>
      <c r="E213" s="218" t="s">
        <v>315</v>
      </c>
      <c r="F213" s="218">
        <v>22.7</v>
      </c>
      <c r="G213" s="218" t="s">
        <v>316</v>
      </c>
      <c r="H213" s="218">
        <v>156</v>
      </c>
      <c r="I213" s="218">
        <f t="shared" si="9"/>
        <v>137.9</v>
      </c>
      <c r="J213" s="218">
        <f t="shared" si="10"/>
        <v>7.2516316171138502E-3</v>
      </c>
      <c r="K213" s="218">
        <f t="shared" si="11"/>
        <v>4.2009452126728512E-2</v>
      </c>
      <c r="L213" s="218">
        <f t="shared" si="12"/>
        <v>117.60000000000001</v>
      </c>
      <c r="M213" s="218" t="s">
        <v>323</v>
      </c>
      <c r="P213" s="218">
        <v>208</v>
      </c>
      <c r="Q213" s="218">
        <v>191.7</v>
      </c>
      <c r="R213" s="218">
        <v>237</v>
      </c>
      <c r="S213" s="218">
        <v>94</v>
      </c>
      <c r="T213" s="218">
        <v>174.23333333333335</v>
      </c>
      <c r="U213" s="273">
        <v>5.7394298832982582E-3</v>
      </c>
      <c r="V213" s="218">
        <v>5.77275345529341E-3</v>
      </c>
      <c r="W213" s="250">
        <v>9.860962018497662E-5</v>
      </c>
      <c r="X213" s="250">
        <v>0.38462104488594556</v>
      </c>
      <c r="Z213" s="218">
        <v>205</v>
      </c>
      <c r="AA213" s="435">
        <v>0.37358351729212652</v>
      </c>
      <c r="AC213" s="435">
        <v>0.90909090909090895</v>
      </c>
      <c r="AD213" s="435">
        <v>0.98412698412698363</v>
      </c>
      <c r="AK213" s="218">
        <v>0.98412698412698363</v>
      </c>
      <c r="AS213" s="218">
        <v>205</v>
      </c>
      <c r="AT213" s="218">
        <v>0.99186991869918872</v>
      </c>
    </row>
    <row r="214" spans="1:46">
      <c r="A214" s="429">
        <v>0.67964120370370373</v>
      </c>
      <c r="B214" s="218">
        <v>149.1</v>
      </c>
      <c r="C214" s="218" t="s">
        <v>314</v>
      </c>
      <c r="D214" s="218">
        <v>74.599999999999994</v>
      </c>
      <c r="E214" s="218" t="s">
        <v>315</v>
      </c>
      <c r="F214" s="218">
        <v>22.7</v>
      </c>
      <c r="G214" s="218" t="s">
        <v>316</v>
      </c>
      <c r="H214" s="218">
        <v>157</v>
      </c>
      <c r="I214" s="218">
        <f t="shared" si="9"/>
        <v>142.19999999999999</v>
      </c>
      <c r="J214" s="218">
        <f t="shared" si="10"/>
        <v>7.0323488045007038E-3</v>
      </c>
      <c r="K214" s="218">
        <f t="shared" si="11"/>
        <v>4.2228734939341657E-2</v>
      </c>
      <c r="L214" s="218">
        <f t="shared" si="12"/>
        <v>121.89999999999999</v>
      </c>
      <c r="M214" s="218" t="s">
        <v>323</v>
      </c>
      <c r="P214" s="218">
        <v>209</v>
      </c>
      <c r="Q214" s="218">
        <v>191.7</v>
      </c>
      <c r="R214" s="218">
        <v>236</v>
      </c>
      <c r="S214" s="218">
        <v>97</v>
      </c>
      <c r="T214" s="218">
        <v>174.9</v>
      </c>
      <c r="U214" s="273">
        <v>5.717552887364208E-3</v>
      </c>
      <c r="V214" s="218">
        <v>5.7284913853312327E-3</v>
      </c>
      <c r="W214" s="250">
        <v>9.7853539756222302E-5</v>
      </c>
      <c r="X214" s="250">
        <v>0.38609271523178812</v>
      </c>
      <c r="Z214" s="218">
        <v>206</v>
      </c>
      <c r="AA214" s="435">
        <v>0.37726269315673289</v>
      </c>
      <c r="AC214" s="435">
        <v>0.90909090909090895</v>
      </c>
      <c r="AD214" s="435">
        <v>0.98412698412698363</v>
      </c>
      <c r="AK214" s="218">
        <v>0.98412698412698363</v>
      </c>
      <c r="AS214" s="218">
        <v>206</v>
      </c>
      <c r="AT214" s="218">
        <v>0.98780487804878303</v>
      </c>
    </row>
    <row r="215" spans="1:46">
      <c r="A215" s="429">
        <v>0.67965277777777777</v>
      </c>
      <c r="B215" s="218">
        <v>145</v>
      </c>
      <c r="C215" s="218" t="s">
        <v>314</v>
      </c>
      <c r="D215" s="218">
        <v>72.5</v>
      </c>
      <c r="E215" s="218" t="s">
        <v>315</v>
      </c>
      <c r="F215" s="218">
        <v>22.7</v>
      </c>
      <c r="G215" s="218" t="s">
        <v>316</v>
      </c>
      <c r="H215" s="218">
        <v>158</v>
      </c>
      <c r="I215" s="218">
        <f t="shared" si="9"/>
        <v>149.1</v>
      </c>
      <c r="J215" s="218">
        <f t="shared" si="10"/>
        <v>6.7069081153588199E-3</v>
      </c>
      <c r="K215" s="218">
        <f t="shared" si="11"/>
        <v>4.2554175628483543E-2</v>
      </c>
      <c r="L215" s="218">
        <f t="shared" si="12"/>
        <v>128.79999999999998</v>
      </c>
      <c r="M215" s="218" t="s">
        <v>323</v>
      </c>
      <c r="P215" s="218">
        <v>210</v>
      </c>
      <c r="Q215" s="218">
        <v>194.7</v>
      </c>
      <c r="R215" s="218">
        <v>237</v>
      </c>
      <c r="S215" s="218">
        <v>97</v>
      </c>
      <c r="T215" s="218">
        <v>176.23333333333335</v>
      </c>
      <c r="U215" s="273">
        <v>5.6742954416493284E-3</v>
      </c>
      <c r="V215" s="218">
        <v>5.6959241645067682E-3</v>
      </c>
      <c r="W215" s="250">
        <v>9.7297229617420876E-5</v>
      </c>
      <c r="X215" s="250">
        <v>0.38903605592347318</v>
      </c>
      <c r="Z215" s="218">
        <v>207</v>
      </c>
      <c r="AA215" s="435">
        <v>0.380206033848418</v>
      </c>
      <c r="AC215" s="435">
        <v>0.90151515151515127</v>
      </c>
      <c r="AD215" s="435">
        <v>0.97619047619047605</v>
      </c>
      <c r="AK215" s="218">
        <v>0.97619047619047605</v>
      </c>
      <c r="AS215" s="218">
        <v>207</v>
      </c>
      <c r="AT215" s="218">
        <v>0.98780487804878303</v>
      </c>
    </row>
    <row r="216" spans="1:46">
      <c r="A216" s="429">
        <v>0.67966435185185192</v>
      </c>
      <c r="B216" s="218">
        <v>144.9</v>
      </c>
      <c r="C216" s="218" t="s">
        <v>314</v>
      </c>
      <c r="D216" s="218">
        <v>72.5</v>
      </c>
      <c r="E216" s="218" t="s">
        <v>315</v>
      </c>
      <c r="F216" s="218">
        <v>22.7</v>
      </c>
      <c r="G216" s="218" t="s">
        <v>316</v>
      </c>
      <c r="H216" s="218">
        <v>159</v>
      </c>
      <c r="I216" s="218">
        <f t="shared" si="9"/>
        <v>145</v>
      </c>
      <c r="J216" s="218">
        <f t="shared" si="10"/>
        <v>6.8965517241379309E-3</v>
      </c>
      <c r="K216" s="218">
        <f t="shared" si="11"/>
        <v>4.2364532019704429E-2</v>
      </c>
      <c r="L216" s="218">
        <f t="shared" si="12"/>
        <v>124.7</v>
      </c>
      <c r="M216" s="218" t="s">
        <v>323</v>
      </c>
      <c r="P216" s="218">
        <v>211</v>
      </c>
      <c r="Q216" s="218">
        <v>196.7</v>
      </c>
      <c r="R216" s="218">
        <v>238</v>
      </c>
      <c r="S216" s="218">
        <v>97</v>
      </c>
      <c r="T216" s="218">
        <v>177.23333333333335</v>
      </c>
      <c r="U216" s="273">
        <v>5.6422794809102873E-3</v>
      </c>
      <c r="V216" s="218">
        <v>5.6582874612798074E-3</v>
      </c>
      <c r="W216" s="250">
        <v>9.6654323067025565E-5</v>
      </c>
      <c r="X216" s="250">
        <v>0.39124356144223699</v>
      </c>
      <c r="Z216" s="218">
        <v>208</v>
      </c>
      <c r="AA216" s="435">
        <v>0.38462104488594556</v>
      </c>
      <c r="AC216" s="435">
        <v>0.90909090909090895</v>
      </c>
      <c r="AD216" s="435">
        <v>0.96825396825396814</v>
      </c>
      <c r="AK216" s="218">
        <v>0.96825396825396814</v>
      </c>
      <c r="AS216" s="218">
        <v>208</v>
      </c>
      <c r="AT216" s="218">
        <v>0.97560975609756595</v>
      </c>
    </row>
    <row r="217" spans="1:46">
      <c r="A217" s="429">
        <v>0.67967592592592585</v>
      </c>
      <c r="B217" s="218">
        <v>144.30000000000001</v>
      </c>
      <c r="C217" s="218" t="s">
        <v>314</v>
      </c>
      <c r="D217" s="218">
        <v>72.2</v>
      </c>
      <c r="E217" s="218" t="s">
        <v>315</v>
      </c>
      <c r="F217" s="218">
        <v>22.7</v>
      </c>
      <c r="G217" s="218" t="s">
        <v>316</v>
      </c>
      <c r="H217" s="218">
        <v>160</v>
      </c>
      <c r="I217" s="218">
        <f t="shared" si="9"/>
        <v>144.9</v>
      </c>
      <c r="J217" s="218">
        <f t="shared" si="10"/>
        <v>6.901311249137336E-3</v>
      </c>
      <c r="K217" s="218">
        <f t="shared" si="11"/>
        <v>4.2359772494705024E-2</v>
      </c>
      <c r="L217" s="218">
        <f t="shared" si="12"/>
        <v>124.60000000000001</v>
      </c>
      <c r="M217" s="218" t="s">
        <v>323</v>
      </c>
      <c r="P217" s="218">
        <v>212</v>
      </c>
      <c r="Q217" s="218">
        <v>197.7</v>
      </c>
      <c r="R217" s="218">
        <v>239</v>
      </c>
      <c r="S217" s="218">
        <v>97</v>
      </c>
      <c r="T217" s="218">
        <v>177.9</v>
      </c>
      <c r="U217" s="273">
        <v>5.6211354693648111E-3</v>
      </c>
      <c r="V217" s="218">
        <v>5.6317074751375488E-3</v>
      </c>
      <c r="W217" s="250">
        <v>9.6200286296131314E-5</v>
      </c>
      <c r="X217" s="250">
        <v>0.39271523178807949</v>
      </c>
      <c r="Z217" s="218">
        <v>209</v>
      </c>
      <c r="AA217" s="435">
        <v>0.38609271523178812</v>
      </c>
      <c r="AC217" s="435">
        <v>0.90909090909090895</v>
      </c>
      <c r="AD217" s="435">
        <v>0.96825396825396814</v>
      </c>
      <c r="AK217" s="218">
        <v>0.96825396825396814</v>
      </c>
      <c r="AS217" s="218">
        <v>209</v>
      </c>
      <c r="AT217" s="218">
        <v>1</v>
      </c>
    </row>
    <row r="218" spans="1:46">
      <c r="A218" s="429">
        <v>0.6796875</v>
      </c>
      <c r="B218" s="218">
        <v>144.19999999999999</v>
      </c>
      <c r="C218" s="218" t="s">
        <v>314</v>
      </c>
      <c r="D218" s="218">
        <v>72.099999999999994</v>
      </c>
      <c r="E218" s="218" t="s">
        <v>315</v>
      </c>
      <c r="F218" s="218">
        <v>22.7</v>
      </c>
      <c r="G218" s="218" t="s">
        <v>316</v>
      </c>
      <c r="H218" s="218">
        <v>161</v>
      </c>
      <c r="I218" s="218">
        <f t="shared" si="9"/>
        <v>144.30000000000001</v>
      </c>
      <c r="J218" s="218">
        <f t="shared" si="10"/>
        <v>6.9300069300069298E-3</v>
      </c>
      <c r="K218" s="218">
        <f t="shared" si="11"/>
        <v>4.2331076813835432E-2</v>
      </c>
      <c r="L218" s="218">
        <f t="shared" si="12"/>
        <v>124.00000000000001</v>
      </c>
      <c r="M218" s="218" t="s">
        <v>323</v>
      </c>
      <c r="P218" s="218">
        <v>213</v>
      </c>
      <c r="Q218" s="218">
        <v>196.7</v>
      </c>
      <c r="R218" s="218">
        <v>239</v>
      </c>
      <c r="S218" s="218">
        <v>98</v>
      </c>
      <c r="T218" s="218">
        <v>177.9</v>
      </c>
      <c r="U218" s="273">
        <v>5.6211354693648111E-3</v>
      </c>
      <c r="V218" s="218">
        <v>5.6211354693648111E-3</v>
      </c>
      <c r="W218" s="250">
        <v>9.6019696308716012E-5</v>
      </c>
      <c r="X218" s="250">
        <v>0.39271523178807949</v>
      </c>
      <c r="Z218" s="218">
        <v>210</v>
      </c>
      <c r="AA218" s="435">
        <v>0.38903605592347318</v>
      </c>
      <c r="AC218" s="435">
        <v>0.90909090909090895</v>
      </c>
      <c r="AD218" s="435">
        <v>0.97619047619047605</v>
      </c>
      <c r="AK218" s="218">
        <v>0.97619047619047605</v>
      </c>
    </row>
    <row r="219" spans="1:46">
      <c r="A219" s="429">
        <v>0.67969907407407415</v>
      </c>
      <c r="B219" s="218">
        <v>150</v>
      </c>
      <c r="C219" s="218" t="s">
        <v>314</v>
      </c>
      <c r="D219" s="218">
        <v>75</v>
      </c>
      <c r="E219" s="218" t="s">
        <v>315</v>
      </c>
      <c r="F219" s="218">
        <v>22.7</v>
      </c>
      <c r="G219" s="218" t="s">
        <v>316</v>
      </c>
      <c r="H219" s="218">
        <v>162</v>
      </c>
      <c r="I219" s="218">
        <f t="shared" si="9"/>
        <v>144.19999999999999</v>
      </c>
      <c r="J219" s="218">
        <f t="shared" si="10"/>
        <v>6.9348127600554789E-3</v>
      </c>
      <c r="K219" s="218">
        <f t="shared" si="11"/>
        <v>4.2326270983786884E-2</v>
      </c>
      <c r="L219" s="218">
        <f t="shared" si="12"/>
        <v>123.89999999999999</v>
      </c>
      <c r="M219" s="218" t="s">
        <v>323</v>
      </c>
      <c r="P219" s="218">
        <v>214</v>
      </c>
      <c r="Q219" s="218">
        <v>198.7</v>
      </c>
      <c r="R219" s="218">
        <v>240</v>
      </c>
      <c r="S219" s="218">
        <v>98</v>
      </c>
      <c r="T219" s="218">
        <v>178.9</v>
      </c>
      <c r="U219" s="273">
        <v>5.5897149245388482E-3</v>
      </c>
      <c r="V219" s="218">
        <v>5.6054251969518297E-3</v>
      </c>
      <c r="W219" s="250">
        <v>9.5751334943962768E-5</v>
      </c>
      <c r="X219" s="250">
        <v>0.3949227373068433</v>
      </c>
      <c r="Z219" s="218">
        <v>211</v>
      </c>
      <c r="AA219" s="435">
        <v>0.39124356144223699</v>
      </c>
      <c r="AC219" s="435">
        <v>0.90909090909090895</v>
      </c>
      <c r="AD219" s="435">
        <v>0.97619047619047605</v>
      </c>
      <c r="AK219" s="218">
        <v>0.97619047619047605</v>
      </c>
    </row>
    <row r="220" spans="1:46">
      <c r="A220" s="429">
        <v>0.67971064814814808</v>
      </c>
      <c r="B220" s="218">
        <v>145.69999999999999</v>
      </c>
      <c r="C220" s="218" t="s">
        <v>314</v>
      </c>
      <c r="D220" s="218">
        <v>72.900000000000006</v>
      </c>
      <c r="E220" s="218" t="s">
        <v>315</v>
      </c>
      <c r="F220" s="218">
        <v>22.7</v>
      </c>
      <c r="G220" s="218" t="s">
        <v>316</v>
      </c>
      <c r="H220" s="218">
        <v>163</v>
      </c>
      <c r="I220" s="218">
        <f t="shared" si="9"/>
        <v>150</v>
      </c>
      <c r="J220" s="218">
        <f t="shared" si="10"/>
        <v>6.6666666666666671E-3</v>
      </c>
      <c r="K220" s="218">
        <f t="shared" si="11"/>
        <v>4.2594417077175692E-2</v>
      </c>
      <c r="L220" s="218">
        <f t="shared" si="12"/>
        <v>129.69999999999999</v>
      </c>
      <c r="M220" s="218" t="s">
        <v>323</v>
      </c>
      <c r="P220" s="218">
        <v>215</v>
      </c>
      <c r="Q220" s="218">
        <v>201.7</v>
      </c>
      <c r="R220" s="218">
        <v>241</v>
      </c>
      <c r="S220" s="218">
        <v>96</v>
      </c>
      <c r="T220" s="218">
        <v>179.56666666666669</v>
      </c>
      <c r="U220" s="273">
        <v>5.5689623166883234E-3</v>
      </c>
      <c r="V220" s="218">
        <v>5.5793386206135862E-3</v>
      </c>
      <c r="W220" s="250">
        <v>9.5305726551960193E-5</v>
      </c>
      <c r="X220" s="250">
        <v>0.39639440765268585</v>
      </c>
      <c r="Z220" s="218">
        <v>212</v>
      </c>
      <c r="AA220" s="435">
        <v>0.39271523178807949</v>
      </c>
      <c r="AC220" s="435">
        <v>0.90909090909090895</v>
      </c>
      <c r="AD220" s="435">
        <v>0.96031746031746035</v>
      </c>
      <c r="AK220" s="218">
        <v>0.96031746031746035</v>
      </c>
    </row>
    <row r="221" spans="1:46">
      <c r="A221" s="429">
        <v>0.67972222222222223</v>
      </c>
      <c r="B221" s="218">
        <v>149.80000000000001</v>
      </c>
      <c r="C221" s="218" t="s">
        <v>314</v>
      </c>
      <c r="D221" s="218">
        <v>74.900000000000006</v>
      </c>
      <c r="E221" s="218" t="s">
        <v>315</v>
      </c>
      <c r="F221" s="218">
        <v>22.7</v>
      </c>
      <c r="G221" s="218" t="s">
        <v>316</v>
      </c>
      <c r="H221" s="218">
        <v>164</v>
      </c>
      <c r="I221" s="218">
        <f t="shared" si="9"/>
        <v>145.69999999999999</v>
      </c>
      <c r="J221" s="218">
        <f t="shared" si="10"/>
        <v>6.8634179821551134E-3</v>
      </c>
      <c r="K221" s="218">
        <f t="shared" si="11"/>
        <v>4.2397665761687249E-2</v>
      </c>
      <c r="L221" s="218">
        <f t="shared" si="12"/>
        <v>125.39999999999999</v>
      </c>
      <c r="M221" s="218" t="s">
        <v>323</v>
      </c>
      <c r="P221" s="218">
        <v>216</v>
      </c>
      <c r="Q221" s="218">
        <v>201.7</v>
      </c>
      <c r="R221" s="218">
        <v>241</v>
      </c>
      <c r="S221" s="218">
        <v>96</v>
      </c>
      <c r="T221" s="218">
        <v>179.56666666666669</v>
      </c>
      <c r="U221" s="273">
        <v>5.5689623166883234E-3</v>
      </c>
      <c r="V221" s="218">
        <v>5.5689623166883234E-3</v>
      </c>
      <c r="W221" s="250">
        <v>9.5128479524710861E-5</v>
      </c>
      <c r="X221" s="250">
        <v>0.39639440765268585</v>
      </c>
      <c r="Z221" s="218">
        <v>213</v>
      </c>
      <c r="AA221" s="435">
        <v>0.39271523178807949</v>
      </c>
      <c r="AC221" s="435">
        <v>0.90909090909090895</v>
      </c>
      <c r="AD221" s="435">
        <v>0.97619047619047605</v>
      </c>
      <c r="AK221" s="218">
        <v>0.97619047619047605</v>
      </c>
    </row>
    <row r="222" spans="1:46">
      <c r="A222" s="429">
        <v>0.67973379629629627</v>
      </c>
      <c r="B222" s="218">
        <v>150.4</v>
      </c>
      <c r="C222" s="218" t="s">
        <v>314</v>
      </c>
      <c r="D222" s="218">
        <v>75.2</v>
      </c>
      <c r="E222" s="218" t="s">
        <v>315</v>
      </c>
      <c r="F222" s="218">
        <v>22.7</v>
      </c>
      <c r="G222" s="218" t="s">
        <v>316</v>
      </c>
      <c r="H222" s="218">
        <v>165</v>
      </c>
      <c r="I222" s="218">
        <f t="shared" si="9"/>
        <v>149.80000000000001</v>
      </c>
      <c r="J222" s="218">
        <f t="shared" si="10"/>
        <v>6.675567423230974E-3</v>
      </c>
      <c r="K222" s="218">
        <f t="shared" si="11"/>
        <v>4.2585516320611388E-2</v>
      </c>
      <c r="L222" s="218">
        <f t="shared" si="12"/>
        <v>129.5</v>
      </c>
      <c r="M222" s="218" t="s">
        <v>323</v>
      </c>
      <c r="P222" s="218">
        <v>217</v>
      </c>
      <c r="Q222" s="218">
        <v>203.7</v>
      </c>
      <c r="R222" s="218">
        <v>242</v>
      </c>
      <c r="S222" s="218">
        <v>101</v>
      </c>
      <c r="T222" s="218">
        <v>182.23333333333335</v>
      </c>
      <c r="U222" s="273">
        <v>5.4874702762026705E-3</v>
      </c>
      <c r="V222" s="218">
        <v>5.5282162964454973E-3</v>
      </c>
      <c r="W222" s="250">
        <v>9.4432459919627928E-5</v>
      </c>
      <c r="X222" s="250">
        <v>0.40228108903605597</v>
      </c>
      <c r="Z222" s="218">
        <v>214</v>
      </c>
      <c r="AA222" s="435">
        <v>0.3949227373068433</v>
      </c>
      <c r="AC222" s="435">
        <v>0.90909090909090895</v>
      </c>
      <c r="AD222" s="435">
        <v>0.97619047619047605</v>
      </c>
      <c r="AK222" s="218">
        <v>0.97619047619047605</v>
      </c>
    </row>
    <row r="223" spans="1:46">
      <c r="A223" s="429">
        <v>0.67974537037037042</v>
      </c>
      <c r="B223" s="218">
        <v>155.1</v>
      </c>
      <c r="C223" s="218" t="s">
        <v>314</v>
      </c>
      <c r="D223" s="218">
        <v>77.599999999999994</v>
      </c>
      <c r="E223" s="218" t="s">
        <v>315</v>
      </c>
      <c r="F223" s="218">
        <v>22.7</v>
      </c>
      <c r="G223" s="218" t="s">
        <v>316</v>
      </c>
      <c r="H223" s="218">
        <v>166</v>
      </c>
      <c r="I223" s="218">
        <f t="shared" si="9"/>
        <v>150.4</v>
      </c>
      <c r="J223" s="218">
        <f t="shared" si="10"/>
        <v>6.648936170212766E-3</v>
      </c>
      <c r="K223" s="218">
        <f t="shared" si="11"/>
        <v>4.2612147573629591E-2</v>
      </c>
      <c r="L223" s="218">
        <f t="shared" si="12"/>
        <v>130.1</v>
      </c>
      <c r="M223" s="218" t="s">
        <v>323</v>
      </c>
      <c r="P223" s="218">
        <v>218</v>
      </c>
      <c r="Q223" s="218">
        <v>202.7</v>
      </c>
      <c r="R223" s="218">
        <v>244</v>
      </c>
      <c r="S223" s="218">
        <v>101</v>
      </c>
      <c r="T223" s="218">
        <v>182.56666666666669</v>
      </c>
      <c r="U223" s="273">
        <v>5.4774511593938284E-3</v>
      </c>
      <c r="V223" s="218">
        <v>5.4824607177982494E-3</v>
      </c>
      <c r="W223" s="250">
        <v>9.3650867518931921E-5</v>
      </c>
      <c r="X223" s="250">
        <v>0.40301692420897722</v>
      </c>
      <c r="Z223" s="218">
        <v>215</v>
      </c>
      <c r="AA223" s="435">
        <v>0.39639440765268585</v>
      </c>
      <c r="AC223" s="435">
        <v>0.90909090909090895</v>
      </c>
      <c r="AD223" s="435">
        <v>0.96825396825396814</v>
      </c>
      <c r="AK223" s="218">
        <v>0.96825396825396814</v>
      </c>
    </row>
    <row r="224" spans="1:46">
      <c r="A224" s="429">
        <v>0.67975694444444434</v>
      </c>
      <c r="B224" s="218">
        <v>156</v>
      </c>
      <c r="C224" s="218" t="s">
        <v>314</v>
      </c>
      <c r="D224" s="218">
        <v>78</v>
      </c>
      <c r="E224" s="218" t="s">
        <v>315</v>
      </c>
      <c r="F224" s="218">
        <v>22.7</v>
      </c>
      <c r="G224" s="218" t="s">
        <v>316</v>
      </c>
      <c r="H224" s="218">
        <v>167</v>
      </c>
      <c r="I224" s="218">
        <f t="shared" si="9"/>
        <v>155.1</v>
      </c>
      <c r="J224" s="218">
        <f t="shared" si="10"/>
        <v>6.4474532559638947E-3</v>
      </c>
      <c r="K224" s="218">
        <f t="shared" si="11"/>
        <v>4.2813630487878465E-2</v>
      </c>
      <c r="L224" s="218">
        <f t="shared" si="12"/>
        <v>134.79999999999998</v>
      </c>
      <c r="M224" s="218" t="s">
        <v>323</v>
      </c>
      <c r="P224" s="218">
        <v>219</v>
      </c>
      <c r="Q224" s="218">
        <v>203.7</v>
      </c>
      <c r="R224" s="218">
        <v>247</v>
      </c>
      <c r="S224" s="218">
        <v>103</v>
      </c>
      <c r="T224" s="218">
        <v>184.56666666666669</v>
      </c>
      <c r="U224" s="273">
        <v>5.4180964421166686E-3</v>
      </c>
      <c r="V224" s="218">
        <v>5.4477738007552481E-3</v>
      </c>
      <c r="W224" s="250">
        <v>9.3058348932872833E-5</v>
      </c>
      <c r="X224" s="250">
        <v>0.40743193524650484</v>
      </c>
      <c r="Z224" s="218">
        <v>216</v>
      </c>
      <c r="AA224" s="435">
        <v>0.39639440765268585</v>
      </c>
      <c r="AC224" s="435">
        <v>0.91666666666666641</v>
      </c>
      <c r="AD224" s="435">
        <v>0.97619047619047605</v>
      </c>
      <c r="AK224" s="218">
        <v>0.97619047619047605</v>
      </c>
    </row>
    <row r="225" spans="1:37">
      <c r="A225" s="429">
        <v>0.67976851851851849</v>
      </c>
      <c r="B225" s="218">
        <v>160.6</v>
      </c>
      <c r="C225" s="218" t="s">
        <v>314</v>
      </c>
      <c r="D225" s="218">
        <v>80.3</v>
      </c>
      <c r="E225" s="218" t="s">
        <v>315</v>
      </c>
      <c r="F225" s="218">
        <v>22.7</v>
      </c>
      <c r="G225" s="218" t="s">
        <v>316</v>
      </c>
      <c r="H225" s="218">
        <v>168</v>
      </c>
      <c r="I225" s="218">
        <f t="shared" si="9"/>
        <v>156</v>
      </c>
      <c r="J225" s="218">
        <f t="shared" si="10"/>
        <v>6.41025641025641E-3</v>
      </c>
      <c r="K225" s="218">
        <f t="shared" si="11"/>
        <v>4.2850827333585952E-2</v>
      </c>
      <c r="L225" s="218">
        <f t="shared" si="12"/>
        <v>135.69999999999999</v>
      </c>
      <c r="M225" s="218" t="s">
        <v>323</v>
      </c>
      <c r="P225" s="218">
        <v>220</v>
      </c>
      <c r="Q225" s="218">
        <v>204.7</v>
      </c>
      <c r="R225" s="218">
        <v>248</v>
      </c>
      <c r="S225" s="218">
        <v>103</v>
      </c>
      <c r="T225" s="218">
        <v>185.23333333333335</v>
      </c>
      <c r="U225" s="273">
        <v>5.3985963649451135E-3</v>
      </c>
      <c r="V225" s="218">
        <v>5.4083464035308906E-3</v>
      </c>
      <c r="W225" s="250">
        <v>9.2384853919568399E-5</v>
      </c>
      <c r="X225" s="250">
        <v>0.40890360559234734</v>
      </c>
      <c r="Z225" s="218">
        <v>217</v>
      </c>
      <c r="AA225" s="435">
        <v>0.40228108903605597</v>
      </c>
      <c r="AC225" s="435">
        <v>0.90909090909090895</v>
      </c>
      <c r="AD225" s="435">
        <v>0.98412698412698363</v>
      </c>
      <c r="AK225" s="218">
        <v>0.98412698412698363</v>
      </c>
    </row>
    <row r="226" spans="1:37">
      <c r="A226" s="429">
        <v>0.67978009259259264</v>
      </c>
      <c r="B226" s="218">
        <v>161.19999999999999</v>
      </c>
      <c r="C226" s="218" t="s">
        <v>314</v>
      </c>
      <c r="D226" s="218">
        <v>80.599999999999994</v>
      </c>
      <c r="E226" s="218" t="s">
        <v>315</v>
      </c>
      <c r="F226" s="218">
        <v>22.7</v>
      </c>
      <c r="G226" s="218" t="s">
        <v>316</v>
      </c>
      <c r="H226" s="218">
        <v>169</v>
      </c>
      <c r="I226" s="218">
        <f t="shared" si="9"/>
        <v>160.6</v>
      </c>
      <c r="J226" s="218">
        <f t="shared" si="10"/>
        <v>6.2266500622665012E-3</v>
      </c>
      <c r="K226" s="218">
        <f t="shared" si="11"/>
        <v>4.3034433681575862E-2</v>
      </c>
      <c r="L226" s="218">
        <f t="shared" si="12"/>
        <v>140.29999999999998</v>
      </c>
      <c r="M226" s="218" t="s">
        <v>323</v>
      </c>
      <c r="P226" s="218">
        <v>221</v>
      </c>
      <c r="Q226" s="218">
        <v>206.7</v>
      </c>
      <c r="R226" s="218">
        <v>251</v>
      </c>
      <c r="S226" s="218">
        <v>104</v>
      </c>
      <c r="T226" s="218">
        <v>187.23333333333335</v>
      </c>
      <c r="U226" s="273">
        <v>5.3409293217019753E-3</v>
      </c>
      <c r="V226" s="218">
        <v>5.3697628433235448E-3</v>
      </c>
      <c r="W226" s="250">
        <v>9.1725773249157677E-5</v>
      </c>
      <c r="X226" s="250">
        <v>0.41331861662987496</v>
      </c>
      <c r="Z226" s="218">
        <v>218</v>
      </c>
      <c r="AA226" s="435">
        <v>0.40301692420897722</v>
      </c>
      <c r="AC226" s="435">
        <v>0.90909090909090895</v>
      </c>
      <c r="AD226" s="435">
        <v>0.96825396825396814</v>
      </c>
      <c r="AK226" s="218">
        <v>0.96825396825396814</v>
      </c>
    </row>
    <row r="227" spans="1:37">
      <c r="A227" s="429">
        <v>0.67979166666666668</v>
      </c>
      <c r="B227" s="218">
        <v>159.1</v>
      </c>
      <c r="C227" s="218" t="s">
        <v>314</v>
      </c>
      <c r="D227" s="218">
        <v>79.599999999999994</v>
      </c>
      <c r="E227" s="218" t="s">
        <v>315</v>
      </c>
      <c r="F227" s="218">
        <v>22.7</v>
      </c>
      <c r="G227" s="218" t="s">
        <v>316</v>
      </c>
      <c r="H227" s="218">
        <v>170</v>
      </c>
      <c r="I227" s="218">
        <f t="shared" si="9"/>
        <v>161.19999999999999</v>
      </c>
      <c r="J227" s="218">
        <f t="shared" si="10"/>
        <v>6.2034739454094297E-3</v>
      </c>
      <c r="K227" s="218">
        <f t="shared" si="11"/>
        <v>4.3057609798432928E-2</v>
      </c>
      <c r="L227" s="218">
        <f t="shared" si="12"/>
        <v>140.89999999999998</v>
      </c>
      <c r="M227" s="218" t="s">
        <v>323</v>
      </c>
      <c r="P227" s="218">
        <v>222</v>
      </c>
      <c r="Q227" s="218">
        <v>208.7</v>
      </c>
      <c r="R227" s="218">
        <v>251</v>
      </c>
      <c r="S227" s="218">
        <v>104</v>
      </c>
      <c r="T227" s="218">
        <v>187.9</v>
      </c>
      <c r="U227" s="273">
        <v>5.3219797764768491E-3</v>
      </c>
      <c r="V227" s="218">
        <v>5.3314545490894122E-3</v>
      </c>
      <c r="W227" s="250">
        <v>9.1071394645668517E-5</v>
      </c>
      <c r="X227" s="250">
        <v>0.41479028697571746</v>
      </c>
      <c r="Z227" s="218">
        <v>219</v>
      </c>
      <c r="AA227" s="435">
        <v>0.40743193524650484</v>
      </c>
      <c r="AC227" s="435">
        <v>0.90909090909090895</v>
      </c>
      <c r="AD227" s="435">
        <v>0.98412698412698363</v>
      </c>
      <c r="AK227" s="218">
        <v>0.98412698412698363</v>
      </c>
    </row>
    <row r="228" spans="1:37">
      <c r="A228" s="429">
        <v>0.67980324074074072</v>
      </c>
      <c r="B228" s="218">
        <v>159.6</v>
      </c>
      <c r="C228" s="218" t="s">
        <v>314</v>
      </c>
      <c r="D228" s="218">
        <v>79.8</v>
      </c>
      <c r="E228" s="218" t="s">
        <v>315</v>
      </c>
      <c r="F228" s="218">
        <v>22.7</v>
      </c>
      <c r="G228" s="218" t="s">
        <v>316</v>
      </c>
      <c r="H228" s="218">
        <v>171</v>
      </c>
      <c r="I228" s="218">
        <f t="shared" si="9"/>
        <v>159.1</v>
      </c>
      <c r="J228" s="218">
        <f t="shared" si="10"/>
        <v>6.285355122564425E-3</v>
      </c>
      <c r="K228" s="218">
        <f t="shared" si="11"/>
        <v>4.2975728621277937E-2</v>
      </c>
      <c r="L228" s="218">
        <f t="shared" si="12"/>
        <v>138.79999999999998</v>
      </c>
      <c r="M228" s="218" t="s">
        <v>323</v>
      </c>
      <c r="P228" s="218">
        <v>223</v>
      </c>
      <c r="Q228" s="218">
        <v>207.7</v>
      </c>
      <c r="R228" s="218">
        <v>253</v>
      </c>
      <c r="S228" s="218">
        <v>108</v>
      </c>
      <c r="T228" s="218">
        <v>189.56666666666669</v>
      </c>
      <c r="U228" s="273">
        <v>5.2751890276068218E-3</v>
      </c>
      <c r="V228" s="218">
        <v>5.2985844020418359E-3</v>
      </c>
      <c r="W228" s="250">
        <v>9.0509909950212887E-5</v>
      </c>
      <c r="X228" s="250">
        <v>0.41846946284032382</v>
      </c>
      <c r="Z228" s="218">
        <v>220</v>
      </c>
      <c r="AA228" s="435">
        <v>0.40890360559234734</v>
      </c>
      <c r="AC228" s="435">
        <v>0.90909090909090895</v>
      </c>
      <c r="AD228" s="435">
        <v>0.98412698412698363</v>
      </c>
      <c r="AK228" s="218">
        <v>0.98412698412698363</v>
      </c>
    </row>
    <row r="229" spans="1:37">
      <c r="A229" s="429">
        <v>0.67981481481481476</v>
      </c>
      <c r="B229" s="218">
        <v>159.69999999999999</v>
      </c>
      <c r="C229" s="218" t="s">
        <v>314</v>
      </c>
      <c r="D229" s="218">
        <v>79.900000000000006</v>
      </c>
      <c r="E229" s="218" t="s">
        <v>315</v>
      </c>
      <c r="F229" s="218">
        <v>22.7</v>
      </c>
      <c r="G229" s="218" t="s">
        <v>316</v>
      </c>
      <c r="H229" s="218">
        <v>172</v>
      </c>
      <c r="I229" s="218">
        <f t="shared" si="9"/>
        <v>159.6</v>
      </c>
      <c r="J229" s="218">
        <f t="shared" si="10"/>
        <v>6.265664160401003E-3</v>
      </c>
      <c r="K229" s="218">
        <f t="shared" si="11"/>
        <v>4.2995419583441358E-2</v>
      </c>
      <c r="L229" s="218">
        <f t="shared" si="12"/>
        <v>139.29999999999998</v>
      </c>
      <c r="M229" s="218" t="s">
        <v>323</v>
      </c>
      <c r="P229" s="218">
        <v>224</v>
      </c>
      <c r="Q229" s="218">
        <v>210.7</v>
      </c>
      <c r="R229" s="218">
        <v>254</v>
      </c>
      <c r="S229" s="218">
        <v>108</v>
      </c>
      <c r="T229" s="218">
        <v>190.9</v>
      </c>
      <c r="U229" s="273">
        <v>5.2383446830801469E-3</v>
      </c>
      <c r="V229" s="218">
        <v>5.2567668553434848E-3</v>
      </c>
      <c r="W229" s="250">
        <v>8.9795586633111815E-5</v>
      </c>
      <c r="X229" s="250">
        <v>0.42141280353200883</v>
      </c>
      <c r="Z229" s="218">
        <v>221</v>
      </c>
      <c r="AA229" s="435">
        <v>0.41331861662987496</v>
      </c>
      <c r="AC229" s="435">
        <v>0.90909090909090895</v>
      </c>
      <c r="AD229" s="435">
        <v>0.96825396825396814</v>
      </c>
      <c r="AK229" s="218">
        <v>0.96825396825396814</v>
      </c>
    </row>
    <row r="230" spans="1:37">
      <c r="A230" s="429">
        <v>0.67982638888888891</v>
      </c>
      <c r="B230" s="218">
        <v>160</v>
      </c>
      <c r="C230" s="218" t="s">
        <v>314</v>
      </c>
      <c r="D230" s="218">
        <v>80</v>
      </c>
      <c r="E230" s="218" t="s">
        <v>315</v>
      </c>
      <c r="F230" s="218">
        <v>22.7</v>
      </c>
      <c r="G230" s="218" t="s">
        <v>316</v>
      </c>
      <c r="H230" s="218">
        <v>173</v>
      </c>
      <c r="I230" s="218">
        <f t="shared" si="9"/>
        <v>159.69999999999999</v>
      </c>
      <c r="J230" s="218">
        <f t="shared" si="10"/>
        <v>6.261740763932374E-3</v>
      </c>
      <c r="K230" s="218">
        <f t="shared" si="11"/>
        <v>4.2999342979909982E-2</v>
      </c>
      <c r="L230" s="218">
        <f t="shared" si="12"/>
        <v>139.39999999999998</v>
      </c>
      <c r="M230" s="218" t="s">
        <v>323</v>
      </c>
      <c r="P230" s="218">
        <v>225</v>
      </c>
      <c r="Q230" s="218">
        <v>209.7</v>
      </c>
      <c r="R230" s="218">
        <v>255</v>
      </c>
      <c r="S230" s="218">
        <v>109</v>
      </c>
      <c r="T230" s="218">
        <v>191.23333333333335</v>
      </c>
      <c r="U230" s="273">
        <v>5.2292138748474808E-3</v>
      </c>
      <c r="V230" s="218">
        <v>5.2337792789638139E-3</v>
      </c>
      <c r="W230" s="250">
        <v>8.9402915060814904E-5</v>
      </c>
      <c r="X230" s="250">
        <v>0.42214863870493013</v>
      </c>
      <c r="Z230" s="218">
        <v>222</v>
      </c>
      <c r="AA230" s="435">
        <v>0.41479028697571746</v>
      </c>
      <c r="AC230" s="435">
        <v>0.90909090909090895</v>
      </c>
      <c r="AD230" s="435">
        <v>0.97619047619047605</v>
      </c>
      <c r="AK230" s="218">
        <v>0.97619047619047605</v>
      </c>
    </row>
    <row r="231" spans="1:37">
      <c r="A231" s="429">
        <v>0.67983796296296306</v>
      </c>
      <c r="B231" s="218">
        <v>160.1</v>
      </c>
      <c r="C231" s="218" t="s">
        <v>314</v>
      </c>
      <c r="D231" s="218">
        <v>80.099999999999994</v>
      </c>
      <c r="E231" s="218" t="s">
        <v>315</v>
      </c>
      <c r="F231" s="218">
        <v>22.7</v>
      </c>
      <c r="G231" s="218" t="s">
        <v>316</v>
      </c>
      <c r="H231" s="218">
        <v>174</v>
      </c>
      <c r="I231" s="218">
        <f t="shared" si="9"/>
        <v>160</v>
      </c>
      <c r="J231" s="218">
        <f t="shared" si="10"/>
        <v>6.2500000000000003E-3</v>
      </c>
      <c r="K231" s="218">
        <f t="shared" si="11"/>
        <v>4.3011083743842361E-2</v>
      </c>
      <c r="L231" s="218">
        <f t="shared" si="12"/>
        <v>139.69999999999999</v>
      </c>
      <c r="M231" s="218" t="s">
        <v>323</v>
      </c>
      <c r="P231" s="218">
        <v>226</v>
      </c>
      <c r="Q231" s="218">
        <v>209.7</v>
      </c>
      <c r="R231" s="218">
        <v>257</v>
      </c>
      <c r="S231" s="218">
        <v>109</v>
      </c>
      <c r="T231" s="218">
        <v>191.9</v>
      </c>
      <c r="U231" s="273">
        <v>5.211047420531527E-3</v>
      </c>
      <c r="V231" s="218">
        <v>5.2201306476895044E-3</v>
      </c>
      <c r="W231" s="250">
        <v>8.916977045201989E-5</v>
      </c>
      <c r="X231" s="250">
        <v>0.42362030905077264</v>
      </c>
      <c r="Z231" s="218">
        <v>223</v>
      </c>
      <c r="AA231" s="435">
        <v>0.41846946284032382</v>
      </c>
      <c r="AC231" s="435">
        <v>0.90909090909090895</v>
      </c>
      <c r="AD231" s="435">
        <v>1</v>
      </c>
      <c r="AK231" s="218">
        <v>1</v>
      </c>
    </row>
    <row r="232" spans="1:37">
      <c r="A232" s="429">
        <v>0.67984953703703699</v>
      </c>
      <c r="B232" s="218">
        <v>164.7</v>
      </c>
      <c r="C232" s="218" t="s">
        <v>314</v>
      </c>
      <c r="D232" s="218">
        <v>82.4</v>
      </c>
      <c r="E232" s="218" t="s">
        <v>315</v>
      </c>
      <c r="F232" s="218">
        <v>22.7</v>
      </c>
      <c r="G232" s="218" t="s">
        <v>316</v>
      </c>
      <c r="H232" s="218">
        <v>175</v>
      </c>
      <c r="I232" s="218">
        <f t="shared" si="9"/>
        <v>160.1</v>
      </c>
      <c r="J232" s="218">
        <f t="shared" si="10"/>
        <v>6.2460961898813247E-3</v>
      </c>
      <c r="K232" s="218">
        <f t="shared" si="11"/>
        <v>4.3014987553961034E-2</v>
      </c>
      <c r="L232" s="218">
        <f t="shared" si="12"/>
        <v>139.79999999999998</v>
      </c>
      <c r="M232" s="218" t="s">
        <v>323</v>
      </c>
      <c r="P232" s="218">
        <v>227</v>
      </c>
      <c r="Q232" s="218">
        <v>211.7</v>
      </c>
      <c r="R232" s="218">
        <v>258</v>
      </c>
      <c r="S232" s="218">
        <v>111</v>
      </c>
      <c r="T232" s="218">
        <v>193.56666666666669</v>
      </c>
      <c r="U232" s="273">
        <v>5.1661787497847417E-3</v>
      </c>
      <c r="V232" s="218">
        <v>5.1886130851581339E-3</v>
      </c>
      <c r="W232" s="250">
        <v>8.8631390475385884E-5</v>
      </c>
      <c r="X232" s="250">
        <v>0.427299484915379</v>
      </c>
      <c r="Z232" s="218">
        <v>224</v>
      </c>
      <c r="AA232" s="435">
        <v>0.42141280353200883</v>
      </c>
      <c r="AC232" s="435">
        <v>0.90909090909090895</v>
      </c>
      <c r="AD232" s="435">
        <v>1</v>
      </c>
      <c r="AK232" s="218">
        <v>1</v>
      </c>
    </row>
    <row r="233" spans="1:37">
      <c r="A233" s="429">
        <v>0.67986111111111114</v>
      </c>
      <c r="B233" s="218">
        <v>173.2</v>
      </c>
      <c r="C233" s="218" t="s">
        <v>314</v>
      </c>
      <c r="D233" s="218">
        <v>86.6</v>
      </c>
      <c r="E233" s="218" t="s">
        <v>315</v>
      </c>
      <c r="F233" s="218">
        <v>22.7</v>
      </c>
      <c r="G233" s="218" t="s">
        <v>316</v>
      </c>
      <c r="H233" s="218">
        <v>176</v>
      </c>
      <c r="I233" s="218">
        <f t="shared" si="9"/>
        <v>164.7</v>
      </c>
      <c r="J233" s="218">
        <f t="shared" si="10"/>
        <v>6.0716454159077116E-3</v>
      </c>
      <c r="K233" s="218">
        <f t="shared" si="11"/>
        <v>4.3189438327934648E-2</v>
      </c>
      <c r="L233" s="218">
        <f t="shared" si="12"/>
        <v>144.39999999999998</v>
      </c>
      <c r="M233" s="218" t="s">
        <v>323</v>
      </c>
      <c r="P233" s="218">
        <v>228</v>
      </c>
      <c r="Q233" s="218">
        <v>213.7</v>
      </c>
      <c r="R233" s="218">
        <v>257</v>
      </c>
      <c r="S233" s="218">
        <v>111</v>
      </c>
      <c r="T233" s="218">
        <v>193.9</v>
      </c>
      <c r="U233" s="273">
        <v>5.1572975760701394E-3</v>
      </c>
      <c r="V233" s="218">
        <v>5.1617381629274406E-3</v>
      </c>
      <c r="W233" s="250">
        <v>8.8172315634550732E-5</v>
      </c>
      <c r="X233" s="250">
        <v>0.42803532008830025</v>
      </c>
      <c r="Z233" s="218">
        <v>225</v>
      </c>
      <c r="AA233" s="435">
        <v>0.42214863870493013</v>
      </c>
      <c r="AC233" s="435">
        <v>0.90909090909090895</v>
      </c>
      <c r="AD233" s="435">
        <v>0.98809523809523836</v>
      </c>
      <c r="AK233" s="218">
        <v>0.98809523809523836</v>
      </c>
    </row>
    <row r="234" spans="1:37">
      <c r="A234" s="429">
        <v>0.67987268518518518</v>
      </c>
      <c r="B234" s="218">
        <v>173.4</v>
      </c>
      <c r="C234" s="218" t="s">
        <v>314</v>
      </c>
      <c r="D234" s="218">
        <v>86.7</v>
      </c>
      <c r="E234" s="218" t="s">
        <v>315</v>
      </c>
      <c r="F234" s="218">
        <v>22.7</v>
      </c>
      <c r="G234" s="218" t="s">
        <v>316</v>
      </c>
      <c r="H234" s="218">
        <v>177</v>
      </c>
      <c r="I234" s="218">
        <f t="shared" si="9"/>
        <v>173.2</v>
      </c>
      <c r="J234" s="218">
        <f t="shared" si="10"/>
        <v>5.7736720554272519E-3</v>
      </c>
      <c r="K234" s="218">
        <f t="shared" si="11"/>
        <v>4.3487411688415106E-2</v>
      </c>
      <c r="L234" s="218">
        <f t="shared" si="12"/>
        <v>152.89999999999998</v>
      </c>
      <c r="M234" s="218" t="s">
        <v>323</v>
      </c>
      <c r="P234" s="218">
        <v>229</v>
      </c>
      <c r="Q234" s="218">
        <v>213.7</v>
      </c>
      <c r="R234" s="218">
        <v>259</v>
      </c>
      <c r="S234" s="218">
        <v>110</v>
      </c>
      <c r="T234" s="218">
        <v>194.23333333333335</v>
      </c>
      <c r="U234" s="273">
        <v>5.1484468851896344E-3</v>
      </c>
      <c r="V234" s="218">
        <v>5.1528722306298869E-3</v>
      </c>
      <c r="W234" s="250">
        <v>8.8020868630409952E-5</v>
      </c>
      <c r="X234" s="250">
        <v>0.4287711552612215</v>
      </c>
      <c r="Z234" s="218">
        <v>226</v>
      </c>
      <c r="AA234" s="435">
        <v>0.42362030905077264</v>
      </c>
      <c r="AC234" s="435">
        <v>0.90909090909090895</v>
      </c>
      <c r="AD234" s="435">
        <v>0.98809523809523836</v>
      </c>
      <c r="AK234" s="218">
        <v>0.98809523809523836</v>
      </c>
    </row>
    <row r="235" spans="1:37">
      <c r="A235" s="429">
        <v>0.67988425925925933</v>
      </c>
      <c r="B235" s="218">
        <v>169.3</v>
      </c>
      <c r="C235" s="218" t="s">
        <v>314</v>
      </c>
      <c r="D235" s="218">
        <v>84.7</v>
      </c>
      <c r="E235" s="218" t="s">
        <v>315</v>
      </c>
      <c r="F235" s="218">
        <v>22.7</v>
      </c>
      <c r="G235" s="218" t="s">
        <v>316</v>
      </c>
      <c r="H235" s="218">
        <v>178</v>
      </c>
      <c r="I235" s="218">
        <f t="shared" si="9"/>
        <v>173.4</v>
      </c>
      <c r="J235" s="218">
        <f t="shared" si="10"/>
        <v>5.7670126874279125E-3</v>
      </c>
      <c r="K235" s="218">
        <f t="shared" si="11"/>
        <v>4.3494071056414445E-2</v>
      </c>
      <c r="L235" s="218">
        <f t="shared" si="12"/>
        <v>153.1</v>
      </c>
      <c r="M235" s="218" t="s">
        <v>323</v>
      </c>
      <c r="P235" s="218">
        <v>230</v>
      </c>
      <c r="Q235" s="218">
        <v>213.7</v>
      </c>
      <c r="R235" s="218">
        <v>259</v>
      </c>
      <c r="S235" s="218">
        <v>110</v>
      </c>
      <c r="T235" s="218">
        <v>194.23333333333335</v>
      </c>
      <c r="U235" s="273">
        <v>5.1484468851896344E-3</v>
      </c>
      <c r="V235" s="218">
        <v>5.1484468851896344E-3</v>
      </c>
      <c r="W235" s="250">
        <v>8.7945275304550789E-5</v>
      </c>
      <c r="X235" s="250">
        <v>0.4287711552612215</v>
      </c>
      <c r="Z235" s="218">
        <v>227</v>
      </c>
      <c r="AA235" s="435">
        <v>0.427299484915379</v>
      </c>
      <c r="AC235" s="435">
        <v>0.90909090909090895</v>
      </c>
      <c r="AD235" s="435">
        <v>1</v>
      </c>
      <c r="AK235" s="218">
        <v>1</v>
      </c>
    </row>
    <row r="236" spans="1:37">
      <c r="A236" s="429">
        <v>0.67989583333333325</v>
      </c>
      <c r="B236" s="218">
        <v>169.5</v>
      </c>
      <c r="C236" s="218" t="s">
        <v>314</v>
      </c>
      <c r="D236" s="218">
        <v>84.8</v>
      </c>
      <c r="E236" s="218" t="s">
        <v>315</v>
      </c>
      <c r="F236" s="218">
        <v>22.7</v>
      </c>
      <c r="G236" s="218" t="s">
        <v>316</v>
      </c>
      <c r="H236" s="218">
        <v>179</v>
      </c>
      <c r="I236" s="218">
        <f t="shared" si="9"/>
        <v>169.3</v>
      </c>
      <c r="J236" s="218">
        <f t="shared" si="10"/>
        <v>5.9066745422327229E-3</v>
      </c>
      <c r="K236" s="218">
        <f t="shared" si="11"/>
        <v>4.3354409201609635E-2</v>
      </c>
      <c r="L236" s="218">
        <f t="shared" si="12"/>
        <v>149</v>
      </c>
      <c r="M236" s="218" t="s">
        <v>323</v>
      </c>
      <c r="P236" s="218">
        <v>231</v>
      </c>
      <c r="Q236" s="218">
        <v>215.7</v>
      </c>
      <c r="R236" s="218">
        <v>262</v>
      </c>
      <c r="S236" s="218">
        <v>112</v>
      </c>
      <c r="T236" s="218">
        <v>196.56666666666669</v>
      </c>
      <c r="U236" s="273">
        <v>5.0873325419704928E-3</v>
      </c>
      <c r="V236" s="218">
        <v>5.1178897135800636E-3</v>
      </c>
      <c r="W236" s="250">
        <v>8.7423300633419817E-5</v>
      </c>
      <c r="X236" s="250">
        <v>0.43392200147167043</v>
      </c>
      <c r="Z236" s="218">
        <v>228</v>
      </c>
      <c r="AA236" s="435">
        <v>0.42803532008830025</v>
      </c>
      <c r="AC236" s="435">
        <v>0.9242424242424242</v>
      </c>
      <c r="AD236" s="435">
        <v>1</v>
      </c>
      <c r="AK236" s="218">
        <v>1</v>
      </c>
    </row>
    <row r="237" spans="1:37">
      <c r="A237" s="429">
        <v>0.6799074074074074</v>
      </c>
      <c r="B237" s="218">
        <v>173.8</v>
      </c>
      <c r="C237" s="218" t="s">
        <v>314</v>
      </c>
      <c r="D237" s="218">
        <v>86.9</v>
      </c>
      <c r="E237" s="218" t="s">
        <v>315</v>
      </c>
      <c r="F237" s="218">
        <v>22.7</v>
      </c>
      <c r="G237" s="218" t="s">
        <v>316</v>
      </c>
      <c r="H237" s="218">
        <v>180</v>
      </c>
      <c r="I237" s="218">
        <f t="shared" si="9"/>
        <v>169.5</v>
      </c>
      <c r="J237" s="218">
        <f t="shared" si="10"/>
        <v>5.8997050147492625E-3</v>
      </c>
      <c r="K237" s="218">
        <f t="shared" si="11"/>
        <v>4.3361378729093097E-2</v>
      </c>
      <c r="L237" s="218">
        <f t="shared" si="12"/>
        <v>149.19999999999999</v>
      </c>
      <c r="M237" s="218" t="s">
        <v>323</v>
      </c>
      <c r="P237" s="218">
        <v>232</v>
      </c>
      <c r="Q237" s="218">
        <v>214.7</v>
      </c>
      <c r="R237" s="218">
        <v>260</v>
      </c>
      <c r="S237" s="218">
        <v>112</v>
      </c>
      <c r="T237" s="218">
        <v>195.56666666666669</v>
      </c>
      <c r="U237" s="273">
        <v>5.1133458326231458E-3</v>
      </c>
      <c r="V237" s="218">
        <v>5.1003391872968193E-3</v>
      </c>
      <c r="W237" s="250">
        <v>8.7123504228768208E-5</v>
      </c>
      <c r="X237" s="250">
        <v>0.43171449595290662</v>
      </c>
      <c r="Z237" s="218">
        <v>229</v>
      </c>
      <c r="AA237" s="435">
        <v>0.4287711552612215</v>
      </c>
      <c r="AC237" s="435">
        <v>0.9242424242424242</v>
      </c>
      <c r="AD237" s="435">
        <v>1.0238095238095233</v>
      </c>
      <c r="AK237" s="218">
        <v>1.0238095238095233</v>
      </c>
    </row>
    <row r="238" spans="1:37">
      <c r="A238" s="429">
        <v>0.67991898148148155</v>
      </c>
      <c r="B238" s="218">
        <v>173.4</v>
      </c>
      <c r="C238" s="218" t="s">
        <v>314</v>
      </c>
      <c r="D238" s="218">
        <v>86.7</v>
      </c>
      <c r="E238" s="218" t="s">
        <v>315</v>
      </c>
      <c r="F238" s="218">
        <v>22.7</v>
      </c>
      <c r="G238" s="218" t="s">
        <v>316</v>
      </c>
      <c r="H238" s="218">
        <v>181</v>
      </c>
      <c r="I238" s="218">
        <f t="shared" si="9"/>
        <v>173.8</v>
      </c>
      <c r="J238" s="218">
        <f t="shared" si="10"/>
        <v>5.7537399309551202E-3</v>
      </c>
      <c r="K238" s="218">
        <f t="shared" si="11"/>
        <v>4.3507343812887241E-2</v>
      </c>
      <c r="L238" s="218">
        <f t="shared" si="12"/>
        <v>153.5</v>
      </c>
      <c r="M238" s="218" t="s">
        <v>323</v>
      </c>
      <c r="P238" s="218">
        <v>233</v>
      </c>
      <c r="Q238" s="218">
        <v>218.7</v>
      </c>
      <c r="R238" s="218">
        <v>261</v>
      </c>
      <c r="S238" s="218">
        <v>114</v>
      </c>
      <c r="T238" s="218">
        <v>197.9</v>
      </c>
      <c r="U238" s="273">
        <v>5.053057099545225E-3</v>
      </c>
      <c r="V238" s="218">
        <v>5.0832014660841859E-3</v>
      </c>
      <c r="W238" s="250">
        <v>8.6830759320692457E-5</v>
      </c>
      <c r="X238" s="250">
        <v>0.43686534216335543</v>
      </c>
      <c r="Z238" s="218">
        <v>230</v>
      </c>
      <c r="AA238" s="435">
        <v>0.4287711552612215</v>
      </c>
      <c r="AC238" s="435">
        <v>0.90909090909090895</v>
      </c>
      <c r="AD238" s="435">
        <v>1.0238095238095233</v>
      </c>
      <c r="AK238" s="218">
        <v>1.0238095238095233</v>
      </c>
    </row>
    <row r="239" spans="1:37">
      <c r="A239" s="429">
        <v>0.67993055555555559</v>
      </c>
      <c r="B239" s="218">
        <v>173.5</v>
      </c>
      <c r="C239" s="218" t="s">
        <v>314</v>
      </c>
      <c r="D239" s="218">
        <v>86.8</v>
      </c>
      <c r="E239" s="218" t="s">
        <v>315</v>
      </c>
      <c r="F239" s="218">
        <v>22.7</v>
      </c>
      <c r="G239" s="218" t="s">
        <v>316</v>
      </c>
      <c r="H239" s="218">
        <v>182</v>
      </c>
      <c r="I239" s="218">
        <f t="shared" si="9"/>
        <v>173.4</v>
      </c>
      <c r="J239" s="218">
        <f t="shared" si="10"/>
        <v>5.7670126874279125E-3</v>
      </c>
      <c r="K239" s="218">
        <f t="shared" si="11"/>
        <v>4.3494071056414445E-2</v>
      </c>
      <c r="L239" s="218">
        <f t="shared" si="12"/>
        <v>153.1</v>
      </c>
      <c r="M239" s="218" t="s">
        <v>323</v>
      </c>
      <c r="P239" s="218">
        <v>234</v>
      </c>
      <c r="Q239" s="218">
        <v>218.7</v>
      </c>
      <c r="R239" s="218">
        <v>261</v>
      </c>
      <c r="S239" s="218">
        <v>114</v>
      </c>
      <c r="T239" s="218">
        <v>197.9</v>
      </c>
      <c r="U239" s="273">
        <v>5.053057099545225E-3</v>
      </c>
      <c r="V239" s="218">
        <v>5.053057099545225E-3</v>
      </c>
      <c r="W239" s="250">
        <v>8.6315836146137357E-5</v>
      </c>
      <c r="X239" s="250">
        <v>0.43686534216335543</v>
      </c>
      <c r="Z239" s="218">
        <v>231</v>
      </c>
      <c r="AA239" s="435">
        <v>0.43392200147167043</v>
      </c>
      <c r="AC239" s="435">
        <v>0.90909090909090895</v>
      </c>
      <c r="AD239" s="435">
        <v>1.0238095238095233</v>
      </c>
      <c r="AK239" s="218">
        <v>1.0238095238095233</v>
      </c>
    </row>
    <row r="240" spans="1:37">
      <c r="A240" s="429">
        <v>0.67994212962962963</v>
      </c>
      <c r="B240" s="218">
        <v>173.7</v>
      </c>
      <c r="C240" s="218" t="s">
        <v>314</v>
      </c>
      <c r="D240" s="218">
        <v>86.9</v>
      </c>
      <c r="E240" s="218" t="s">
        <v>315</v>
      </c>
      <c r="F240" s="218">
        <v>22.7</v>
      </c>
      <c r="G240" s="218" t="s">
        <v>316</v>
      </c>
      <c r="H240" s="218">
        <v>183</v>
      </c>
      <c r="I240" s="218">
        <f t="shared" si="9"/>
        <v>173.5</v>
      </c>
      <c r="J240" s="218">
        <f t="shared" si="10"/>
        <v>5.763688760806916E-3</v>
      </c>
      <c r="K240" s="218">
        <f t="shared" si="11"/>
        <v>4.3497394983035446E-2</v>
      </c>
      <c r="L240" s="218">
        <f t="shared" si="12"/>
        <v>153.19999999999999</v>
      </c>
      <c r="M240" s="218" t="s">
        <v>323</v>
      </c>
      <c r="P240" s="218">
        <v>235</v>
      </c>
      <c r="Q240" s="218">
        <v>220.7</v>
      </c>
      <c r="R240" s="218">
        <v>262</v>
      </c>
      <c r="S240" s="218">
        <v>118</v>
      </c>
      <c r="T240" s="218">
        <v>200.23333333333335</v>
      </c>
      <c r="U240" s="273">
        <v>4.9941734642916591E-3</v>
      </c>
      <c r="V240" s="218">
        <v>5.0236152819184421E-3</v>
      </c>
      <c r="W240" s="250">
        <v>8.5812913844636625E-5</v>
      </c>
      <c r="X240" s="250">
        <v>0.4420161883738043</v>
      </c>
      <c r="Z240" s="218">
        <v>232</v>
      </c>
      <c r="AA240" s="435">
        <v>0.43171449595290662</v>
      </c>
      <c r="AC240" s="435">
        <v>0.88636363636363624</v>
      </c>
      <c r="AD240" s="435">
        <v>1</v>
      </c>
      <c r="AK240" s="218">
        <v>1</v>
      </c>
    </row>
    <row r="241" spans="1:37">
      <c r="A241" s="429">
        <v>0.67995370370370367</v>
      </c>
      <c r="B241" s="218">
        <v>178.3</v>
      </c>
      <c r="C241" s="218" t="s">
        <v>314</v>
      </c>
      <c r="D241" s="218">
        <v>89.2</v>
      </c>
      <c r="E241" s="218" t="s">
        <v>315</v>
      </c>
      <c r="F241" s="218">
        <v>22.7</v>
      </c>
      <c r="G241" s="218" t="s">
        <v>316</v>
      </c>
      <c r="H241" s="218">
        <v>184</v>
      </c>
      <c r="I241" s="218">
        <f t="shared" si="9"/>
        <v>173.7</v>
      </c>
      <c r="J241" s="218">
        <f t="shared" si="10"/>
        <v>5.7570523891767415E-3</v>
      </c>
      <c r="K241" s="218">
        <f t="shared" si="11"/>
        <v>4.3504031354665615E-2</v>
      </c>
      <c r="L241" s="218">
        <f t="shared" si="12"/>
        <v>153.39999999999998</v>
      </c>
      <c r="M241" s="218" t="s">
        <v>323</v>
      </c>
      <c r="P241" s="218">
        <v>236</v>
      </c>
      <c r="Q241" s="218">
        <v>221.7</v>
      </c>
      <c r="R241" s="218">
        <v>263</v>
      </c>
      <c r="S241" s="218">
        <v>118</v>
      </c>
      <c r="T241" s="218">
        <v>200.9</v>
      </c>
      <c r="U241" s="273">
        <v>4.9776007964161271E-3</v>
      </c>
      <c r="V241" s="218">
        <v>4.9858871303538931E-3</v>
      </c>
      <c r="W241" s="250">
        <v>8.5168445182520115E-5</v>
      </c>
      <c r="X241" s="250">
        <v>0.4434878587196468</v>
      </c>
      <c r="Z241" s="218">
        <v>233</v>
      </c>
      <c r="AA241" s="435">
        <v>0.43686534216335543</v>
      </c>
      <c r="AC241" s="435">
        <v>0.88636363636363624</v>
      </c>
      <c r="AD241" s="435">
        <v>1</v>
      </c>
      <c r="AK241" s="218">
        <v>1</v>
      </c>
    </row>
    <row r="242" spans="1:37">
      <c r="A242" s="429">
        <v>0.67996527777777782</v>
      </c>
      <c r="B242" s="218">
        <v>186.1</v>
      </c>
      <c r="C242" s="218" t="s">
        <v>314</v>
      </c>
      <c r="D242" s="218">
        <v>93.1</v>
      </c>
      <c r="E242" s="218" t="s">
        <v>315</v>
      </c>
      <c r="F242" s="218">
        <v>22.7</v>
      </c>
      <c r="G242" s="218" t="s">
        <v>316</v>
      </c>
      <c r="H242" s="218">
        <v>185</v>
      </c>
      <c r="I242" s="218">
        <f t="shared" si="9"/>
        <v>178.3</v>
      </c>
      <c r="J242" s="218">
        <f t="shared" si="10"/>
        <v>5.6085249579360622E-3</v>
      </c>
      <c r="K242" s="218">
        <f t="shared" si="11"/>
        <v>4.3652558785906299E-2</v>
      </c>
      <c r="L242" s="218">
        <f t="shared" si="12"/>
        <v>158</v>
      </c>
      <c r="M242" s="218" t="s">
        <v>323</v>
      </c>
      <c r="P242" s="218">
        <v>237</v>
      </c>
      <c r="Q242" s="218">
        <v>223.7</v>
      </c>
      <c r="R242" s="218">
        <v>266</v>
      </c>
      <c r="S242" s="218">
        <v>120</v>
      </c>
      <c r="T242" s="218">
        <v>203.23333333333335</v>
      </c>
      <c r="U242" s="273">
        <v>4.9204526816467109E-3</v>
      </c>
      <c r="V242" s="218">
        <v>4.949026739031419E-3</v>
      </c>
      <c r="W242" s="250">
        <v>8.45387995175306E-5</v>
      </c>
      <c r="X242" s="250">
        <v>0.44863870493009567</v>
      </c>
      <c r="Z242" s="218">
        <v>234</v>
      </c>
      <c r="AA242" s="435">
        <v>0.43686534216335543</v>
      </c>
      <c r="AC242" s="435">
        <v>0.89772727272727282</v>
      </c>
      <c r="AD242" s="435">
        <v>1</v>
      </c>
      <c r="AK242" s="218">
        <v>1</v>
      </c>
    </row>
    <row r="243" spans="1:37">
      <c r="A243" s="429">
        <v>0.67997685185185175</v>
      </c>
      <c r="B243" s="218">
        <v>186.2</v>
      </c>
      <c r="C243" s="218" t="s">
        <v>314</v>
      </c>
      <c r="D243" s="218">
        <v>93.1</v>
      </c>
      <c r="E243" s="218" t="s">
        <v>315</v>
      </c>
      <c r="F243" s="218">
        <v>22.7</v>
      </c>
      <c r="G243" s="218" t="s">
        <v>316</v>
      </c>
      <c r="H243" s="218">
        <v>186</v>
      </c>
      <c r="I243" s="218">
        <f t="shared" si="9"/>
        <v>186.1</v>
      </c>
      <c r="J243" s="218">
        <f t="shared" si="10"/>
        <v>5.3734551316496513E-3</v>
      </c>
      <c r="K243" s="218">
        <f t="shared" si="11"/>
        <v>4.3887628612192711E-2</v>
      </c>
      <c r="L243" s="218">
        <f t="shared" si="12"/>
        <v>165.79999999999998</v>
      </c>
      <c r="M243" s="218" t="s">
        <v>323</v>
      </c>
      <c r="P243" s="218">
        <v>238</v>
      </c>
      <c r="Q243" s="218">
        <v>224.7</v>
      </c>
      <c r="R243" s="218">
        <v>267</v>
      </c>
      <c r="S243" s="218">
        <v>120</v>
      </c>
      <c r="T243" s="218">
        <v>203.9</v>
      </c>
      <c r="U243" s="273">
        <v>4.9043648847474251E-3</v>
      </c>
      <c r="V243" s="218">
        <v>4.912408783197068E-3</v>
      </c>
      <c r="W243" s="250">
        <v>8.3913295112268913E-5</v>
      </c>
      <c r="X243" s="250">
        <v>0.45011037527593822</v>
      </c>
      <c r="Z243" s="218">
        <v>235</v>
      </c>
      <c r="AA243" s="435">
        <v>0.4420161883738043</v>
      </c>
      <c r="AC243" s="435">
        <v>0.88636363636363624</v>
      </c>
    </row>
    <row r="244" spans="1:37">
      <c r="A244" s="429">
        <v>0.6799884259259259</v>
      </c>
      <c r="B244" s="218">
        <v>185.8</v>
      </c>
      <c r="C244" s="218" t="s">
        <v>314</v>
      </c>
      <c r="D244" s="218">
        <v>92.9</v>
      </c>
      <c r="E244" s="218" t="s">
        <v>315</v>
      </c>
      <c r="F244" s="218">
        <v>22.7</v>
      </c>
      <c r="G244" s="218" t="s">
        <v>316</v>
      </c>
      <c r="H244" s="218">
        <v>187</v>
      </c>
      <c r="I244" s="218">
        <f t="shared" si="9"/>
        <v>186.2</v>
      </c>
      <c r="J244" s="218">
        <f t="shared" si="10"/>
        <v>5.3705692803437165E-3</v>
      </c>
      <c r="K244" s="218">
        <f t="shared" si="11"/>
        <v>4.3890514463498641E-2</v>
      </c>
      <c r="L244" s="218">
        <f t="shared" si="12"/>
        <v>165.89999999999998</v>
      </c>
      <c r="M244" s="218" t="s">
        <v>323</v>
      </c>
      <c r="P244" s="218">
        <v>239</v>
      </c>
      <c r="Q244" s="218">
        <v>223.7</v>
      </c>
      <c r="R244" s="218">
        <v>269</v>
      </c>
      <c r="S244" s="218">
        <v>120</v>
      </c>
      <c r="T244" s="218">
        <v>204.23333333333335</v>
      </c>
      <c r="U244" s="273">
        <v>4.8963603721233883E-3</v>
      </c>
      <c r="V244" s="218">
        <v>4.9003626284354063E-3</v>
      </c>
      <c r="W244" s="250">
        <v>8.3707523853382456E-5</v>
      </c>
      <c r="X244" s="250">
        <v>0.45084621044885947</v>
      </c>
      <c r="Z244" s="218">
        <v>236</v>
      </c>
      <c r="AA244" s="435">
        <v>0.4434878587196468</v>
      </c>
      <c r="AC244" s="435">
        <v>0.88636363636363624</v>
      </c>
    </row>
    <row r="245" spans="1:37">
      <c r="A245" s="429">
        <v>0.68</v>
      </c>
      <c r="B245" s="218">
        <v>181.8</v>
      </c>
      <c r="C245" s="218" t="s">
        <v>314</v>
      </c>
      <c r="D245" s="218">
        <v>90.9</v>
      </c>
      <c r="E245" s="218" t="s">
        <v>315</v>
      </c>
      <c r="F245" s="218">
        <v>22.7</v>
      </c>
      <c r="G245" s="218" t="s">
        <v>316</v>
      </c>
      <c r="H245" s="218">
        <v>188</v>
      </c>
      <c r="I245" s="218">
        <f t="shared" si="9"/>
        <v>185.8</v>
      </c>
      <c r="J245" s="218">
        <f t="shared" si="10"/>
        <v>5.3821313240043052E-3</v>
      </c>
      <c r="K245" s="218">
        <f t="shared" si="11"/>
        <v>4.3878952419838052E-2</v>
      </c>
      <c r="L245" s="218">
        <f t="shared" si="12"/>
        <v>165.5</v>
      </c>
      <c r="M245" s="218" t="s">
        <v>323</v>
      </c>
      <c r="P245" s="218">
        <v>240</v>
      </c>
      <c r="Q245" s="218">
        <v>225.7</v>
      </c>
      <c r="R245" s="218">
        <v>269</v>
      </c>
      <c r="S245" s="218">
        <v>120</v>
      </c>
      <c r="T245" s="218">
        <v>204.9</v>
      </c>
      <c r="U245" s="273">
        <v>4.880429477794046E-3</v>
      </c>
      <c r="V245" s="218">
        <v>4.8883949249587172E-3</v>
      </c>
      <c r="W245" s="250">
        <v>8.3503092691812481E-5</v>
      </c>
      <c r="X245" s="250">
        <v>0.45231788079470198</v>
      </c>
      <c r="Z245" s="218">
        <v>237</v>
      </c>
      <c r="AA245" s="435">
        <v>0.44863870493009567</v>
      </c>
      <c r="AC245" s="435">
        <v>0.88636363636363624</v>
      </c>
    </row>
    <row r="246" spans="1:37">
      <c r="A246" s="429">
        <v>0.68001157407407409</v>
      </c>
      <c r="B246" s="218">
        <v>186.1</v>
      </c>
      <c r="C246" s="218" t="s">
        <v>314</v>
      </c>
      <c r="D246" s="218">
        <v>93.1</v>
      </c>
      <c r="E246" s="218" t="s">
        <v>315</v>
      </c>
      <c r="F246" s="218">
        <v>22.7</v>
      </c>
      <c r="G246" s="218" t="s">
        <v>316</v>
      </c>
      <c r="H246" s="218">
        <v>189</v>
      </c>
      <c r="I246" s="218">
        <f t="shared" si="9"/>
        <v>181.8</v>
      </c>
      <c r="J246" s="218">
        <f t="shared" si="10"/>
        <v>5.5005500550055E-3</v>
      </c>
      <c r="K246" s="218">
        <f t="shared" si="11"/>
        <v>4.376053368883686E-2</v>
      </c>
      <c r="L246" s="218">
        <f t="shared" si="12"/>
        <v>161.5</v>
      </c>
      <c r="M246" s="218" t="s">
        <v>323</v>
      </c>
      <c r="P246" s="218">
        <v>241</v>
      </c>
      <c r="Q246" s="218">
        <v>224.7</v>
      </c>
      <c r="R246" s="218">
        <v>270</v>
      </c>
      <c r="S246" s="218">
        <v>122</v>
      </c>
      <c r="T246" s="218">
        <v>205.56666666666669</v>
      </c>
      <c r="U246" s="273">
        <v>4.8646019134100851E-3</v>
      </c>
      <c r="V246" s="218">
        <v>4.8725156956020655E-3</v>
      </c>
      <c r="W246" s="250">
        <v>8.3231845220771821E-5</v>
      </c>
      <c r="X246" s="250">
        <v>0.45378955114054459</v>
      </c>
      <c r="Z246" s="218">
        <v>238</v>
      </c>
      <c r="AA246" s="435">
        <v>0.45011037527593822</v>
      </c>
      <c r="AC246" s="435">
        <v>0.88636363636363624</v>
      </c>
    </row>
    <row r="247" spans="1:37">
      <c r="A247" s="429">
        <v>0.68002314814814813</v>
      </c>
      <c r="B247" s="218">
        <v>185.9</v>
      </c>
      <c r="C247" s="218" t="s">
        <v>314</v>
      </c>
      <c r="D247" s="218">
        <v>93</v>
      </c>
      <c r="E247" s="218" t="s">
        <v>315</v>
      </c>
      <c r="F247" s="218">
        <v>22.7</v>
      </c>
      <c r="G247" s="218" t="s">
        <v>316</v>
      </c>
      <c r="H247" s="218">
        <v>190</v>
      </c>
      <c r="I247" s="218">
        <f t="shared" si="9"/>
        <v>186.1</v>
      </c>
      <c r="J247" s="218">
        <f t="shared" si="10"/>
        <v>5.3734551316496513E-3</v>
      </c>
      <c r="K247" s="218">
        <f t="shared" si="11"/>
        <v>4.3887628612192711E-2</v>
      </c>
      <c r="L247" s="218">
        <f t="shared" si="12"/>
        <v>165.79999999999998</v>
      </c>
      <c r="M247" s="218" t="s">
        <v>323</v>
      </c>
      <c r="P247" s="218">
        <v>242</v>
      </c>
      <c r="Q247" s="218">
        <v>226.7</v>
      </c>
      <c r="R247" s="218">
        <v>271</v>
      </c>
      <c r="S247" s="218">
        <v>122</v>
      </c>
      <c r="T247" s="218">
        <v>206.56666666666669</v>
      </c>
      <c r="U247" s="273">
        <v>4.8410521219945128E-3</v>
      </c>
      <c r="V247" s="218">
        <v>4.8528270177022985E-3</v>
      </c>
      <c r="W247" s="250">
        <v>8.2895525115526364E-5</v>
      </c>
      <c r="X247" s="250">
        <v>0.45599705665930834</v>
      </c>
      <c r="Z247" s="218">
        <v>239</v>
      </c>
      <c r="AA247" s="435">
        <v>0.45084621044885947</v>
      </c>
      <c r="AC247" s="435">
        <v>0.88636363636363624</v>
      </c>
    </row>
    <row r="248" spans="1:37">
      <c r="A248" s="429">
        <v>0.68003472222222217</v>
      </c>
      <c r="B248" s="218">
        <v>185.4</v>
      </c>
      <c r="C248" s="218" t="s">
        <v>314</v>
      </c>
      <c r="D248" s="218">
        <v>92.7</v>
      </c>
      <c r="E248" s="218" t="s">
        <v>315</v>
      </c>
      <c r="F248" s="218">
        <v>22.7</v>
      </c>
      <c r="G248" s="218" t="s">
        <v>316</v>
      </c>
      <c r="H248" s="218">
        <v>191</v>
      </c>
      <c r="I248" s="218">
        <f t="shared" si="9"/>
        <v>185.9</v>
      </c>
      <c r="J248" s="218">
        <f t="shared" si="10"/>
        <v>5.3792361484669175E-3</v>
      </c>
      <c r="K248" s="218">
        <f t="shared" si="11"/>
        <v>4.3881847595375445E-2</v>
      </c>
      <c r="L248" s="218">
        <f t="shared" si="12"/>
        <v>165.6</v>
      </c>
      <c r="M248" s="218" t="s">
        <v>323</v>
      </c>
      <c r="P248" s="218">
        <v>243</v>
      </c>
      <c r="Q248" s="218">
        <v>228.7</v>
      </c>
      <c r="R248" s="218">
        <v>271</v>
      </c>
      <c r="S248" s="218">
        <v>122</v>
      </c>
      <c r="T248" s="218">
        <v>207.23333333333335</v>
      </c>
      <c r="U248" s="273">
        <v>4.8254785266205564E-3</v>
      </c>
      <c r="V248" s="218">
        <v>4.8332653243075346E-3</v>
      </c>
      <c r="W248" s="250">
        <v>8.2561374147401467E-5</v>
      </c>
      <c r="X248" s="250">
        <v>0.4574687270051509</v>
      </c>
      <c r="Z248" s="218">
        <v>240</v>
      </c>
      <c r="AA248" s="435">
        <v>0.45231788079470198</v>
      </c>
      <c r="AC248" s="435">
        <v>0.89772727272727282</v>
      </c>
    </row>
    <row r="249" spans="1:37">
      <c r="A249" s="429">
        <v>0.68004629629629632</v>
      </c>
      <c r="B249" s="218">
        <v>185.2</v>
      </c>
      <c r="C249" s="218" t="s">
        <v>314</v>
      </c>
      <c r="D249" s="218">
        <v>92.6</v>
      </c>
      <c r="E249" s="218" t="s">
        <v>315</v>
      </c>
      <c r="F249" s="218">
        <v>22.7</v>
      </c>
      <c r="G249" s="218" t="s">
        <v>316</v>
      </c>
      <c r="H249" s="218">
        <v>192</v>
      </c>
      <c r="I249" s="218">
        <f t="shared" si="9"/>
        <v>185.4</v>
      </c>
      <c r="J249" s="218">
        <f t="shared" si="10"/>
        <v>5.3937432578209273E-3</v>
      </c>
      <c r="K249" s="218">
        <f t="shared" si="11"/>
        <v>4.3867340486021436E-2</v>
      </c>
      <c r="L249" s="218">
        <f t="shared" si="12"/>
        <v>165.1</v>
      </c>
      <c r="M249" s="218" t="s">
        <v>323</v>
      </c>
      <c r="P249" s="218">
        <v>244</v>
      </c>
      <c r="Q249" s="218">
        <v>229.7</v>
      </c>
      <c r="R249" s="218">
        <v>273</v>
      </c>
      <c r="S249" s="218">
        <v>122</v>
      </c>
      <c r="T249" s="218">
        <v>208.23333333333335</v>
      </c>
      <c r="U249" s="273">
        <v>4.802305106451096E-3</v>
      </c>
      <c r="V249" s="218">
        <v>4.8138918165358258E-3</v>
      </c>
      <c r="W249" s="250">
        <v>8.2230437748018759E-5</v>
      </c>
      <c r="X249" s="250">
        <v>0.45967623252391465</v>
      </c>
      <c r="Z249" s="218">
        <v>241</v>
      </c>
      <c r="AA249" s="435">
        <v>0.45378955114054459</v>
      </c>
      <c r="AC249" s="435">
        <v>0.89772727272727282</v>
      </c>
    </row>
    <row r="250" spans="1:37">
      <c r="A250" s="429">
        <v>0.68005787037037047</v>
      </c>
      <c r="B250" s="218">
        <v>185.1</v>
      </c>
      <c r="C250" s="218" t="s">
        <v>314</v>
      </c>
      <c r="D250" s="218">
        <v>92.6</v>
      </c>
      <c r="E250" s="218" t="s">
        <v>315</v>
      </c>
      <c r="F250" s="218">
        <v>22.7</v>
      </c>
      <c r="G250" s="218" t="s">
        <v>316</v>
      </c>
      <c r="H250" s="218">
        <v>193</v>
      </c>
      <c r="I250" s="218">
        <f t="shared" ref="I250:I313" si="13">B249</f>
        <v>185.2</v>
      </c>
      <c r="J250" s="218">
        <f t="shared" ref="J250:J313" si="14">1/I250</f>
        <v>5.399568034557236E-3</v>
      </c>
      <c r="K250" s="218">
        <f t="shared" ref="K250:K313" si="15">$J$57-J250</f>
        <v>4.386151570928512E-2</v>
      </c>
      <c r="L250" s="218">
        <f t="shared" ref="L250:L313" si="16">(B249-$J$55)</f>
        <v>164.89999999999998</v>
      </c>
      <c r="M250" s="218" t="s">
        <v>323</v>
      </c>
      <c r="P250" s="218">
        <v>245</v>
      </c>
      <c r="Q250" s="218">
        <v>229.7</v>
      </c>
      <c r="R250" s="218">
        <v>273</v>
      </c>
      <c r="S250" s="218">
        <v>126</v>
      </c>
      <c r="T250" s="218">
        <v>209.56666666666669</v>
      </c>
      <c r="U250" s="273">
        <v>4.771751232702401E-3</v>
      </c>
      <c r="V250" s="218">
        <v>4.7870281695767489E-3</v>
      </c>
      <c r="W250" s="250">
        <v>8.1771555510290613E-5</v>
      </c>
      <c r="X250" s="250">
        <v>0.46261957321559977</v>
      </c>
      <c r="Z250" s="218">
        <v>242</v>
      </c>
      <c r="AA250" s="435">
        <v>0.45599705665930834</v>
      </c>
      <c r="AC250" s="435">
        <v>0.88636363636363624</v>
      </c>
    </row>
    <row r="251" spans="1:37">
      <c r="A251" s="429">
        <v>0.68006944444444439</v>
      </c>
      <c r="B251" s="218">
        <v>191.6</v>
      </c>
      <c r="C251" s="218" t="s">
        <v>314</v>
      </c>
      <c r="D251" s="218">
        <v>95.8</v>
      </c>
      <c r="E251" s="218" t="s">
        <v>315</v>
      </c>
      <c r="F251" s="218">
        <v>22.7</v>
      </c>
      <c r="G251" s="218" t="s">
        <v>316</v>
      </c>
      <c r="H251" s="218">
        <v>194</v>
      </c>
      <c r="I251" s="218">
        <f t="shared" si="13"/>
        <v>185.1</v>
      </c>
      <c r="J251" s="218">
        <f t="shared" si="14"/>
        <v>5.4024851431658562E-3</v>
      </c>
      <c r="K251" s="218">
        <f t="shared" si="15"/>
        <v>4.3858598600676507E-2</v>
      </c>
      <c r="L251" s="218">
        <f t="shared" si="16"/>
        <v>164.79999999999998</v>
      </c>
      <c r="M251" s="218" t="s">
        <v>323</v>
      </c>
      <c r="P251" s="218">
        <v>246</v>
      </c>
      <c r="Q251" s="218">
        <v>231.7</v>
      </c>
      <c r="R251" s="218">
        <v>275</v>
      </c>
      <c r="S251" s="218">
        <v>126</v>
      </c>
      <c r="T251" s="218">
        <v>210.9</v>
      </c>
      <c r="U251" s="273">
        <v>4.7415836889521095E-3</v>
      </c>
      <c r="V251" s="218">
        <v>4.7566674608272557E-3</v>
      </c>
      <c r="W251" s="250">
        <v>8.1252936798869815E-5</v>
      </c>
      <c r="X251" s="250">
        <v>0.46556291390728477</v>
      </c>
      <c r="Z251" s="218">
        <v>243</v>
      </c>
      <c r="AA251" s="435">
        <v>0.4574687270051509</v>
      </c>
      <c r="AC251" s="435">
        <v>0.88636363636363624</v>
      </c>
    </row>
    <row r="252" spans="1:37">
      <c r="A252" s="429">
        <v>0.68008101851851854</v>
      </c>
      <c r="B252" s="218">
        <v>196.2</v>
      </c>
      <c r="C252" s="218" t="s">
        <v>314</v>
      </c>
      <c r="D252" s="218">
        <v>98.1</v>
      </c>
      <c r="E252" s="218" t="s">
        <v>315</v>
      </c>
      <c r="F252" s="218">
        <v>22.7</v>
      </c>
      <c r="G252" s="218" t="s">
        <v>316</v>
      </c>
      <c r="H252" s="218">
        <v>195</v>
      </c>
      <c r="I252" s="218">
        <f t="shared" si="13"/>
        <v>191.6</v>
      </c>
      <c r="J252" s="218">
        <f t="shared" si="14"/>
        <v>5.2192066805845511E-3</v>
      </c>
      <c r="K252" s="218">
        <f t="shared" si="15"/>
        <v>4.4041877063257809E-2</v>
      </c>
      <c r="L252" s="218">
        <f t="shared" si="16"/>
        <v>171.29999999999998</v>
      </c>
      <c r="M252" s="218" t="s">
        <v>323</v>
      </c>
      <c r="P252" s="218">
        <v>247</v>
      </c>
      <c r="Q252" s="218">
        <v>233.7</v>
      </c>
      <c r="R252" s="218">
        <v>276</v>
      </c>
      <c r="S252" s="218">
        <v>128</v>
      </c>
      <c r="T252" s="218">
        <v>212.56666666666669</v>
      </c>
      <c r="U252" s="273">
        <v>4.7044064607182053E-3</v>
      </c>
      <c r="V252" s="218">
        <v>4.7229950748351578E-3</v>
      </c>
      <c r="W252" s="250">
        <v>8.0677748334800214E-5</v>
      </c>
      <c r="X252" s="250">
        <v>0.46924208977189114</v>
      </c>
      <c r="Z252" s="218">
        <v>244</v>
      </c>
      <c r="AA252" s="435">
        <v>0.45967623252391465</v>
      </c>
      <c r="AC252" s="435">
        <v>0.89772727272727237</v>
      </c>
    </row>
    <row r="253" spans="1:37">
      <c r="A253" s="429">
        <v>0.68009259259259258</v>
      </c>
      <c r="B253" s="218">
        <v>196</v>
      </c>
      <c r="C253" s="218" t="s">
        <v>314</v>
      </c>
      <c r="D253" s="218">
        <v>98</v>
      </c>
      <c r="E253" s="218" t="s">
        <v>315</v>
      </c>
      <c r="F253" s="218">
        <v>22.7</v>
      </c>
      <c r="G253" s="218" t="s">
        <v>316</v>
      </c>
      <c r="H253" s="218">
        <v>196</v>
      </c>
      <c r="I253" s="218">
        <f t="shared" si="13"/>
        <v>196.2</v>
      </c>
      <c r="J253" s="218">
        <f t="shared" si="14"/>
        <v>5.0968399592252805E-3</v>
      </c>
      <c r="K253" s="218">
        <f t="shared" si="15"/>
        <v>4.4164243784617079E-2</v>
      </c>
      <c r="L253" s="218">
        <f t="shared" si="16"/>
        <v>175.89999999999998</v>
      </c>
      <c r="M253" s="218" t="s">
        <v>323</v>
      </c>
      <c r="P253" s="218">
        <v>248</v>
      </c>
      <c r="Q253" s="218">
        <v>231.7</v>
      </c>
      <c r="R253" s="218">
        <v>277</v>
      </c>
      <c r="S253" s="218">
        <v>128</v>
      </c>
      <c r="T253" s="218">
        <v>212.23333333333335</v>
      </c>
      <c r="U253" s="273">
        <v>4.7117951939689021E-3</v>
      </c>
      <c r="V253" s="218">
        <v>4.7081008273435537E-3</v>
      </c>
      <c r="W253" s="250">
        <v>8.0423326229393772E-5</v>
      </c>
      <c r="X253" s="250">
        <v>0.46850625459896988</v>
      </c>
      <c r="Z253" s="218">
        <v>245</v>
      </c>
      <c r="AA253" s="435">
        <v>0.46261957321559977</v>
      </c>
      <c r="AC253" s="435">
        <v>0.89772727272727237</v>
      </c>
    </row>
    <row r="254" spans="1:37">
      <c r="A254" s="429">
        <v>0.68010416666666673</v>
      </c>
      <c r="B254" s="218">
        <v>195.9</v>
      </c>
      <c r="C254" s="218" t="s">
        <v>314</v>
      </c>
      <c r="D254" s="218">
        <v>98</v>
      </c>
      <c r="E254" s="218" t="s">
        <v>315</v>
      </c>
      <c r="F254" s="218">
        <v>22.7</v>
      </c>
      <c r="G254" s="218" t="s">
        <v>316</v>
      </c>
      <c r="H254" s="218">
        <v>197</v>
      </c>
      <c r="I254" s="218">
        <f t="shared" si="13"/>
        <v>196</v>
      </c>
      <c r="J254" s="218">
        <f t="shared" si="14"/>
        <v>5.1020408163265302E-3</v>
      </c>
      <c r="K254" s="218">
        <f t="shared" si="15"/>
        <v>4.4159042927515831E-2</v>
      </c>
      <c r="L254" s="218">
        <f t="shared" si="16"/>
        <v>175.7</v>
      </c>
      <c r="M254" s="218" t="s">
        <v>323</v>
      </c>
      <c r="P254" s="218">
        <v>249</v>
      </c>
      <c r="Q254" s="218">
        <v>233.7</v>
      </c>
      <c r="R254" s="218">
        <v>278</v>
      </c>
      <c r="S254" s="218">
        <v>132</v>
      </c>
      <c r="T254" s="218">
        <v>214.56666666666669</v>
      </c>
      <c r="U254" s="273">
        <v>4.6605561597017238E-3</v>
      </c>
      <c r="V254" s="218">
        <v>4.6861756768353125E-3</v>
      </c>
      <c r="W254" s="250">
        <v>8.0048802913811396E-5</v>
      </c>
      <c r="X254" s="250">
        <v>0.47365710080941875</v>
      </c>
      <c r="Z254" s="218">
        <v>246</v>
      </c>
      <c r="AA254" s="435">
        <v>0.46556291390728477</v>
      </c>
      <c r="AC254" s="435">
        <v>0.89772727272727282</v>
      </c>
    </row>
    <row r="255" spans="1:37">
      <c r="A255" s="429">
        <v>0.68011574074074066</v>
      </c>
      <c r="B255" s="218">
        <v>195.9</v>
      </c>
      <c r="C255" s="218" t="s">
        <v>314</v>
      </c>
      <c r="D255" s="218">
        <v>98</v>
      </c>
      <c r="E255" s="218" t="s">
        <v>315</v>
      </c>
      <c r="F255" s="218">
        <v>22.7</v>
      </c>
      <c r="G255" s="218" t="s">
        <v>316</v>
      </c>
      <c r="H255" s="218">
        <v>198</v>
      </c>
      <c r="I255" s="218">
        <f t="shared" si="13"/>
        <v>195.9</v>
      </c>
      <c r="J255" s="218">
        <f t="shared" si="14"/>
        <v>5.1046452271567124E-3</v>
      </c>
      <c r="K255" s="218">
        <f t="shared" si="15"/>
        <v>4.4156438516685645E-2</v>
      </c>
      <c r="L255" s="218">
        <f t="shared" si="16"/>
        <v>175.6</v>
      </c>
      <c r="M255" s="218" t="s">
        <v>323</v>
      </c>
      <c r="P255" s="218">
        <v>250</v>
      </c>
      <c r="Q255" s="218">
        <v>233.7</v>
      </c>
      <c r="R255" s="218">
        <v>280</v>
      </c>
      <c r="S255" s="218">
        <v>132</v>
      </c>
      <c r="T255" s="218">
        <v>215.23333333333335</v>
      </c>
      <c r="U255" s="273">
        <v>4.6461204893913583E-3</v>
      </c>
      <c r="V255" s="218">
        <v>4.6533383245465406E-3</v>
      </c>
      <c r="W255" s="250">
        <v>7.9487878415276491E-5</v>
      </c>
      <c r="X255" s="250">
        <v>0.47512877115526125</v>
      </c>
      <c r="Z255" s="218">
        <v>247</v>
      </c>
      <c r="AA255" s="435">
        <v>0.46924208977189114</v>
      </c>
      <c r="AC255" s="435">
        <v>0.97727272727272774</v>
      </c>
    </row>
    <row r="256" spans="1:37">
      <c r="A256" s="429">
        <v>0.68012731481481481</v>
      </c>
      <c r="B256" s="218">
        <v>195.1</v>
      </c>
      <c r="C256" s="218" t="s">
        <v>314</v>
      </c>
      <c r="D256" s="218">
        <v>97.6</v>
      </c>
      <c r="E256" s="218" t="s">
        <v>315</v>
      </c>
      <c r="F256" s="218">
        <v>22.7</v>
      </c>
      <c r="G256" s="218" t="s">
        <v>316</v>
      </c>
      <c r="H256" s="218">
        <v>199</v>
      </c>
      <c r="I256" s="218">
        <f t="shared" si="13"/>
        <v>195.9</v>
      </c>
      <c r="J256" s="218">
        <f t="shared" si="14"/>
        <v>5.1046452271567124E-3</v>
      </c>
      <c r="K256" s="218">
        <f t="shared" si="15"/>
        <v>4.4156438516685645E-2</v>
      </c>
      <c r="L256" s="218">
        <f t="shared" si="16"/>
        <v>175.6</v>
      </c>
      <c r="M256" s="218" t="s">
        <v>323</v>
      </c>
      <c r="P256" s="218">
        <v>251</v>
      </c>
      <c r="Q256" s="218">
        <v>234.7</v>
      </c>
      <c r="R256" s="218">
        <v>281</v>
      </c>
      <c r="S256" s="218">
        <v>133</v>
      </c>
      <c r="T256" s="218">
        <v>216.23333333333335</v>
      </c>
      <c r="U256" s="273">
        <v>4.6246338831509165E-3</v>
      </c>
      <c r="V256" s="218">
        <v>4.635377186271137E-3</v>
      </c>
      <c r="W256" s="250">
        <v>7.9181067976004518E-5</v>
      </c>
      <c r="X256" s="250">
        <v>0.47733627667402506</v>
      </c>
      <c r="Z256" s="218">
        <v>248</v>
      </c>
      <c r="AA256" s="435">
        <v>0.46850625459896988</v>
      </c>
      <c r="AC256" s="435">
        <v>0.97727272727272774</v>
      </c>
    </row>
    <row r="257" spans="1:29">
      <c r="A257" s="429">
        <v>0.68013888888888896</v>
      </c>
      <c r="B257" s="218">
        <v>195.8</v>
      </c>
      <c r="C257" s="218" t="s">
        <v>314</v>
      </c>
      <c r="D257" s="218">
        <v>97.9</v>
      </c>
      <c r="E257" s="218" t="s">
        <v>315</v>
      </c>
      <c r="F257" s="218">
        <v>22.7</v>
      </c>
      <c r="G257" s="218" t="s">
        <v>316</v>
      </c>
      <c r="H257" s="218">
        <v>200</v>
      </c>
      <c r="I257" s="218">
        <f t="shared" si="13"/>
        <v>195.1</v>
      </c>
      <c r="J257" s="218">
        <f t="shared" si="14"/>
        <v>5.1255766273705797E-3</v>
      </c>
      <c r="K257" s="218">
        <f t="shared" si="15"/>
        <v>4.4135507116471781E-2</v>
      </c>
      <c r="L257" s="218">
        <f t="shared" si="16"/>
        <v>174.79999999999998</v>
      </c>
      <c r="M257" s="218" t="s">
        <v>323</v>
      </c>
      <c r="P257" s="218">
        <v>252</v>
      </c>
      <c r="Q257" s="218">
        <v>234.7</v>
      </c>
      <c r="R257" s="218">
        <v>283</v>
      </c>
      <c r="S257" s="218">
        <v>133</v>
      </c>
      <c r="T257" s="218">
        <v>216.9</v>
      </c>
      <c r="U257" s="273">
        <v>4.6104195481788844E-3</v>
      </c>
      <c r="V257" s="218">
        <v>4.6175267156649009E-3</v>
      </c>
      <c r="W257" s="250">
        <v>7.8876147951230201E-5</v>
      </c>
      <c r="X257" s="250">
        <v>0.47880794701986756</v>
      </c>
      <c r="Z257" s="218">
        <v>249</v>
      </c>
      <c r="AA257" s="435">
        <v>0.47365710080941875</v>
      </c>
      <c r="AC257" s="435">
        <v>1</v>
      </c>
    </row>
    <row r="258" spans="1:29">
      <c r="A258" s="429">
        <v>0.680150462962963</v>
      </c>
      <c r="B258" s="218">
        <v>199.8</v>
      </c>
      <c r="C258" s="218" t="s">
        <v>314</v>
      </c>
      <c r="D258" s="218">
        <v>99.9</v>
      </c>
      <c r="E258" s="218" t="s">
        <v>315</v>
      </c>
      <c r="F258" s="218">
        <v>22.7</v>
      </c>
      <c r="G258" s="218" t="s">
        <v>316</v>
      </c>
      <c r="H258" s="218">
        <v>201</v>
      </c>
      <c r="I258" s="218">
        <f t="shared" si="13"/>
        <v>195.8</v>
      </c>
      <c r="J258" s="218">
        <f t="shared" si="14"/>
        <v>5.1072522982635342E-3</v>
      </c>
      <c r="K258" s="218">
        <f t="shared" si="15"/>
        <v>4.4153831445578828E-2</v>
      </c>
      <c r="L258" s="218">
        <f t="shared" si="16"/>
        <v>175.5</v>
      </c>
      <c r="M258" s="218" t="s">
        <v>323</v>
      </c>
      <c r="P258" s="218">
        <v>253</v>
      </c>
      <c r="Q258" s="218">
        <v>236.7</v>
      </c>
      <c r="R258" s="218">
        <v>283</v>
      </c>
      <c r="S258" s="218">
        <v>134</v>
      </c>
      <c r="T258" s="218">
        <v>217.9</v>
      </c>
      <c r="U258" s="273">
        <v>4.5892611289582372E-3</v>
      </c>
      <c r="V258" s="218">
        <v>4.5998403385685612E-3</v>
      </c>
      <c r="W258" s="250">
        <v>7.8574030956034594E-5</v>
      </c>
      <c r="X258" s="250">
        <v>0.48101545253863137</v>
      </c>
      <c r="Z258" s="218">
        <v>250</v>
      </c>
      <c r="AA258" s="435">
        <v>0.47512877115526125</v>
      </c>
      <c r="AC258" s="435">
        <v>1</v>
      </c>
    </row>
    <row r="259" spans="1:29">
      <c r="A259" s="429">
        <v>0.68016203703703704</v>
      </c>
      <c r="B259" s="218">
        <v>199.9</v>
      </c>
      <c r="C259" s="218" t="s">
        <v>314</v>
      </c>
      <c r="D259" s="218">
        <v>100</v>
      </c>
      <c r="E259" s="218" t="s">
        <v>315</v>
      </c>
      <c r="F259" s="218">
        <v>22.7</v>
      </c>
      <c r="G259" s="218" t="s">
        <v>316</v>
      </c>
      <c r="H259" s="218">
        <v>202</v>
      </c>
      <c r="I259" s="218">
        <f t="shared" si="13"/>
        <v>199.8</v>
      </c>
      <c r="J259" s="218">
        <f t="shared" si="14"/>
        <v>5.005005005005005E-3</v>
      </c>
      <c r="K259" s="218">
        <f t="shared" si="15"/>
        <v>4.4256078738837357E-2</v>
      </c>
      <c r="L259" s="218">
        <f t="shared" si="16"/>
        <v>179.5</v>
      </c>
      <c r="M259" s="218" t="s">
        <v>323</v>
      </c>
      <c r="P259" s="218">
        <v>254</v>
      </c>
      <c r="Q259" s="218">
        <v>236.7</v>
      </c>
      <c r="R259" s="218">
        <v>286</v>
      </c>
      <c r="S259" s="218">
        <v>134</v>
      </c>
      <c r="T259" s="218">
        <v>218.9</v>
      </c>
      <c r="U259" s="273">
        <v>4.5682960255824575E-3</v>
      </c>
      <c r="V259" s="218">
        <v>4.5787785772703473E-3</v>
      </c>
      <c r="W259" s="250">
        <v>7.8214255972029509E-5</v>
      </c>
      <c r="X259" s="250">
        <v>0.48322295805739518</v>
      </c>
      <c r="Z259" s="218">
        <v>251</v>
      </c>
      <c r="AA259" s="435">
        <v>0.47733627667402506</v>
      </c>
      <c r="AC259" s="435">
        <v>1</v>
      </c>
    </row>
    <row r="260" spans="1:29">
      <c r="A260" s="429">
        <v>0.68017361111111108</v>
      </c>
      <c r="B260" s="218">
        <v>206</v>
      </c>
      <c r="C260" s="218" t="s">
        <v>314</v>
      </c>
      <c r="D260" s="218">
        <v>103</v>
      </c>
      <c r="E260" s="218" t="s">
        <v>315</v>
      </c>
      <c r="F260" s="218">
        <v>22.7</v>
      </c>
      <c r="G260" s="218" t="s">
        <v>316</v>
      </c>
      <c r="H260" s="218">
        <v>203</v>
      </c>
      <c r="I260" s="218">
        <f t="shared" si="13"/>
        <v>199.9</v>
      </c>
      <c r="J260" s="218">
        <f t="shared" si="14"/>
        <v>5.0025012506253125E-3</v>
      </c>
      <c r="K260" s="218">
        <f t="shared" si="15"/>
        <v>4.4258582493217048E-2</v>
      </c>
      <c r="L260" s="218">
        <f t="shared" si="16"/>
        <v>179.6</v>
      </c>
      <c r="M260" s="218" t="s">
        <v>323</v>
      </c>
      <c r="P260" s="218">
        <v>255</v>
      </c>
      <c r="Q260" s="218">
        <v>237.7</v>
      </c>
      <c r="R260" s="218">
        <v>284</v>
      </c>
      <c r="S260" s="218">
        <v>134</v>
      </c>
      <c r="T260" s="218">
        <v>218.56666666666669</v>
      </c>
      <c r="U260" s="273">
        <v>4.5752630776269634E-3</v>
      </c>
      <c r="V260" s="218">
        <v>4.5717795516047105E-3</v>
      </c>
      <c r="W260" s="250">
        <v>7.8094699287702289E-5</v>
      </c>
      <c r="X260" s="250">
        <v>0.48248712288447393</v>
      </c>
      <c r="Z260" s="218">
        <v>252</v>
      </c>
      <c r="AA260" s="435">
        <v>0.47880794701986756</v>
      </c>
      <c r="AC260" s="435">
        <v>0.97727272727272774</v>
      </c>
    </row>
    <row r="261" spans="1:29">
      <c r="A261" s="429">
        <v>0.68018518518518523</v>
      </c>
      <c r="B261" s="218">
        <v>207</v>
      </c>
      <c r="C261" s="218" t="s">
        <v>314</v>
      </c>
      <c r="D261" s="218">
        <v>104</v>
      </c>
      <c r="E261" s="218" t="s">
        <v>315</v>
      </c>
      <c r="F261" s="218">
        <v>22.7</v>
      </c>
      <c r="G261" s="218" t="s">
        <v>316</v>
      </c>
      <c r="H261" s="218">
        <v>204</v>
      </c>
      <c r="I261" s="218">
        <f t="shared" si="13"/>
        <v>206</v>
      </c>
      <c r="J261" s="218">
        <f t="shared" si="14"/>
        <v>4.8543689320388345E-3</v>
      </c>
      <c r="K261" s="218">
        <f t="shared" si="15"/>
        <v>4.4406714811803527E-2</v>
      </c>
      <c r="L261" s="218">
        <f t="shared" si="16"/>
        <v>185.7</v>
      </c>
      <c r="M261" s="218" t="s">
        <v>323</v>
      </c>
      <c r="P261" s="218">
        <v>256</v>
      </c>
      <c r="Q261" s="218">
        <v>240.7</v>
      </c>
      <c r="R261" s="218">
        <v>286</v>
      </c>
      <c r="S261" s="218">
        <v>134</v>
      </c>
      <c r="T261" s="218">
        <v>220.23333333333335</v>
      </c>
      <c r="U261" s="273">
        <v>4.5406387165127888E-3</v>
      </c>
      <c r="V261" s="218">
        <v>4.5579508970698766E-3</v>
      </c>
      <c r="W261" s="250">
        <v>7.785847953885803E-5</v>
      </c>
      <c r="X261" s="250">
        <v>0.48616629874908024</v>
      </c>
      <c r="Z261" s="218">
        <v>253</v>
      </c>
      <c r="AA261" s="435">
        <v>0.48101545253863137</v>
      </c>
      <c r="AC261" s="435">
        <v>0.97727272727272774</v>
      </c>
    </row>
    <row r="262" spans="1:29">
      <c r="A262" s="429">
        <v>0.68019675925925915</v>
      </c>
      <c r="B262" s="218">
        <v>208</v>
      </c>
      <c r="C262" s="218" t="s">
        <v>314</v>
      </c>
      <c r="D262" s="218">
        <v>104</v>
      </c>
      <c r="E262" s="218" t="s">
        <v>315</v>
      </c>
      <c r="F262" s="218">
        <v>22.7</v>
      </c>
      <c r="G262" s="218" t="s">
        <v>316</v>
      </c>
      <c r="H262" s="218">
        <v>205</v>
      </c>
      <c r="I262" s="218">
        <f t="shared" si="13"/>
        <v>207</v>
      </c>
      <c r="J262" s="218">
        <f t="shared" si="14"/>
        <v>4.830917874396135E-3</v>
      </c>
      <c r="K262" s="218">
        <f t="shared" si="15"/>
        <v>4.4430165869446224E-2</v>
      </c>
      <c r="L262" s="218">
        <f t="shared" si="16"/>
        <v>186.7</v>
      </c>
      <c r="M262" s="218" t="s">
        <v>323</v>
      </c>
      <c r="P262" s="218">
        <v>257</v>
      </c>
      <c r="Q262" s="218">
        <v>239.7</v>
      </c>
      <c r="R262" s="218">
        <v>284</v>
      </c>
      <c r="S262" s="218">
        <v>132</v>
      </c>
      <c r="T262" s="218">
        <v>218.56666666666669</v>
      </c>
      <c r="U262" s="273">
        <v>4.5752630776269634E-3</v>
      </c>
      <c r="V262" s="218">
        <v>4.5579508970698766E-3</v>
      </c>
      <c r="W262" s="250">
        <v>7.785847953885803E-5</v>
      </c>
      <c r="X262" s="250">
        <v>0.48248712288447393</v>
      </c>
      <c r="Z262" s="218">
        <v>254</v>
      </c>
      <c r="AA262" s="435">
        <v>0.48322295805739518</v>
      </c>
      <c r="AC262" s="435">
        <v>0.97727272727272774</v>
      </c>
    </row>
    <row r="263" spans="1:29">
      <c r="A263" s="429">
        <v>0.6802083333333333</v>
      </c>
      <c r="B263" s="218">
        <v>209</v>
      </c>
      <c r="C263" s="218" t="s">
        <v>314</v>
      </c>
      <c r="D263" s="218">
        <v>105</v>
      </c>
      <c r="E263" s="218" t="s">
        <v>315</v>
      </c>
      <c r="F263" s="218">
        <v>22.7</v>
      </c>
      <c r="G263" s="218" t="s">
        <v>316</v>
      </c>
      <c r="H263" s="218">
        <v>206</v>
      </c>
      <c r="I263" s="218">
        <f t="shared" si="13"/>
        <v>208</v>
      </c>
      <c r="J263" s="218">
        <f t="shared" si="14"/>
        <v>4.807692307692308E-3</v>
      </c>
      <c r="K263" s="218">
        <f t="shared" si="15"/>
        <v>4.4453391436150055E-2</v>
      </c>
      <c r="L263" s="218">
        <f t="shared" si="16"/>
        <v>187.7</v>
      </c>
      <c r="M263" s="218" t="s">
        <v>323</v>
      </c>
      <c r="P263" s="218">
        <v>258</v>
      </c>
      <c r="Q263" s="218">
        <v>242.7</v>
      </c>
      <c r="R263" s="218">
        <v>286</v>
      </c>
      <c r="S263" s="218">
        <v>132</v>
      </c>
      <c r="T263" s="218">
        <v>220.23333333333335</v>
      </c>
      <c r="U263" s="273">
        <v>4.5406387165127888E-3</v>
      </c>
      <c r="V263" s="218">
        <v>4.5579508970698766E-3</v>
      </c>
      <c r="W263" s="250">
        <v>7.785847953885803E-5</v>
      </c>
      <c r="X263" s="250">
        <v>0.48616629874908024</v>
      </c>
      <c r="Z263" s="218">
        <v>255</v>
      </c>
      <c r="AA263" s="435">
        <v>0.48248712288447393</v>
      </c>
      <c r="AC263" s="435">
        <v>1</v>
      </c>
    </row>
    <row r="264" spans="1:29">
      <c r="A264" s="429">
        <v>0.68021990740740745</v>
      </c>
      <c r="B264" s="218">
        <v>212</v>
      </c>
      <c r="C264" s="218" t="s">
        <v>314</v>
      </c>
      <c r="D264" s="218">
        <v>106</v>
      </c>
      <c r="E264" s="218" t="s">
        <v>315</v>
      </c>
      <c r="F264" s="218">
        <v>22.7</v>
      </c>
      <c r="G264" s="218" t="s">
        <v>316</v>
      </c>
      <c r="H264" s="218">
        <v>207</v>
      </c>
      <c r="I264" s="218">
        <f t="shared" si="13"/>
        <v>209</v>
      </c>
      <c r="J264" s="218">
        <f t="shared" si="14"/>
        <v>4.7846889952153108E-3</v>
      </c>
      <c r="K264" s="218">
        <f t="shared" si="15"/>
        <v>4.4476394748627052E-2</v>
      </c>
      <c r="L264" s="218">
        <f t="shared" si="16"/>
        <v>188.7</v>
      </c>
      <c r="M264" s="218" t="s">
        <v>323</v>
      </c>
      <c r="P264" s="218">
        <v>259</v>
      </c>
      <c r="Q264" s="218">
        <v>242.7</v>
      </c>
      <c r="R264" s="218">
        <v>287</v>
      </c>
      <c r="S264" s="218">
        <v>136</v>
      </c>
      <c r="T264" s="218">
        <v>221.9</v>
      </c>
      <c r="U264" s="273">
        <v>4.5065344749887336E-3</v>
      </c>
      <c r="V264" s="218">
        <v>4.5235865957507608E-3</v>
      </c>
      <c r="W264" s="250">
        <v>7.7271471843614649E-5</v>
      </c>
      <c r="X264" s="250">
        <v>0.48984547461368655</v>
      </c>
      <c r="Z264" s="218">
        <v>256</v>
      </c>
      <c r="AA264" s="435">
        <v>0.48616629874908024</v>
      </c>
      <c r="AC264" s="435">
        <v>1</v>
      </c>
    </row>
    <row r="265" spans="1:29">
      <c r="A265" s="429">
        <v>0.68023148148148149</v>
      </c>
      <c r="B265" s="218">
        <v>212</v>
      </c>
      <c r="C265" s="218" t="s">
        <v>314</v>
      </c>
      <c r="D265" s="218">
        <v>106</v>
      </c>
      <c r="E265" s="218" t="s">
        <v>315</v>
      </c>
      <c r="F265" s="218">
        <v>22.7</v>
      </c>
      <c r="G265" s="218" t="s">
        <v>316</v>
      </c>
      <c r="H265" s="218">
        <v>208</v>
      </c>
      <c r="I265" s="218">
        <f t="shared" si="13"/>
        <v>212</v>
      </c>
      <c r="J265" s="218">
        <f t="shared" si="14"/>
        <v>4.7169811320754715E-3</v>
      </c>
      <c r="K265" s="218">
        <f t="shared" si="15"/>
        <v>4.4544102611766889E-2</v>
      </c>
      <c r="L265" s="218">
        <f t="shared" si="16"/>
        <v>191.7</v>
      </c>
      <c r="M265" s="218" t="s">
        <v>323</v>
      </c>
      <c r="P265" s="218">
        <v>260</v>
      </c>
      <c r="Q265" s="218">
        <v>244.7</v>
      </c>
      <c r="R265" s="218">
        <v>290</v>
      </c>
      <c r="S265" s="218">
        <v>136</v>
      </c>
      <c r="T265" s="218">
        <v>223.56666666666669</v>
      </c>
      <c r="U265" s="273">
        <v>4.4729387207395254E-3</v>
      </c>
      <c r="V265" s="218">
        <v>4.4897365978641291E-3</v>
      </c>
      <c r="W265" s="250">
        <v>7.669324943021809E-5</v>
      </c>
      <c r="X265" s="250">
        <v>0.49352465047829291</v>
      </c>
      <c r="Z265" s="218">
        <v>257</v>
      </c>
      <c r="AA265" s="435">
        <v>0.48248712288447393</v>
      </c>
      <c r="AC265" s="435">
        <v>1</v>
      </c>
    </row>
    <row r="266" spans="1:29">
      <c r="A266" s="429">
        <v>0.68024305555555553</v>
      </c>
      <c r="B266" s="218">
        <v>215</v>
      </c>
      <c r="C266" s="218" t="s">
        <v>314</v>
      </c>
      <c r="D266" s="218">
        <v>108</v>
      </c>
      <c r="E266" s="218" t="s">
        <v>315</v>
      </c>
      <c r="F266" s="218">
        <v>22.7</v>
      </c>
      <c r="G266" s="218" t="s">
        <v>316</v>
      </c>
      <c r="H266" s="218">
        <v>209</v>
      </c>
      <c r="I266" s="218">
        <f t="shared" si="13"/>
        <v>212</v>
      </c>
      <c r="J266" s="218">
        <f t="shared" si="14"/>
        <v>4.7169811320754715E-3</v>
      </c>
      <c r="K266" s="218">
        <f t="shared" si="15"/>
        <v>4.4544102611766889E-2</v>
      </c>
      <c r="L266" s="218">
        <f t="shared" si="16"/>
        <v>191.7</v>
      </c>
      <c r="M266" s="218" t="s">
        <v>323</v>
      </c>
      <c r="P266" s="218">
        <v>261</v>
      </c>
      <c r="Q266" s="218">
        <v>244.7</v>
      </c>
      <c r="R266" s="218">
        <v>290</v>
      </c>
      <c r="S266" s="218">
        <v>138</v>
      </c>
      <c r="T266" s="218">
        <v>224.23333333333335</v>
      </c>
      <c r="U266" s="273">
        <v>4.4596402556860409E-3</v>
      </c>
      <c r="V266" s="218">
        <v>4.4662894882127827E-3</v>
      </c>
      <c r="W266" s="250">
        <v>7.6292728154701879E-5</v>
      </c>
      <c r="X266" s="250">
        <v>0.49499632082413542</v>
      </c>
      <c r="Z266" s="218">
        <v>258</v>
      </c>
      <c r="AA266" s="435">
        <v>0.48616629874908024</v>
      </c>
      <c r="AC266" s="435">
        <v>0.97727272727272774</v>
      </c>
    </row>
    <row r="267" spans="1:29">
      <c r="A267" s="429">
        <v>0.68025462962962957</v>
      </c>
      <c r="B267" s="218">
        <v>217</v>
      </c>
      <c r="C267" s="218" t="s">
        <v>314</v>
      </c>
      <c r="D267" s="218">
        <v>109</v>
      </c>
      <c r="E267" s="218" t="s">
        <v>315</v>
      </c>
      <c r="F267" s="218">
        <v>22.7</v>
      </c>
      <c r="G267" s="218" t="s">
        <v>316</v>
      </c>
      <c r="H267" s="218">
        <v>210</v>
      </c>
      <c r="I267" s="218">
        <f t="shared" si="13"/>
        <v>215</v>
      </c>
      <c r="J267" s="218">
        <f t="shared" si="14"/>
        <v>4.6511627906976744E-3</v>
      </c>
      <c r="K267" s="218">
        <f t="shared" si="15"/>
        <v>4.4609920953144686E-2</v>
      </c>
      <c r="L267" s="218">
        <f t="shared" si="16"/>
        <v>194.7</v>
      </c>
      <c r="M267" s="218" t="s">
        <v>323</v>
      </c>
      <c r="P267" s="218">
        <v>262</v>
      </c>
      <c r="Q267" s="218">
        <v>245.7</v>
      </c>
      <c r="R267" s="218">
        <v>292</v>
      </c>
      <c r="S267" s="218">
        <v>138</v>
      </c>
      <c r="T267" s="218">
        <v>225.23333333333335</v>
      </c>
      <c r="U267" s="273">
        <v>4.4398401657540325E-3</v>
      </c>
      <c r="V267" s="218">
        <v>4.4497402107200367E-3</v>
      </c>
      <c r="W267" s="250">
        <v>7.6010034985742953E-5</v>
      </c>
      <c r="X267" s="250">
        <v>0.49720382634289922</v>
      </c>
      <c r="Z267" s="218">
        <v>259</v>
      </c>
      <c r="AA267" s="435">
        <v>0.48984547461368655</v>
      </c>
      <c r="AC267" s="435">
        <v>0.97727272727272774</v>
      </c>
    </row>
    <row r="268" spans="1:29">
      <c r="A268" s="429">
        <v>0.68026620370370372</v>
      </c>
      <c r="B268" s="218">
        <v>218</v>
      </c>
      <c r="C268" s="218" t="s">
        <v>314</v>
      </c>
      <c r="D268" s="218">
        <v>109</v>
      </c>
      <c r="E268" s="218" t="s">
        <v>315</v>
      </c>
      <c r="F268" s="218">
        <v>22.7</v>
      </c>
      <c r="G268" s="218" t="s">
        <v>316</v>
      </c>
      <c r="H268" s="218">
        <v>211</v>
      </c>
      <c r="I268" s="218">
        <f t="shared" si="13"/>
        <v>217</v>
      </c>
      <c r="J268" s="218">
        <f t="shared" si="14"/>
        <v>4.608294930875576E-3</v>
      </c>
      <c r="K268" s="218">
        <f t="shared" si="15"/>
        <v>4.4652788812966783E-2</v>
      </c>
      <c r="L268" s="218">
        <f t="shared" si="16"/>
        <v>196.7</v>
      </c>
      <c r="M268" s="218" t="s">
        <v>323</v>
      </c>
      <c r="P268" s="218">
        <v>263</v>
      </c>
      <c r="Q268" s="218">
        <v>246.7</v>
      </c>
      <c r="R268" s="218">
        <v>293</v>
      </c>
      <c r="S268" s="218">
        <v>140</v>
      </c>
      <c r="T268" s="218">
        <v>226.56666666666669</v>
      </c>
      <c r="U268" s="273">
        <v>4.4137119317345886E-3</v>
      </c>
      <c r="V268" s="218">
        <v>4.426776048744311E-3</v>
      </c>
      <c r="W268" s="250">
        <v>7.5617763376045825E-5</v>
      </c>
      <c r="X268" s="250">
        <v>0.50014716703458428</v>
      </c>
      <c r="Z268" s="218">
        <v>260</v>
      </c>
      <c r="AA268" s="435">
        <v>0.49352465047829291</v>
      </c>
      <c r="AC268" s="435">
        <v>1</v>
      </c>
    </row>
    <row r="269" spans="1:29">
      <c r="A269" s="429">
        <v>0.68027777777777787</v>
      </c>
      <c r="B269" s="218">
        <v>217</v>
      </c>
      <c r="C269" s="218" t="s">
        <v>314</v>
      </c>
      <c r="D269" s="218">
        <v>109</v>
      </c>
      <c r="E269" s="218" t="s">
        <v>315</v>
      </c>
      <c r="F269" s="218">
        <v>22.7</v>
      </c>
      <c r="G269" s="218" t="s">
        <v>316</v>
      </c>
      <c r="H269" s="218">
        <v>212</v>
      </c>
      <c r="I269" s="218">
        <f t="shared" si="13"/>
        <v>218</v>
      </c>
      <c r="J269" s="218">
        <f t="shared" si="14"/>
        <v>4.5871559633027525E-3</v>
      </c>
      <c r="K269" s="218">
        <f t="shared" si="15"/>
        <v>4.4673927780539607E-2</v>
      </c>
      <c r="L269" s="218">
        <f t="shared" si="16"/>
        <v>197.7</v>
      </c>
      <c r="M269" s="218" t="s">
        <v>323</v>
      </c>
      <c r="P269" s="218">
        <v>264</v>
      </c>
      <c r="Q269" s="218">
        <v>245.7</v>
      </c>
      <c r="R269" s="218">
        <v>293</v>
      </c>
      <c r="S269" s="218">
        <v>140</v>
      </c>
      <c r="T269" s="218">
        <v>226.23333333333335</v>
      </c>
      <c r="U269" s="273">
        <v>4.4202151171357004E-3</v>
      </c>
      <c r="V269" s="218">
        <v>4.4169635244351441E-3</v>
      </c>
      <c r="W269" s="250">
        <v>7.5450146778060766E-5</v>
      </c>
      <c r="X269" s="250">
        <v>0.49941133186166303</v>
      </c>
      <c r="Z269" s="218">
        <v>261</v>
      </c>
      <c r="AA269" s="435">
        <v>0.49499632082413542</v>
      </c>
      <c r="AC269" s="435">
        <v>1</v>
      </c>
    </row>
    <row r="270" spans="1:29">
      <c r="A270" s="429">
        <v>0.6802893518518518</v>
      </c>
      <c r="B270" s="218">
        <v>219</v>
      </c>
      <c r="C270" s="218" t="s">
        <v>314</v>
      </c>
      <c r="D270" s="218">
        <v>110</v>
      </c>
      <c r="E270" s="218" t="s">
        <v>315</v>
      </c>
      <c r="F270" s="218">
        <v>22.7</v>
      </c>
      <c r="G270" s="218" t="s">
        <v>316</v>
      </c>
      <c r="H270" s="218">
        <v>213</v>
      </c>
      <c r="I270" s="218">
        <f t="shared" si="13"/>
        <v>217</v>
      </c>
      <c r="J270" s="218">
        <f t="shared" si="14"/>
        <v>4.608294930875576E-3</v>
      </c>
      <c r="K270" s="218">
        <f t="shared" si="15"/>
        <v>4.4652788812966783E-2</v>
      </c>
      <c r="L270" s="218">
        <f t="shared" si="16"/>
        <v>196.7</v>
      </c>
      <c r="M270" s="218" t="s">
        <v>323</v>
      </c>
      <c r="P270" s="218">
        <v>265</v>
      </c>
      <c r="Q270" s="218">
        <v>247.7</v>
      </c>
      <c r="R270" s="218">
        <v>295</v>
      </c>
      <c r="S270" s="218">
        <v>142</v>
      </c>
      <c r="T270" s="218">
        <v>228.23333333333335</v>
      </c>
      <c r="U270" s="273">
        <v>4.3814809405579086E-3</v>
      </c>
      <c r="V270" s="218">
        <v>4.400848028846804E-3</v>
      </c>
      <c r="W270" s="250">
        <v>7.5174863429938274E-5</v>
      </c>
      <c r="X270" s="250">
        <v>0.50382634289919059</v>
      </c>
      <c r="Z270" s="218">
        <v>262</v>
      </c>
      <c r="AA270" s="435">
        <v>0.49720382634289922</v>
      </c>
      <c r="AC270" s="435">
        <v>1</v>
      </c>
    </row>
    <row r="271" spans="1:29">
      <c r="A271" s="429">
        <v>0.68030092592592595</v>
      </c>
      <c r="B271" s="218">
        <v>222</v>
      </c>
      <c r="C271" s="218" t="s">
        <v>314</v>
      </c>
      <c r="D271" s="218">
        <v>111</v>
      </c>
      <c r="E271" s="218" t="s">
        <v>315</v>
      </c>
      <c r="F271" s="218">
        <v>22.7</v>
      </c>
      <c r="G271" s="218" t="s">
        <v>316</v>
      </c>
      <c r="H271" s="218">
        <v>214</v>
      </c>
      <c r="I271" s="218">
        <f t="shared" si="13"/>
        <v>219</v>
      </c>
      <c r="J271" s="218">
        <f t="shared" si="14"/>
        <v>4.5662100456621002E-3</v>
      </c>
      <c r="K271" s="218">
        <f t="shared" si="15"/>
        <v>4.469487369818026E-2</v>
      </c>
      <c r="L271" s="218">
        <f t="shared" si="16"/>
        <v>198.7</v>
      </c>
      <c r="M271" s="218" t="s">
        <v>323</v>
      </c>
      <c r="P271" s="218">
        <v>266</v>
      </c>
      <c r="Q271" s="218">
        <v>244.7</v>
      </c>
      <c r="R271" s="218">
        <v>297</v>
      </c>
      <c r="S271" s="218">
        <v>142</v>
      </c>
      <c r="T271" s="218">
        <v>227.9</v>
      </c>
      <c r="U271" s="273">
        <v>4.3878894251864848E-3</v>
      </c>
      <c r="V271" s="218">
        <v>4.3846851828721967E-3</v>
      </c>
      <c r="W271" s="250">
        <v>7.4898771247064463E-5</v>
      </c>
      <c r="X271" s="250">
        <v>0.50309050772626929</v>
      </c>
      <c r="Z271" s="218">
        <v>263</v>
      </c>
      <c r="AA271" s="435">
        <v>0.50014716703458428</v>
      </c>
      <c r="AC271" s="435">
        <v>1</v>
      </c>
    </row>
    <row r="272" spans="1:29">
      <c r="A272" s="429">
        <v>0.68031249999999999</v>
      </c>
      <c r="B272" s="218">
        <v>222</v>
      </c>
      <c r="C272" s="218" t="s">
        <v>314</v>
      </c>
      <c r="D272" s="218">
        <v>111</v>
      </c>
      <c r="E272" s="218" t="s">
        <v>315</v>
      </c>
      <c r="F272" s="218">
        <v>22.7</v>
      </c>
      <c r="G272" s="218" t="s">
        <v>316</v>
      </c>
      <c r="H272" s="218">
        <v>215</v>
      </c>
      <c r="I272" s="218">
        <f t="shared" si="13"/>
        <v>222</v>
      </c>
      <c r="J272" s="218">
        <f t="shared" si="14"/>
        <v>4.5045045045045045E-3</v>
      </c>
      <c r="K272" s="218">
        <f t="shared" si="15"/>
        <v>4.4756579239337853E-2</v>
      </c>
      <c r="L272" s="218">
        <f t="shared" si="16"/>
        <v>201.7</v>
      </c>
      <c r="M272" s="218" t="s">
        <v>323</v>
      </c>
      <c r="P272" s="218">
        <v>267</v>
      </c>
      <c r="Q272" s="218">
        <v>247.7</v>
      </c>
      <c r="R272" s="218">
        <v>299</v>
      </c>
      <c r="S272" s="218">
        <v>143</v>
      </c>
      <c r="T272" s="218">
        <v>229.9</v>
      </c>
      <c r="U272" s="273">
        <v>4.3497172683775558E-3</v>
      </c>
      <c r="V272" s="218">
        <v>4.3688033467820207E-3</v>
      </c>
      <c r="W272" s="250">
        <v>7.4627479248052053E-5</v>
      </c>
      <c r="X272" s="250">
        <v>0.5075055187637969</v>
      </c>
      <c r="Z272" s="218">
        <v>264</v>
      </c>
      <c r="AA272" s="435">
        <v>0.49941133186166303</v>
      </c>
      <c r="AC272" s="435">
        <v>1</v>
      </c>
    </row>
    <row r="273" spans="1:29">
      <c r="A273" s="429">
        <v>0.68032407407407414</v>
      </c>
      <c r="B273" s="218">
        <v>224</v>
      </c>
      <c r="C273" s="218" t="s">
        <v>314</v>
      </c>
      <c r="D273" s="218">
        <v>112</v>
      </c>
      <c r="E273" s="218" t="s">
        <v>315</v>
      </c>
      <c r="F273" s="218">
        <v>22.7</v>
      </c>
      <c r="G273" s="218" t="s">
        <v>316</v>
      </c>
      <c r="H273" s="218">
        <v>216</v>
      </c>
      <c r="I273" s="218">
        <f t="shared" si="13"/>
        <v>222</v>
      </c>
      <c r="J273" s="218">
        <f t="shared" si="14"/>
        <v>4.5045045045045045E-3</v>
      </c>
      <c r="K273" s="218">
        <f t="shared" si="15"/>
        <v>4.4756579239337853E-2</v>
      </c>
      <c r="L273" s="218">
        <f t="shared" si="16"/>
        <v>201.7</v>
      </c>
      <c r="M273" s="218" t="s">
        <v>323</v>
      </c>
      <c r="P273" s="218">
        <v>268</v>
      </c>
      <c r="Q273" s="218">
        <v>248.7</v>
      </c>
      <c r="R273" s="218">
        <v>300</v>
      </c>
      <c r="S273" s="218">
        <v>143</v>
      </c>
      <c r="T273" s="218">
        <v>230.56666666666669</v>
      </c>
      <c r="U273" s="273">
        <v>4.3371403787769262E-3</v>
      </c>
      <c r="V273" s="218">
        <v>4.343428823577241E-3</v>
      </c>
      <c r="W273" s="250">
        <v>7.4194034079299212E-5</v>
      </c>
      <c r="X273" s="250">
        <v>0.50897718910963952</v>
      </c>
      <c r="Z273" s="218">
        <v>265</v>
      </c>
      <c r="AA273" s="435">
        <v>0.50382634289919059</v>
      </c>
      <c r="AC273" s="435">
        <v>1</v>
      </c>
    </row>
    <row r="274" spans="1:29">
      <c r="A274" s="429">
        <v>0.68033564814814806</v>
      </c>
      <c r="B274" s="218">
        <v>223</v>
      </c>
      <c r="C274" s="218" t="s">
        <v>314</v>
      </c>
      <c r="D274" s="218">
        <v>112</v>
      </c>
      <c r="E274" s="218" t="s">
        <v>315</v>
      </c>
      <c r="F274" s="218">
        <v>22.7</v>
      </c>
      <c r="G274" s="218" t="s">
        <v>316</v>
      </c>
      <c r="H274" s="218">
        <v>217</v>
      </c>
      <c r="I274" s="218">
        <f t="shared" si="13"/>
        <v>224</v>
      </c>
      <c r="J274" s="218">
        <f t="shared" si="14"/>
        <v>4.464285714285714E-3</v>
      </c>
      <c r="K274" s="218">
        <f t="shared" si="15"/>
        <v>4.4796798029556648E-2</v>
      </c>
      <c r="L274" s="218">
        <f t="shared" si="16"/>
        <v>203.7</v>
      </c>
      <c r="M274" s="218" t="s">
        <v>323</v>
      </c>
      <c r="P274" s="218">
        <v>269</v>
      </c>
      <c r="Q274" s="218">
        <v>249.7</v>
      </c>
      <c r="R274" s="218">
        <v>302</v>
      </c>
      <c r="S274" s="218">
        <v>144</v>
      </c>
      <c r="T274" s="218">
        <v>231.9</v>
      </c>
      <c r="U274" s="273">
        <v>4.3122035360068992E-3</v>
      </c>
      <c r="V274" s="218">
        <v>4.3246719573919127E-3</v>
      </c>
      <c r="W274" s="250">
        <v>7.3873631092281016E-5</v>
      </c>
      <c r="X274" s="250">
        <v>0.51192052980132452</v>
      </c>
      <c r="Z274" s="218">
        <v>266</v>
      </c>
      <c r="AA274" s="435">
        <v>0.50309050772626929</v>
      </c>
    </row>
    <row r="275" spans="1:29">
      <c r="A275" s="429">
        <v>0.68034722222222221</v>
      </c>
      <c r="B275" s="218">
        <v>224</v>
      </c>
      <c r="C275" s="218" t="s">
        <v>314</v>
      </c>
      <c r="D275" s="218">
        <v>112</v>
      </c>
      <c r="E275" s="218" t="s">
        <v>315</v>
      </c>
      <c r="F275" s="218">
        <v>22.7</v>
      </c>
      <c r="G275" s="218" t="s">
        <v>316</v>
      </c>
      <c r="H275" s="218">
        <v>218</v>
      </c>
      <c r="I275" s="218">
        <f t="shared" si="13"/>
        <v>223</v>
      </c>
      <c r="J275" s="218">
        <f t="shared" si="14"/>
        <v>4.4843049327354259E-3</v>
      </c>
      <c r="K275" s="218">
        <f t="shared" si="15"/>
        <v>4.4776778811106935E-2</v>
      </c>
      <c r="L275" s="218">
        <f t="shared" si="16"/>
        <v>202.7</v>
      </c>
      <c r="M275" s="218" t="s">
        <v>323</v>
      </c>
      <c r="P275" s="218">
        <v>270</v>
      </c>
      <c r="Q275" s="218">
        <v>248.7</v>
      </c>
      <c r="R275" s="218">
        <v>302</v>
      </c>
      <c r="S275" s="218">
        <v>144</v>
      </c>
      <c r="T275" s="218">
        <v>231.56666666666669</v>
      </c>
      <c r="U275" s="273">
        <v>4.3184108248164668E-3</v>
      </c>
      <c r="V275" s="218">
        <v>4.315307180411683E-3</v>
      </c>
      <c r="W275" s="250">
        <v>7.3713662871173157E-5</v>
      </c>
      <c r="X275" s="250">
        <v>0.51118469462840332</v>
      </c>
      <c r="Z275" s="218">
        <v>267</v>
      </c>
      <c r="AA275" s="435">
        <v>0.5075055187637969</v>
      </c>
    </row>
    <row r="276" spans="1:29">
      <c r="A276" s="429">
        <v>0.68035879629629636</v>
      </c>
      <c r="B276" s="218">
        <v>225</v>
      </c>
      <c r="C276" s="218" t="s">
        <v>314</v>
      </c>
      <c r="D276" s="218">
        <v>113</v>
      </c>
      <c r="E276" s="218" t="s">
        <v>315</v>
      </c>
      <c r="F276" s="218">
        <v>22.7</v>
      </c>
      <c r="G276" s="218" t="s">
        <v>316</v>
      </c>
      <c r="H276" s="218">
        <v>219</v>
      </c>
      <c r="I276" s="218">
        <f t="shared" si="13"/>
        <v>224</v>
      </c>
      <c r="J276" s="218">
        <f t="shared" si="14"/>
        <v>4.464285714285714E-3</v>
      </c>
      <c r="K276" s="218">
        <f t="shared" si="15"/>
        <v>4.4796798029556648E-2</v>
      </c>
      <c r="L276" s="218">
        <f t="shared" si="16"/>
        <v>203.7</v>
      </c>
      <c r="M276" s="218" t="s">
        <v>323</v>
      </c>
      <c r="P276" s="218">
        <v>271</v>
      </c>
      <c r="Q276" s="218">
        <v>249.7</v>
      </c>
      <c r="R276" s="218">
        <v>302</v>
      </c>
      <c r="S276" s="218">
        <v>142</v>
      </c>
      <c r="T276" s="218">
        <v>231.23333333333335</v>
      </c>
      <c r="U276" s="273">
        <v>4.3246360098025084E-3</v>
      </c>
      <c r="V276" s="218">
        <v>4.321523417309488E-3</v>
      </c>
      <c r="W276" s="250">
        <v>7.3819848032936875E-5</v>
      </c>
      <c r="X276" s="250">
        <v>0.51044885945548202</v>
      </c>
      <c r="Z276" s="218">
        <v>268</v>
      </c>
      <c r="AA276" s="435">
        <v>0.50897718910963952</v>
      </c>
    </row>
    <row r="277" spans="1:29">
      <c r="A277" s="429">
        <v>0.6803703703703704</v>
      </c>
      <c r="B277" s="218">
        <v>227</v>
      </c>
      <c r="C277" s="218" t="s">
        <v>314</v>
      </c>
      <c r="D277" s="218">
        <v>114</v>
      </c>
      <c r="E277" s="218" t="s">
        <v>315</v>
      </c>
      <c r="F277" s="218">
        <v>22.7</v>
      </c>
      <c r="G277" s="218" t="s">
        <v>316</v>
      </c>
      <c r="H277" s="218">
        <v>220</v>
      </c>
      <c r="I277" s="218">
        <f t="shared" si="13"/>
        <v>225</v>
      </c>
      <c r="J277" s="218">
        <f t="shared" si="14"/>
        <v>4.4444444444444444E-3</v>
      </c>
      <c r="K277" s="218">
        <f t="shared" si="15"/>
        <v>4.4816639299397915E-2</v>
      </c>
      <c r="L277" s="218">
        <f t="shared" si="16"/>
        <v>204.7</v>
      </c>
      <c r="M277" s="218" t="s">
        <v>323</v>
      </c>
      <c r="P277" s="218">
        <v>272</v>
      </c>
      <c r="Q277" s="218">
        <v>250.7</v>
      </c>
      <c r="R277" s="218">
        <v>302</v>
      </c>
      <c r="S277" s="218">
        <v>142</v>
      </c>
      <c r="T277" s="218">
        <v>231.56666666666669</v>
      </c>
      <c r="U277" s="273">
        <v>4.3184108248164668E-3</v>
      </c>
      <c r="V277" s="218">
        <v>4.321523417309488E-3</v>
      </c>
      <c r="W277" s="250">
        <v>7.3819848032936875E-5</v>
      </c>
      <c r="X277" s="250">
        <v>0.51118469462840332</v>
      </c>
      <c r="Z277" s="218">
        <v>269</v>
      </c>
      <c r="AA277" s="435">
        <v>0.51192052980132452</v>
      </c>
    </row>
    <row r="278" spans="1:29">
      <c r="A278" s="429">
        <v>0.68038194444444444</v>
      </c>
      <c r="B278" s="218">
        <v>229</v>
      </c>
      <c r="C278" s="218" t="s">
        <v>314</v>
      </c>
      <c r="D278" s="218">
        <v>115</v>
      </c>
      <c r="E278" s="218" t="s">
        <v>315</v>
      </c>
      <c r="F278" s="218">
        <v>22.7</v>
      </c>
      <c r="G278" s="218" t="s">
        <v>316</v>
      </c>
      <c r="H278" s="218">
        <v>221</v>
      </c>
      <c r="I278" s="218">
        <f t="shared" si="13"/>
        <v>227</v>
      </c>
      <c r="J278" s="218">
        <f t="shared" si="14"/>
        <v>4.4052863436123352E-3</v>
      </c>
      <c r="K278" s="218">
        <f t="shared" si="15"/>
        <v>4.4855797400230026E-2</v>
      </c>
      <c r="L278" s="218">
        <f t="shared" si="16"/>
        <v>206.7</v>
      </c>
      <c r="M278" s="218" t="s">
        <v>323</v>
      </c>
      <c r="P278" s="218">
        <v>273</v>
      </c>
      <c r="Q278" s="218">
        <v>250.7</v>
      </c>
      <c r="R278" s="218">
        <v>304</v>
      </c>
      <c r="S278" s="218">
        <v>145</v>
      </c>
      <c r="T278" s="218">
        <v>233.23333333333335</v>
      </c>
      <c r="U278" s="273">
        <v>4.2875518079176786E-3</v>
      </c>
      <c r="V278" s="218">
        <v>4.3029813163670723E-3</v>
      </c>
      <c r="W278" s="250">
        <v>7.3503113645174913E-5</v>
      </c>
      <c r="X278" s="250">
        <v>0.51486387049300963</v>
      </c>
      <c r="Z278" s="218">
        <v>270</v>
      </c>
      <c r="AA278" s="435">
        <v>0.51118469462840332</v>
      </c>
    </row>
    <row r="279" spans="1:29">
      <c r="A279" s="429">
        <v>0.68039351851851848</v>
      </c>
      <c r="B279" s="218">
        <v>228</v>
      </c>
      <c r="C279" s="218" t="s">
        <v>314</v>
      </c>
      <c r="D279" s="218">
        <v>114</v>
      </c>
      <c r="E279" s="218" t="s">
        <v>315</v>
      </c>
      <c r="F279" s="218">
        <v>22.7</v>
      </c>
      <c r="G279" s="218" t="s">
        <v>316</v>
      </c>
      <c r="H279" s="218">
        <v>222</v>
      </c>
      <c r="I279" s="218">
        <f t="shared" si="13"/>
        <v>229</v>
      </c>
      <c r="J279" s="218">
        <f t="shared" si="14"/>
        <v>4.3668122270742356E-3</v>
      </c>
      <c r="K279" s="218">
        <f t="shared" si="15"/>
        <v>4.4894271516768128E-2</v>
      </c>
      <c r="L279" s="218">
        <f t="shared" si="16"/>
        <v>208.7</v>
      </c>
      <c r="M279" s="218" t="s">
        <v>323</v>
      </c>
      <c r="P279" s="218">
        <v>274</v>
      </c>
      <c r="Q279" s="218">
        <v>253.7</v>
      </c>
      <c r="R279" s="218">
        <v>305</v>
      </c>
      <c r="S279" s="218">
        <v>145</v>
      </c>
      <c r="T279" s="218">
        <v>234.56666666666669</v>
      </c>
      <c r="U279" s="273">
        <v>4.2631803325280651E-3</v>
      </c>
      <c r="V279" s="218">
        <v>4.2753660702228719E-3</v>
      </c>
      <c r="W279" s="250">
        <v>7.3031392662340074E-5</v>
      </c>
      <c r="X279" s="250">
        <v>0.51780721118469464</v>
      </c>
      <c r="Z279" s="218">
        <v>271</v>
      </c>
      <c r="AA279" s="435">
        <v>0.51044885945548202</v>
      </c>
    </row>
    <row r="280" spans="1:29">
      <c r="A280" s="429">
        <v>0.68040509259259263</v>
      </c>
      <c r="B280" s="218">
        <v>231</v>
      </c>
      <c r="C280" s="218" t="s">
        <v>314</v>
      </c>
      <c r="D280" s="218">
        <v>116</v>
      </c>
      <c r="E280" s="218" t="s">
        <v>315</v>
      </c>
      <c r="F280" s="218">
        <v>22.7</v>
      </c>
      <c r="G280" s="218" t="s">
        <v>316</v>
      </c>
      <c r="H280" s="218">
        <v>223</v>
      </c>
      <c r="I280" s="218">
        <f t="shared" si="13"/>
        <v>228</v>
      </c>
      <c r="J280" s="218">
        <f t="shared" si="14"/>
        <v>4.3859649122807015E-3</v>
      </c>
      <c r="K280" s="218">
        <f t="shared" si="15"/>
        <v>4.4875118831561658E-2</v>
      </c>
      <c r="L280" s="218">
        <f t="shared" si="16"/>
        <v>207.7</v>
      </c>
      <c r="M280" s="218" t="s">
        <v>323</v>
      </c>
      <c r="P280" s="218">
        <v>275</v>
      </c>
      <c r="Q280" s="218">
        <v>252.7</v>
      </c>
      <c r="R280" s="218">
        <v>308</v>
      </c>
      <c r="S280" s="218">
        <v>145</v>
      </c>
      <c r="T280" s="218">
        <v>235.23333333333335</v>
      </c>
      <c r="U280" s="273">
        <v>4.2510982003684285E-3</v>
      </c>
      <c r="V280" s="218">
        <v>4.2571392664482472E-3</v>
      </c>
      <c r="W280" s="250">
        <v>7.2720044150521382E-5</v>
      </c>
      <c r="X280" s="250">
        <v>0.51927888153053714</v>
      </c>
      <c r="Z280" s="218">
        <v>272</v>
      </c>
      <c r="AA280" s="435">
        <v>0.51118469462840332</v>
      </c>
    </row>
    <row r="281" spans="1:29">
      <c r="A281" s="429">
        <v>0.68041666666666656</v>
      </c>
      <c r="B281" s="218">
        <v>230</v>
      </c>
      <c r="C281" s="218" t="s">
        <v>314</v>
      </c>
      <c r="D281" s="218">
        <v>115</v>
      </c>
      <c r="E281" s="218" t="s">
        <v>315</v>
      </c>
      <c r="F281" s="218">
        <v>22.7</v>
      </c>
      <c r="G281" s="218" t="s">
        <v>316</v>
      </c>
      <c r="H281" s="218">
        <v>224</v>
      </c>
      <c r="I281" s="218">
        <f t="shared" si="13"/>
        <v>231</v>
      </c>
      <c r="J281" s="218">
        <f t="shared" si="14"/>
        <v>4.329004329004329E-3</v>
      </c>
      <c r="K281" s="218">
        <f t="shared" si="15"/>
        <v>4.4932079414838032E-2</v>
      </c>
      <c r="L281" s="218">
        <f t="shared" si="16"/>
        <v>210.7</v>
      </c>
      <c r="M281" s="218" t="s">
        <v>323</v>
      </c>
      <c r="P281" s="218">
        <v>276</v>
      </c>
      <c r="Q281" s="218">
        <v>254.7</v>
      </c>
      <c r="R281" s="218">
        <v>306</v>
      </c>
      <c r="S281" s="218">
        <v>145</v>
      </c>
      <c r="T281" s="218">
        <v>235.23333333333335</v>
      </c>
      <c r="U281" s="273">
        <v>4.2510982003684285E-3</v>
      </c>
      <c r="V281" s="218">
        <v>4.2510982003684285E-3</v>
      </c>
      <c r="W281" s="250">
        <v>7.2616851239849426E-5</v>
      </c>
      <c r="X281" s="250">
        <v>0.51927888153053714</v>
      </c>
      <c r="Z281" s="218">
        <v>273</v>
      </c>
      <c r="AA281" s="435">
        <v>0.51486387049300963</v>
      </c>
    </row>
    <row r="282" spans="1:29">
      <c r="A282" s="429">
        <v>0.68042824074074071</v>
      </c>
      <c r="B282" s="218">
        <v>230</v>
      </c>
      <c r="C282" s="218" t="s">
        <v>314</v>
      </c>
      <c r="D282" s="218">
        <v>115</v>
      </c>
      <c r="E282" s="218" t="s">
        <v>315</v>
      </c>
      <c r="F282" s="218">
        <v>22.7</v>
      </c>
      <c r="G282" s="218" t="s">
        <v>316</v>
      </c>
      <c r="H282" s="218">
        <v>225</v>
      </c>
      <c r="I282" s="218">
        <f t="shared" si="13"/>
        <v>230</v>
      </c>
      <c r="J282" s="218">
        <f t="shared" si="14"/>
        <v>4.3478260869565218E-3</v>
      </c>
      <c r="K282" s="218">
        <f t="shared" si="15"/>
        <v>4.4913257656885835E-2</v>
      </c>
      <c r="L282" s="218">
        <f t="shared" si="16"/>
        <v>209.7</v>
      </c>
      <c r="M282" s="218" t="s">
        <v>323</v>
      </c>
      <c r="P282" s="218">
        <v>277</v>
      </c>
      <c r="Q282" s="218">
        <v>257.7</v>
      </c>
      <c r="R282" s="218">
        <v>310</v>
      </c>
      <c r="S282" s="218">
        <v>149</v>
      </c>
      <c r="T282" s="218">
        <v>238.9</v>
      </c>
      <c r="U282" s="273">
        <v>4.1858518208455417E-3</v>
      </c>
      <c r="V282" s="218">
        <v>4.2184750106069851E-3</v>
      </c>
      <c r="W282" s="250">
        <v>7.2059585045041041E-5</v>
      </c>
      <c r="X282" s="250">
        <v>0.52737306843267107</v>
      </c>
      <c r="Z282" s="218">
        <v>274</v>
      </c>
      <c r="AA282" s="435">
        <v>0.51780721118469464</v>
      </c>
    </row>
    <row r="283" spans="1:29">
      <c r="A283" s="429">
        <v>0.68043981481481486</v>
      </c>
      <c r="B283" s="218">
        <v>232</v>
      </c>
      <c r="C283" s="218" t="s">
        <v>314</v>
      </c>
      <c r="D283" s="218">
        <v>116</v>
      </c>
      <c r="E283" s="218" t="s">
        <v>315</v>
      </c>
      <c r="F283" s="218">
        <v>22.7</v>
      </c>
      <c r="G283" s="218" t="s">
        <v>316</v>
      </c>
      <c r="H283" s="218">
        <v>226</v>
      </c>
      <c r="I283" s="218">
        <f t="shared" si="13"/>
        <v>230</v>
      </c>
      <c r="J283" s="218">
        <f t="shared" si="14"/>
        <v>4.3478260869565218E-3</v>
      </c>
      <c r="K283" s="218">
        <f t="shared" si="15"/>
        <v>4.4913257656885835E-2</v>
      </c>
      <c r="L283" s="218">
        <f t="shared" si="16"/>
        <v>209.7</v>
      </c>
      <c r="M283" s="218" t="s">
        <v>323</v>
      </c>
      <c r="P283" s="218">
        <v>278</v>
      </c>
      <c r="Q283" s="218">
        <v>258.7</v>
      </c>
      <c r="R283" s="218">
        <v>306</v>
      </c>
      <c r="S283" s="218">
        <v>149</v>
      </c>
      <c r="T283" s="218">
        <v>237.9</v>
      </c>
      <c r="U283" s="273">
        <v>4.2034468263976461E-3</v>
      </c>
      <c r="V283" s="218">
        <v>4.1946493236215939E-3</v>
      </c>
      <c r="W283" s="250">
        <v>7.1652596947858194E-5</v>
      </c>
      <c r="X283" s="250">
        <v>0.52516556291390726</v>
      </c>
      <c r="Z283" s="218">
        <v>275</v>
      </c>
      <c r="AA283" s="435">
        <v>0.51927888153053714</v>
      </c>
    </row>
    <row r="284" spans="1:29">
      <c r="A284" s="429">
        <v>0.6804513888888889</v>
      </c>
      <c r="B284" s="218">
        <v>234</v>
      </c>
      <c r="C284" s="218" t="s">
        <v>314</v>
      </c>
      <c r="D284" s="218">
        <v>117</v>
      </c>
      <c r="E284" s="218" t="s">
        <v>315</v>
      </c>
      <c r="F284" s="218">
        <v>22.7</v>
      </c>
      <c r="G284" s="218" t="s">
        <v>316</v>
      </c>
      <c r="H284" s="218">
        <v>227</v>
      </c>
      <c r="I284" s="218">
        <f t="shared" si="13"/>
        <v>232</v>
      </c>
      <c r="J284" s="218">
        <f t="shared" si="14"/>
        <v>4.3103448275862068E-3</v>
      </c>
      <c r="K284" s="218">
        <f t="shared" si="15"/>
        <v>4.4950738916256151E-2</v>
      </c>
      <c r="L284" s="218">
        <f t="shared" si="16"/>
        <v>211.7</v>
      </c>
      <c r="M284" s="218" t="s">
        <v>323</v>
      </c>
      <c r="P284" s="218">
        <v>279</v>
      </c>
      <c r="Q284" s="218">
        <v>258.7</v>
      </c>
      <c r="R284" s="218">
        <v>308</v>
      </c>
      <c r="S284" s="218">
        <v>151</v>
      </c>
      <c r="T284" s="218">
        <v>239.23333333333335</v>
      </c>
      <c r="U284" s="273">
        <v>4.1800195067576975E-3</v>
      </c>
      <c r="V284" s="218">
        <v>4.1917331665776714E-3</v>
      </c>
      <c r="W284" s="250">
        <v>7.1602783433262785E-5</v>
      </c>
      <c r="X284" s="250">
        <v>0.52810890360559237</v>
      </c>
      <c r="Z284" s="218">
        <v>276</v>
      </c>
      <c r="AA284" s="435">
        <v>0.51927888153053714</v>
      </c>
    </row>
    <row r="285" spans="1:29">
      <c r="A285" s="429">
        <v>0.68046296296296294</v>
      </c>
      <c r="B285" s="218">
        <v>234</v>
      </c>
      <c r="C285" s="218" t="s">
        <v>314</v>
      </c>
      <c r="D285" s="218">
        <v>117</v>
      </c>
      <c r="E285" s="218" t="s">
        <v>315</v>
      </c>
      <c r="F285" s="218">
        <v>22.7</v>
      </c>
      <c r="G285" s="218" t="s">
        <v>316</v>
      </c>
      <c r="H285" s="218">
        <v>228</v>
      </c>
      <c r="I285" s="218">
        <f t="shared" si="13"/>
        <v>234</v>
      </c>
      <c r="J285" s="218">
        <f t="shared" si="14"/>
        <v>4.2735042735042739E-3</v>
      </c>
      <c r="K285" s="218">
        <f t="shared" si="15"/>
        <v>4.4987579470338088E-2</v>
      </c>
      <c r="L285" s="218">
        <f t="shared" si="16"/>
        <v>213.7</v>
      </c>
      <c r="M285" s="218" t="s">
        <v>323</v>
      </c>
      <c r="P285" s="218">
        <v>280</v>
      </c>
      <c r="Q285" s="218">
        <v>259.7</v>
      </c>
      <c r="R285" s="218">
        <v>309</v>
      </c>
      <c r="S285" s="218">
        <v>151</v>
      </c>
      <c r="T285" s="218">
        <v>239.9</v>
      </c>
      <c r="U285" s="273">
        <v>4.1684035014589414E-3</v>
      </c>
      <c r="V285" s="218">
        <v>4.1742115041083199E-3</v>
      </c>
      <c r="W285" s="250">
        <v>7.1303480077508391E-5</v>
      </c>
      <c r="X285" s="250">
        <v>0.52958057395143487</v>
      </c>
      <c r="Z285" s="218">
        <v>277</v>
      </c>
      <c r="AA285" s="435">
        <v>0.52737306843267107</v>
      </c>
    </row>
    <row r="286" spans="1:29">
      <c r="A286" s="429">
        <v>0.68047453703703698</v>
      </c>
      <c r="B286" s="218">
        <v>234</v>
      </c>
      <c r="C286" s="218" t="s">
        <v>314</v>
      </c>
      <c r="D286" s="218">
        <v>117</v>
      </c>
      <c r="E286" s="218" t="s">
        <v>315</v>
      </c>
      <c r="F286" s="218">
        <v>22.7</v>
      </c>
      <c r="G286" s="218" t="s">
        <v>316</v>
      </c>
      <c r="H286" s="218">
        <v>229</v>
      </c>
      <c r="I286" s="218">
        <f t="shared" si="13"/>
        <v>234</v>
      </c>
      <c r="J286" s="218">
        <f t="shared" si="14"/>
        <v>4.2735042735042739E-3</v>
      </c>
      <c r="K286" s="218">
        <f t="shared" si="15"/>
        <v>4.4987579470338088E-2</v>
      </c>
      <c r="L286" s="218">
        <f t="shared" si="16"/>
        <v>213.7</v>
      </c>
      <c r="M286" s="218" t="s">
        <v>323</v>
      </c>
      <c r="P286" s="218">
        <v>281</v>
      </c>
      <c r="Q286" s="218">
        <v>260.7</v>
      </c>
      <c r="R286" s="218">
        <v>311</v>
      </c>
      <c r="S286" s="218">
        <v>151</v>
      </c>
      <c r="T286" s="218">
        <v>240.9</v>
      </c>
      <c r="U286" s="273">
        <v>4.1511000415109999E-3</v>
      </c>
      <c r="V286" s="218">
        <v>4.1597517714849711E-3</v>
      </c>
      <c r="W286" s="250">
        <v>7.1056480313356449E-5</v>
      </c>
      <c r="X286" s="250">
        <v>0.53178807947019868</v>
      </c>
      <c r="Z286" s="218">
        <v>278</v>
      </c>
      <c r="AA286" s="435">
        <v>0.52516556291390726</v>
      </c>
    </row>
    <row r="287" spans="1:29">
      <c r="A287" s="429">
        <v>0.68048611111111112</v>
      </c>
      <c r="B287" s="218">
        <v>236</v>
      </c>
      <c r="C287" s="218" t="s">
        <v>314</v>
      </c>
      <c r="D287" s="218">
        <v>118</v>
      </c>
      <c r="E287" s="218" t="s">
        <v>315</v>
      </c>
      <c r="F287" s="218">
        <v>22.7</v>
      </c>
      <c r="G287" s="218" t="s">
        <v>316</v>
      </c>
      <c r="H287" s="218">
        <v>230</v>
      </c>
      <c r="I287" s="218">
        <f t="shared" si="13"/>
        <v>234</v>
      </c>
      <c r="J287" s="218">
        <f t="shared" si="14"/>
        <v>4.2735042735042739E-3</v>
      </c>
      <c r="K287" s="218">
        <f t="shared" si="15"/>
        <v>4.4987579470338088E-2</v>
      </c>
      <c r="L287" s="218">
        <f t="shared" si="16"/>
        <v>213.7</v>
      </c>
      <c r="M287" s="218" t="s">
        <v>323</v>
      </c>
      <c r="P287" s="218">
        <v>282</v>
      </c>
      <c r="Q287" s="218">
        <v>259.7</v>
      </c>
      <c r="R287" s="218">
        <v>311</v>
      </c>
      <c r="S287" s="218">
        <v>151</v>
      </c>
      <c r="T287" s="218">
        <v>240.56666666666669</v>
      </c>
      <c r="U287" s="273">
        <v>4.1568518775114312E-3</v>
      </c>
      <c r="V287" s="218">
        <v>4.153975959511216E-3</v>
      </c>
      <c r="W287" s="250">
        <v>7.0957818447852817E-5</v>
      </c>
      <c r="X287" s="250">
        <v>0.53105224429727749</v>
      </c>
      <c r="Z287" s="218">
        <v>279</v>
      </c>
      <c r="AA287" s="435">
        <v>0.52810890360559237</v>
      </c>
    </row>
    <row r="288" spans="1:29">
      <c r="A288" s="429">
        <v>0.68049768518518527</v>
      </c>
      <c r="B288" s="218">
        <v>235</v>
      </c>
      <c r="C288" s="218" t="s">
        <v>314</v>
      </c>
      <c r="D288" s="218">
        <v>118</v>
      </c>
      <c r="E288" s="218" t="s">
        <v>315</v>
      </c>
      <c r="F288" s="218">
        <v>22.7</v>
      </c>
      <c r="G288" s="218" t="s">
        <v>316</v>
      </c>
      <c r="H288" s="218">
        <v>231</v>
      </c>
      <c r="I288" s="218">
        <f t="shared" si="13"/>
        <v>236</v>
      </c>
      <c r="J288" s="218">
        <f t="shared" si="14"/>
        <v>4.2372881355932203E-3</v>
      </c>
      <c r="K288" s="218">
        <f t="shared" si="15"/>
        <v>4.5023795608249137E-2</v>
      </c>
      <c r="L288" s="218">
        <f t="shared" si="16"/>
        <v>215.7</v>
      </c>
      <c r="M288" s="218" t="s">
        <v>323</v>
      </c>
      <c r="P288" s="218">
        <v>283</v>
      </c>
      <c r="Q288" s="218">
        <v>262.7</v>
      </c>
      <c r="R288" s="218">
        <v>313</v>
      </c>
      <c r="S288" s="218">
        <v>154</v>
      </c>
      <c r="T288" s="218">
        <v>243.23333333333335</v>
      </c>
      <c r="U288" s="273">
        <v>4.1112786076469782E-3</v>
      </c>
      <c r="V288" s="218">
        <v>4.1340652425792043E-3</v>
      </c>
      <c r="W288" s="250">
        <v>7.0617705493180224E-5</v>
      </c>
      <c r="X288" s="250">
        <v>0.53693892568064761</v>
      </c>
      <c r="Z288" s="218">
        <v>280</v>
      </c>
      <c r="AA288" s="435">
        <v>0.52958057395143487</v>
      </c>
    </row>
    <row r="289" spans="1:27">
      <c r="A289" s="429">
        <v>0.6805092592592592</v>
      </c>
      <c r="B289" s="218">
        <v>239</v>
      </c>
      <c r="C289" s="218" t="s">
        <v>314</v>
      </c>
      <c r="D289" s="218">
        <v>120</v>
      </c>
      <c r="E289" s="218" t="s">
        <v>315</v>
      </c>
      <c r="F289" s="218">
        <v>22.7</v>
      </c>
      <c r="G289" s="218" t="s">
        <v>316</v>
      </c>
      <c r="H289" s="218">
        <v>232</v>
      </c>
      <c r="I289" s="218">
        <f t="shared" si="13"/>
        <v>235</v>
      </c>
      <c r="J289" s="218">
        <f t="shared" si="14"/>
        <v>4.2553191489361703E-3</v>
      </c>
      <c r="K289" s="218">
        <f t="shared" si="15"/>
        <v>4.500576459490619E-2</v>
      </c>
      <c r="L289" s="218">
        <f t="shared" si="16"/>
        <v>214.7</v>
      </c>
      <c r="M289" s="218" t="s">
        <v>323</v>
      </c>
      <c r="P289" s="218">
        <v>284</v>
      </c>
      <c r="Q289" s="218">
        <v>262.7</v>
      </c>
      <c r="R289" s="218">
        <v>314</v>
      </c>
      <c r="S289" s="218">
        <v>154</v>
      </c>
      <c r="T289" s="218">
        <v>243.56666666666669</v>
      </c>
      <c r="U289" s="273">
        <v>4.1056521144108389E-3</v>
      </c>
      <c r="V289" s="218">
        <v>4.1084653610289085E-3</v>
      </c>
      <c r="W289" s="250">
        <v>7.0180410774809684E-5</v>
      </c>
      <c r="X289" s="250">
        <v>0.5376747608535688</v>
      </c>
      <c r="Z289" s="218">
        <v>281</v>
      </c>
      <c r="AA289" s="435">
        <v>0.53178807947019868</v>
      </c>
    </row>
    <row r="290" spans="1:27">
      <c r="A290" s="429">
        <v>0.68052083333333335</v>
      </c>
      <c r="B290" s="218">
        <v>239</v>
      </c>
      <c r="C290" s="218" t="s">
        <v>314</v>
      </c>
      <c r="D290" s="218">
        <v>120</v>
      </c>
      <c r="E290" s="218" t="s">
        <v>315</v>
      </c>
      <c r="F290" s="218">
        <v>22.7</v>
      </c>
      <c r="G290" s="218" t="s">
        <v>316</v>
      </c>
      <c r="H290" s="218">
        <v>233</v>
      </c>
      <c r="I290" s="218">
        <f t="shared" si="13"/>
        <v>239</v>
      </c>
      <c r="J290" s="218">
        <f t="shared" si="14"/>
        <v>4.1841004184100415E-3</v>
      </c>
      <c r="K290" s="218">
        <f t="shared" si="15"/>
        <v>4.5076983325432321E-2</v>
      </c>
      <c r="L290" s="218">
        <f t="shared" si="16"/>
        <v>218.7</v>
      </c>
      <c r="M290" s="218" t="s">
        <v>323</v>
      </c>
      <c r="P290" s="218">
        <v>285</v>
      </c>
      <c r="Q290" s="218">
        <v>264.7</v>
      </c>
      <c r="R290" s="218">
        <v>316</v>
      </c>
      <c r="S290" s="218">
        <v>156</v>
      </c>
      <c r="T290" s="218">
        <v>245.56666666666669</v>
      </c>
      <c r="U290" s="273">
        <v>4.0722139269716295E-3</v>
      </c>
      <c r="V290" s="218">
        <v>4.0889330206912346E-3</v>
      </c>
      <c r="W290" s="250">
        <v>6.9846761212787324E-5</v>
      </c>
      <c r="X290" s="250">
        <v>0.54208977189109642</v>
      </c>
      <c r="Z290" s="218">
        <v>282</v>
      </c>
      <c r="AA290" s="435">
        <v>0.53105224429727749</v>
      </c>
    </row>
    <row r="291" spans="1:27">
      <c r="A291" s="429">
        <v>0.68053240740740739</v>
      </c>
      <c r="B291" s="218">
        <v>241</v>
      </c>
      <c r="C291" s="218" t="s">
        <v>314</v>
      </c>
      <c r="D291" s="218">
        <v>121</v>
      </c>
      <c r="E291" s="218" t="s">
        <v>315</v>
      </c>
      <c r="F291" s="218">
        <v>22.7</v>
      </c>
      <c r="G291" s="218" t="s">
        <v>316</v>
      </c>
      <c r="H291" s="218">
        <v>234</v>
      </c>
      <c r="I291" s="218">
        <f t="shared" si="13"/>
        <v>239</v>
      </c>
      <c r="J291" s="218">
        <f t="shared" si="14"/>
        <v>4.1841004184100415E-3</v>
      </c>
      <c r="K291" s="218">
        <f t="shared" si="15"/>
        <v>4.5076983325432321E-2</v>
      </c>
      <c r="L291" s="218">
        <f t="shared" si="16"/>
        <v>218.7</v>
      </c>
      <c r="M291" s="218" t="s">
        <v>323</v>
      </c>
      <c r="P291" s="218">
        <v>286</v>
      </c>
      <c r="Q291" s="218">
        <v>266.7</v>
      </c>
      <c r="R291" s="218">
        <v>318</v>
      </c>
      <c r="S291" s="218">
        <v>156</v>
      </c>
      <c r="T291" s="218">
        <v>246.9</v>
      </c>
      <c r="U291" s="273">
        <v>4.0502227622519239E-3</v>
      </c>
      <c r="V291" s="218">
        <v>4.0612183446117767E-3</v>
      </c>
      <c r="W291" s="250">
        <v>6.9373341777346348E-5</v>
      </c>
      <c r="X291" s="250">
        <v>0.54503311258278142</v>
      </c>
      <c r="Z291" s="218">
        <v>283</v>
      </c>
      <c r="AA291" s="435">
        <v>0.53693892568064761</v>
      </c>
    </row>
    <row r="292" spans="1:27">
      <c r="A292" s="429">
        <v>0.68054398148148154</v>
      </c>
      <c r="B292" s="218">
        <v>242</v>
      </c>
      <c r="C292" s="218" t="s">
        <v>314</v>
      </c>
      <c r="D292" s="218">
        <v>121</v>
      </c>
      <c r="E292" s="218" t="s">
        <v>315</v>
      </c>
      <c r="F292" s="218">
        <v>22.7</v>
      </c>
      <c r="G292" s="218" t="s">
        <v>316</v>
      </c>
      <c r="H292" s="218">
        <v>235</v>
      </c>
      <c r="I292" s="218">
        <f t="shared" si="13"/>
        <v>241</v>
      </c>
      <c r="J292" s="218">
        <f t="shared" si="14"/>
        <v>4.1493775933609959E-3</v>
      </c>
      <c r="K292" s="218">
        <f t="shared" si="15"/>
        <v>4.5111706150481365E-2</v>
      </c>
      <c r="L292" s="218">
        <f t="shared" si="16"/>
        <v>220.7</v>
      </c>
      <c r="M292" s="218" t="s">
        <v>323</v>
      </c>
      <c r="P292" s="218">
        <v>287</v>
      </c>
      <c r="Q292" s="218">
        <v>266.7</v>
      </c>
      <c r="R292" s="218">
        <v>318</v>
      </c>
      <c r="S292" s="218">
        <v>160</v>
      </c>
      <c r="T292" s="218">
        <v>248.23333333333335</v>
      </c>
      <c r="U292" s="273">
        <v>4.0284678393984153E-3</v>
      </c>
      <c r="V292" s="218">
        <v>4.0393453008251701E-3</v>
      </c>
      <c r="W292" s="250">
        <v>6.8999708543779294E-5</v>
      </c>
      <c r="X292" s="250">
        <v>0.54797645327446654</v>
      </c>
      <c r="Z292" s="218">
        <v>284</v>
      </c>
      <c r="AA292" s="435">
        <v>0.5376747608535688</v>
      </c>
    </row>
    <row r="293" spans="1:27">
      <c r="A293" s="429">
        <v>0.68055555555555547</v>
      </c>
      <c r="B293" s="218">
        <v>244</v>
      </c>
      <c r="C293" s="218" t="s">
        <v>314</v>
      </c>
      <c r="D293" s="218">
        <v>122</v>
      </c>
      <c r="E293" s="218" t="s">
        <v>315</v>
      </c>
      <c r="F293" s="218">
        <v>22.7</v>
      </c>
      <c r="G293" s="218" t="s">
        <v>316</v>
      </c>
      <c r="H293" s="218">
        <v>236</v>
      </c>
      <c r="I293" s="218">
        <f t="shared" si="13"/>
        <v>242</v>
      </c>
      <c r="J293" s="218">
        <f t="shared" si="14"/>
        <v>4.1322314049586778E-3</v>
      </c>
      <c r="K293" s="218">
        <f t="shared" si="15"/>
        <v>4.5128852338883682E-2</v>
      </c>
      <c r="L293" s="218">
        <f t="shared" si="16"/>
        <v>221.7</v>
      </c>
      <c r="M293" s="218" t="s">
        <v>323</v>
      </c>
      <c r="P293" s="218">
        <v>288</v>
      </c>
      <c r="Q293" s="218">
        <v>266.7</v>
      </c>
      <c r="R293" s="218">
        <v>320</v>
      </c>
      <c r="S293" s="218">
        <v>160</v>
      </c>
      <c r="T293" s="218">
        <v>248.9</v>
      </c>
      <c r="U293" s="273">
        <v>4.017677782241864E-3</v>
      </c>
      <c r="V293" s="218">
        <v>4.0230728108201393E-3</v>
      </c>
      <c r="W293" s="250">
        <v>6.8721743432106534E-5</v>
      </c>
      <c r="X293" s="250">
        <v>0.54944812362030904</v>
      </c>
      <c r="Z293" s="218">
        <v>285</v>
      </c>
      <c r="AA293" s="435">
        <v>0.54208977189109642</v>
      </c>
    </row>
    <row r="294" spans="1:27">
      <c r="A294" s="429">
        <v>0.68056712962962962</v>
      </c>
      <c r="B294" s="218">
        <v>245</v>
      </c>
      <c r="C294" s="218" t="s">
        <v>314</v>
      </c>
      <c r="D294" s="218">
        <v>123</v>
      </c>
      <c r="E294" s="218" t="s">
        <v>315</v>
      </c>
      <c r="F294" s="218">
        <v>22.7</v>
      </c>
      <c r="G294" s="218" t="s">
        <v>316</v>
      </c>
      <c r="H294" s="218">
        <v>237</v>
      </c>
      <c r="I294" s="218">
        <f t="shared" si="13"/>
        <v>244</v>
      </c>
      <c r="J294" s="218">
        <f t="shared" si="14"/>
        <v>4.0983606557377051E-3</v>
      </c>
      <c r="K294" s="218">
        <f t="shared" si="15"/>
        <v>4.5162723088104657E-2</v>
      </c>
      <c r="L294" s="218">
        <f t="shared" si="16"/>
        <v>223.7</v>
      </c>
      <c r="M294" s="218" t="s">
        <v>323</v>
      </c>
      <c r="P294" s="218">
        <v>289</v>
      </c>
      <c r="Q294" s="218">
        <v>266.7</v>
      </c>
      <c r="R294" s="218">
        <v>319</v>
      </c>
      <c r="S294" s="218">
        <v>159</v>
      </c>
      <c r="T294" s="218">
        <v>248.23333333333335</v>
      </c>
      <c r="U294" s="273">
        <v>4.0284678393984153E-3</v>
      </c>
      <c r="V294" s="218">
        <v>4.0230728108201393E-3</v>
      </c>
      <c r="W294" s="250">
        <v>6.8721743432106534E-5</v>
      </c>
      <c r="X294" s="250">
        <v>0.54797645327446654</v>
      </c>
      <c r="Z294" s="218">
        <v>286</v>
      </c>
      <c r="AA294" s="435">
        <v>0.54503311258278142</v>
      </c>
    </row>
    <row r="295" spans="1:27">
      <c r="A295" s="429">
        <v>0.68057870370370377</v>
      </c>
      <c r="B295" s="218">
        <v>244</v>
      </c>
      <c r="C295" s="218" t="s">
        <v>314</v>
      </c>
      <c r="D295" s="218">
        <v>122</v>
      </c>
      <c r="E295" s="218" t="s">
        <v>315</v>
      </c>
      <c r="F295" s="218">
        <v>22.7</v>
      </c>
      <c r="G295" s="218" t="s">
        <v>316</v>
      </c>
      <c r="H295" s="218">
        <v>238</v>
      </c>
      <c r="I295" s="218">
        <f t="shared" si="13"/>
        <v>245</v>
      </c>
      <c r="J295" s="218">
        <f t="shared" si="14"/>
        <v>4.0816326530612249E-3</v>
      </c>
      <c r="K295" s="218">
        <f t="shared" si="15"/>
        <v>4.5179451090781135E-2</v>
      </c>
      <c r="L295" s="218">
        <f t="shared" si="16"/>
        <v>224.7</v>
      </c>
      <c r="M295" s="218" t="s">
        <v>323</v>
      </c>
      <c r="P295" s="218">
        <v>290</v>
      </c>
      <c r="Q295" s="218">
        <v>268.7</v>
      </c>
      <c r="R295" s="218">
        <v>321</v>
      </c>
      <c r="S295" s="218">
        <v>159</v>
      </c>
      <c r="T295" s="218">
        <v>249.56666666666669</v>
      </c>
      <c r="U295" s="273">
        <v>4.0069453719780946E-3</v>
      </c>
      <c r="V295" s="218">
        <v>4.017706605688255E-3</v>
      </c>
      <c r="W295" s="250">
        <v>6.8630078431342555E-5</v>
      </c>
      <c r="X295" s="250">
        <v>0.55091979396615165</v>
      </c>
      <c r="Z295" s="218">
        <v>287</v>
      </c>
      <c r="AA295" s="435">
        <v>0.54797645327446654</v>
      </c>
    </row>
    <row r="296" spans="1:27">
      <c r="A296" s="429">
        <v>0.68059027777777781</v>
      </c>
      <c r="B296" s="218">
        <v>246</v>
      </c>
      <c r="C296" s="218" t="s">
        <v>314</v>
      </c>
      <c r="D296" s="218">
        <v>123</v>
      </c>
      <c r="E296" s="218" t="s">
        <v>315</v>
      </c>
      <c r="F296" s="218">
        <v>22.7</v>
      </c>
      <c r="G296" s="218" t="s">
        <v>316</v>
      </c>
      <c r="H296" s="218">
        <v>239</v>
      </c>
      <c r="I296" s="218">
        <f t="shared" si="13"/>
        <v>244</v>
      </c>
      <c r="J296" s="218">
        <f t="shared" si="14"/>
        <v>4.0983606557377051E-3</v>
      </c>
      <c r="K296" s="218">
        <f t="shared" si="15"/>
        <v>4.5162723088104657E-2</v>
      </c>
      <c r="L296" s="218">
        <f t="shared" si="16"/>
        <v>223.7</v>
      </c>
      <c r="M296" s="218" t="s">
        <v>323</v>
      </c>
      <c r="P296" s="218">
        <v>291</v>
      </c>
      <c r="Q296" s="218">
        <v>266.7</v>
      </c>
      <c r="R296" s="218">
        <v>322</v>
      </c>
      <c r="S296" s="218">
        <v>160</v>
      </c>
      <c r="T296" s="218">
        <v>249.56666666666669</v>
      </c>
      <c r="U296" s="273">
        <v>4.0069453719780946E-3</v>
      </c>
      <c r="V296" s="218">
        <v>4.0069453719780946E-3</v>
      </c>
      <c r="W296" s="250">
        <v>6.8446256070471131E-5</v>
      </c>
      <c r="X296" s="250">
        <v>0.55091979396615165</v>
      </c>
      <c r="Z296" s="218">
        <v>288</v>
      </c>
      <c r="AA296" s="435">
        <v>0.54944812362030904</v>
      </c>
    </row>
    <row r="297" spans="1:27">
      <c r="A297" s="429">
        <v>0.68060185185185185</v>
      </c>
      <c r="B297" s="218">
        <v>245</v>
      </c>
      <c r="C297" s="218" t="s">
        <v>314</v>
      </c>
      <c r="D297" s="218">
        <v>123</v>
      </c>
      <c r="E297" s="218" t="s">
        <v>315</v>
      </c>
      <c r="F297" s="218">
        <v>22.7</v>
      </c>
      <c r="G297" s="218" t="s">
        <v>316</v>
      </c>
      <c r="H297" s="218">
        <v>240</v>
      </c>
      <c r="I297" s="218">
        <f t="shared" si="13"/>
        <v>246</v>
      </c>
      <c r="J297" s="218">
        <f t="shared" si="14"/>
        <v>4.0650406504065045E-3</v>
      </c>
      <c r="K297" s="218">
        <f t="shared" si="15"/>
        <v>4.5196043093435855E-2</v>
      </c>
      <c r="L297" s="218">
        <f t="shared" si="16"/>
        <v>225.7</v>
      </c>
      <c r="M297" s="218" t="s">
        <v>323</v>
      </c>
      <c r="P297" s="218">
        <v>292</v>
      </c>
      <c r="Q297" s="218">
        <v>269.7</v>
      </c>
      <c r="R297" s="218">
        <v>322</v>
      </c>
      <c r="S297" s="218">
        <v>160</v>
      </c>
      <c r="T297" s="218">
        <v>250.56666666666669</v>
      </c>
      <c r="U297" s="273">
        <v>3.9909538379672739E-3</v>
      </c>
      <c r="V297" s="218">
        <v>3.9989496049726847E-3</v>
      </c>
      <c r="W297" s="250">
        <v>6.8309673146291677E-5</v>
      </c>
      <c r="X297" s="250">
        <v>0.55312729948491546</v>
      </c>
      <c r="Z297" s="218">
        <v>289</v>
      </c>
      <c r="AA297" s="435">
        <v>0.54797645327446654</v>
      </c>
    </row>
    <row r="298" spans="1:27">
      <c r="A298" s="429">
        <v>0.68061342592592589</v>
      </c>
      <c r="B298" s="218">
        <v>247</v>
      </c>
      <c r="C298" s="218" t="s">
        <v>314</v>
      </c>
      <c r="D298" s="218">
        <v>124</v>
      </c>
      <c r="E298" s="218" t="s">
        <v>315</v>
      </c>
      <c r="F298" s="218">
        <v>22.7</v>
      </c>
      <c r="G298" s="218" t="s">
        <v>316</v>
      </c>
      <c r="H298" s="218">
        <v>241</v>
      </c>
      <c r="I298" s="218">
        <f t="shared" si="13"/>
        <v>245</v>
      </c>
      <c r="J298" s="218">
        <f t="shared" si="14"/>
        <v>4.0816326530612249E-3</v>
      </c>
      <c r="K298" s="218">
        <f t="shared" si="15"/>
        <v>4.5179451090781135E-2</v>
      </c>
      <c r="L298" s="218">
        <f t="shared" si="16"/>
        <v>224.7</v>
      </c>
      <c r="M298" s="218" t="s">
        <v>323</v>
      </c>
      <c r="P298" s="218">
        <v>293</v>
      </c>
      <c r="Q298" s="218">
        <v>270.7</v>
      </c>
      <c r="R298" s="218">
        <v>323</v>
      </c>
      <c r="S298" s="218">
        <v>161</v>
      </c>
      <c r="T298" s="218">
        <v>251.56666666666669</v>
      </c>
      <c r="U298" s="273">
        <v>3.9750894395123885E-3</v>
      </c>
      <c r="V298" s="218">
        <v>3.9830216387398316E-3</v>
      </c>
      <c r="W298" s="250">
        <v>6.8037593156611786E-5</v>
      </c>
      <c r="X298" s="250">
        <v>0.55533480500367927</v>
      </c>
      <c r="Z298" s="218">
        <v>290</v>
      </c>
      <c r="AA298" s="435">
        <v>0.55091979396615165</v>
      </c>
    </row>
    <row r="299" spans="1:27">
      <c r="A299" s="429">
        <v>0.68062500000000004</v>
      </c>
      <c r="B299" s="218">
        <v>249</v>
      </c>
      <c r="C299" s="218" t="s">
        <v>314</v>
      </c>
      <c r="D299" s="218">
        <v>125</v>
      </c>
      <c r="E299" s="218" t="s">
        <v>315</v>
      </c>
      <c r="F299" s="218">
        <v>22.7</v>
      </c>
      <c r="G299" s="218" t="s">
        <v>316</v>
      </c>
      <c r="H299" s="218">
        <v>242</v>
      </c>
      <c r="I299" s="218">
        <f t="shared" si="13"/>
        <v>247</v>
      </c>
      <c r="J299" s="218">
        <f t="shared" si="14"/>
        <v>4.048582995951417E-3</v>
      </c>
      <c r="K299" s="218">
        <f t="shared" si="15"/>
        <v>4.5212500747890946E-2</v>
      </c>
      <c r="L299" s="218">
        <f t="shared" si="16"/>
        <v>226.7</v>
      </c>
      <c r="M299" s="218" t="s">
        <v>323</v>
      </c>
      <c r="P299" s="218">
        <v>294</v>
      </c>
      <c r="Q299" s="218">
        <v>271.7</v>
      </c>
      <c r="R299" s="218">
        <v>323</v>
      </c>
      <c r="S299" s="218">
        <v>161</v>
      </c>
      <c r="T299" s="218">
        <v>251.9</v>
      </c>
      <c r="U299" s="273">
        <v>3.9698292973402143E-3</v>
      </c>
      <c r="V299" s="218">
        <v>3.972459368426301E-3</v>
      </c>
      <c r="W299" s="250">
        <v>6.78571694693758E-5</v>
      </c>
      <c r="X299" s="250">
        <v>0.55607064017660046</v>
      </c>
      <c r="Z299" s="218">
        <v>291</v>
      </c>
      <c r="AA299" s="435">
        <v>0.55091979396615165</v>
      </c>
    </row>
    <row r="300" spans="1:27">
      <c r="A300" s="429">
        <v>0.68063657407407396</v>
      </c>
      <c r="B300" s="218">
        <v>250</v>
      </c>
      <c r="C300" s="218" t="s">
        <v>314</v>
      </c>
      <c r="D300" s="218">
        <v>125</v>
      </c>
      <c r="E300" s="218" t="s">
        <v>315</v>
      </c>
      <c r="F300" s="218">
        <v>22.7</v>
      </c>
      <c r="G300" s="218" t="s">
        <v>316</v>
      </c>
      <c r="H300" s="218">
        <v>243</v>
      </c>
      <c r="I300" s="218">
        <f t="shared" si="13"/>
        <v>249</v>
      </c>
      <c r="J300" s="218">
        <f t="shared" si="14"/>
        <v>4.0160642570281121E-3</v>
      </c>
      <c r="K300" s="218">
        <f t="shared" si="15"/>
        <v>4.5245019486814246E-2</v>
      </c>
      <c r="L300" s="218">
        <f t="shared" si="16"/>
        <v>228.7</v>
      </c>
      <c r="M300" s="218" t="s">
        <v>323</v>
      </c>
      <c r="P300" s="218">
        <v>295</v>
      </c>
      <c r="Q300" s="218">
        <v>272.7</v>
      </c>
      <c r="R300" s="218">
        <v>323</v>
      </c>
      <c r="S300" s="218">
        <v>161</v>
      </c>
      <c r="T300" s="218">
        <v>252.23333333333335</v>
      </c>
      <c r="U300" s="273">
        <v>3.9645830580150648E-3</v>
      </c>
      <c r="V300" s="218">
        <v>3.9672061776776391E-3</v>
      </c>
      <c r="W300" s="250">
        <v>6.776743496945362E-5</v>
      </c>
      <c r="X300" s="250">
        <v>0.55680647534952177</v>
      </c>
      <c r="Z300" s="218">
        <v>292</v>
      </c>
      <c r="AA300" s="435">
        <v>0.55312729948491546</v>
      </c>
    </row>
    <row r="301" spans="1:27">
      <c r="A301" s="429">
        <v>0.68064814814814811</v>
      </c>
      <c r="B301" s="218">
        <v>250</v>
      </c>
      <c r="C301" s="218" t="s">
        <v>314</v>
      </c>
      <c r="D301" s="218">
        <v>125</v>
      </c>
      <c r="E301" s="218" t="s">
        <v>315</v>
      </c>
      <c r="F301" s="218">
        <v>22.7</v>
      </c>
      <c r="G301" s="218" t="s">
        <v>316</v>
      </c>
      <c r="H301" s="218">
        <v>244</v>
      </c>
      <c r="I301" s="218">
        <f t="shared" si="13"/>
        <v>250</v>
      </c>
      <c r="J301" s="218">
        <f t="shared" si="14"/>
        <v>4.0000000000000001E-3</v>
      </c>
      <c r="K301" s="218">
        <f t="shared" si="15"/>
        <v>4.5261083743842356E-2</v>
      </c>
      <c r="L301" s="218">
        <f t="shared" si="16"/>
        <v>229.7</v>
      </c>
      <c r="M301" s="218" t="s">
        <v>323</v>
      </c>
      <c r="P301" s="218">
        <v>296</v>
      </c>
      <c r="Q301" s="218">
        <v>274.7</v>
      </c>
      <c r="R301" s="218">
        <v>325</v>
      </c>
      <c r="S301" s="218">
        <v>161</v>
      </c>
      <c r="T301" s="218">
        <v>253.56666666666669</v>
      </c>
      <c r="U301" s="273">
        <v>3.9437360326015506E-3</v>
      </c>
      <c r="V301" s="218">
        <v>3.9541595453083077E-3</v>
      </c>
      <c r="W301" s="250">
        <v>6.7544573648145481E-5</v>
      </c>
      <c r="X301" s="250">
        <v>0.55974981604120677</v>
      </c>
      <c r="Z301" s="218">
        <v>293</v>
      </c>
      <c r="AA301" s="435">
        <v>0.55533480500367927</v>
      </c>
    </row>
    <row r="302" spans="1:27">
      <c r="A302" s="429">
        <v>0.68065972222222226</v>
      </c>
      <c r="B302" s="218">
        <v>252</v>
      </c>
      <c r="C302" s="218" t="s">
        <v>314</v>
      </c>
      <c r="D302" s="218">
        <v>126</v>
      </c>
      <c r="E302" s="218" t="s">
        <v>315</v>
      </c>
      <c r="F302" s="218">
        <v>22.7</v>
      </c>
      <c r="G302" s="218" t="s">
        <v>316</v>
      </c>
      <c r="H302" s="218">
        <v>245</v>
      </c>
      <c r="I302" s="218">
        <f t="shared" si="13"/>
        <v>250</v>
      </c>
      <c r="J302" s="218">
        <f t="shared" si="14"/>
        <v>4.0000000000000001E-3</v>
      </c>
      <c r="K302" s="218">
        <f t="shared" si="15"/>
        <v>4.5261083743842356E-2</v>
      </c>
      <c r="L302" s="218">
        <f t="shared" si="16"/>
        <v>229.7</v>
      </c>
      <c r="M302" s="218" t="s">
        <v>323</v>
      </c>
      <c r="P302" s="218">
        <v>297</v>
      </c>
      <c r="Q302" s="218">
        <v>274.7</v>
      </c>
      <c r="R302" s="218">
        <v>323</v>
      </c>
      <c r="S302" s="218">
        <v>162</v>
      </c>
      <c r="T302" s="218">
        <v>253.23333333333335</v>
      </c>
      <c r="U302" s="273">
        <v>3.9489272081084633E-3</v>
      </c>
      <c r="V302" s="218">
        <v>3.9463316203550069E-3</v>
      </c>
      <c r="W302" s="250">
        <v>6.7410857785782841E-5</v>
      </c>
      <c r="X302" s="250">
        <v>0.55901398086828558</v>
      </c>
      <c r="Z302" s="218">
        <v>294</v>
      </c>
      <c r="AA302" s="435">
        <v>0.55607064017660046</v>
      </c>
    </row>
    <row r="303" spans="1:27">
      <c r="A303" s="429">
        <v>0.6806712962962963</v>
      </c>
      <c r="B303" s="218">
        <v>254</v>
      </c>
      <c r="C303" s="218" t="s">
        <v>314</v>
      </c>
      <c r="D303" s="218">
        <v>127</v>
      </c>
      <c r="E303" s="218" t="s">
        <v>315</v>
      </c>
      <c r="F303" s="218">
        <v>22.7</v>
      </c>
      <c r="G303" s="218" t="s">
        <v>316</v>
      </c>
      <c r="H303" s="218">
        <v>246</v>
      </c>
      <c r="I303" s="218">
        <f t="shared" si="13"/>
        <v>252</v>
      </c>
      <c r="J303" s="218">
        <f t="shared" si="14"/>
        <v>3.968253968253968E-3</v>
      </c>
      <c r="K303" s="218">
        <f t="shared" si="15"/>
        <v>4.5292829775588392E-2</v>
      </c>
      <c r="L303" s="218">
        <f t="shared" si="16"/>
        <v>231.7</v>
      </c>
      <c r="M303" s="218" t="s">
        <v>323</v>
      </c>
      <c r="P303" s="218">
        <v>298</v>
      </c>
      <c r="Q303" s="218">
        <v>274.7</v>
      </c>
      <c r="R303" s="218">
        <v>326</v>
      </c>
      <c r="S303" s="218">
        <v>162</v>
      </c>
      <c r="T303" s="218">
        <v>254.23333333333335</v>
      </c>
      <c r="U303" s="273">
        <v>3.9333945194703025E-3</v>
      </c>
      <c r="V303" s="218">
        <v>3.9411608637893829E-3</v>
      </c>
      <c r="W303" s="250">
        <v>6.7322531418659434E-5</v>
      </c>
      <c r="X303" s="250">
        <v>0.56122148638704938</v>
      </c>
      <c r="Z303" s="218">
        <v>295</v>
      </c>
      <c r="AA303" s="435">
        <v>0.55680647534952177</v>
      </c>
    </row>
    <row r="304" spans="1:27">
      <c r="A304" s="429">
        <v>0.68068287037037034</v>
      </c>
      <c r="B304" s="218">
        <v>252</v>
      </c>
      <c r="C304" s="218" t="s">
        <v>314</v>
      </c>
      <c r="D304" s="218">
        <v>126</v>
      </c>
      <c r="E304" s="218" t="s">
        <v>315</v>
      </c>
      <c r="F304" s="218">
        <v>22.7</v>
      </c>
      <c r="G304" s="218" t="s">
        <v>316</v>
      </c>
      <c r="H304" s="218">
        <v>247</v>
      </c>
      <c r="I304" s="218">
        <f t="shared" si="13"/>
        <v>254</v>
      </c>
      <c r="J304" s="218">
        <f t="shared" si="14"/>
        <v>3.937007874015748E-3</v>
      </c>
      <c r="K304" s="218">
        <f t="shared" si="15"/>
        <v>4.5324075869826612E-2</v>
      </c>
      <c r="L304" s="218">
        <f t="shared" si="16"/>
        <v>233.7</v>
      </c>
      <c r="M304" s="218" t="s">
        <v>323</v>
      </c>
      <c r="P304" s="218">
        <v>299</v>
      </c>
      <c r="Q304" s="218">
        <v>276.7</v>
      </c>
      <c r="R304" s="218">
        <v>324</v>
      </c>
      <c r="S304" s="218">
        <v>161</v>
      </c>
      <c r="T304" s="218">
        <v>253.9</v>
      </c>
      <c r="U304" s="273">
        <v>3.9385584875935411E-3</v>
      </c>
      <c r="V304" s="218">
        <v>3.9359765035319218E-3</v>
      </c>
      <c r="W304" s="250">
        <v>6.7233972674578385E-5</v>
      </c>
      <c r="X304" s="250">
        <v>0.56048565121412808</v>
      </c>
      <c r="Z304" s="218">
        <v>296</v>
      </c>
      <c r="AA304" s="435">
        <v>0.55974981604120677</v>
      </c>
    </row>
    <row r="305" spans="1:27">
      <c r="A305" s="429">
        <v>0.68069444444444438</v>
      </c>
      <c r="B305" s="218">
        <v>254</v>
      </c>
      <c r="C305" s="218" t="s">
        <v>314</v>
      </c>
      <c r="D305" s="218">
        <v>127</v>
      </c>
      <c r="E305" s="218" t="s">
        <v>315</v>
      </c>
      <c r="F305" s="218">
        <v>22.7</v>
      </c>
      <c r="G305" s="218" t="s">
        <v>316</v>
      </c>
      <c r="H305" s="218">
        <v>248</v>
      </c>
      <c r="I305" s="218">
        <f t="shared" si="13"/>
        <v>252</v>
      </c>
      <c r="J305" s="218">
        <f t="shared" si="14"/>
        <v>3.968253968253968E-3</v>
      </c>
      <c r="K305" s="218">
        <f t="shared" si="15"/>
        <v>4.5292829775588392E-2</v>
      </c>
      <c r="L305" s="218">
        <f t="shared" si="16"/>
        <v>231.7</v>
      </c>
      <c r="M305" s="218" t="s">
        <v>323</v>
      </c>
      <c r="P305" s="218">
        <v>300</v>
      </c>
      <c r="Q305" s="218">
        <v>273.7</v>
      </c>
      <c r="R305" s="218">
        <v>327</v>
      </c>
      <c r="S305" s="218">
        <v>161</v>
      </c>
      <c r="T305" s="218">
        <v>253.9</v>
      </c>
      <c r="U305" s="273">
        <v>3.9385584875935411E-3</v>
      </c>
      <c r="V305" s="218">
        <v>3.9385584875935411E-3</v>
      </c>
      <c r="W305" s="250">
        <v>6.727807787837961E-5</v>
      </c>
      <c r="X305" s="250">
        <v>0.56048565121412808</v>
      </c>
      <c r="Z305" s="218">
        <v>297</v>
      </c>
      <c r="AA305" s="435">
        <v>0.55901398086828558</v>
      </c>
    </row>
    <row r="306" spans="1:27">
      <c r="A306" s="429">
        <v>0.68070601851851853</v>
      </c>
      <c r="B306" s="218">
        <v>254</v>
      </c>
      <c r="C306" s="218" t="s">
        <v>314</v>
      </c>
      <c r="D306" s="218">
        <v>127</v>
      </c>
      <c r="E306" s="218" t="s">
        <v>315</v>
      </c>
      <c r="F306" s="218">
        <v>22.7</v>
      </c>
      <c r="G306" s="218" t="s">
        <v>316</v>
      </c>
      <c r="H306" s="218">
        <v>249</v>
      </c>
      <c r="I306" s="218">
        <f t="shared" si="13"/>
        <v>254</v>
      </c>
      <c r="J306" s="218">
        <f t="shared" si="14"/>
        <v>3.937007874015748E-3</v>
      </c>
      <c r="K306" s="218">
        <f t="shared" si="15"/>
        <v>4.5324075869826612E-2</v>
      </c>
      <c r="L306" s="218">
        <f t="shared" si="16"/>
        <v>233.7</v>
      </c>
      <c r="M306" s="218" t="s">
        <v>323</v>
      </c>
      <c r="P306" s="218">
        <v>301</v>
      </c>
      <c r="Q306" s="218">
        <v>275.7</v>
      </c>
      <c r="R306" s="218">
        <v>326</v>
      </c>
      <c r="S306" s="218">
        <v>164</v>
      </c>
      <c r="T306" s="218">
        <v>255.23333333333335</v>
      </c>
      <c r="U306" s="273">
        <v>3.9179835444691129E-3</v>
      </c>
      <c r="V306" s="218">
        <v>3.928271016031327E-3</v>
      </c>
      <c r="W306" s="250">
        <v>6.7102348277025596E-5</v>
      </c>
      <c r="X306" s="250">
        <v>0.56342899190581308</v>
      </c>
      <c r="Z306" s="218">
        <v>298</v>
      </c>
      <c r="AA306" s="435">
        <v>0.56122148638704938</v>
      </c>
    </row>
    <row r="307" spans="1:27">
      <c r="A307" s="429">
        <v>0.68071759259259268</v>
      </c>
      <c r="B307" s="218">
        <v>255</v>
      </c>
      <c r="C307" s="218" t="s">
        <v>314</v>
      </c>
      <c r="D307" s="218">
        <v>128</v>
      </c>
      <c r="E307" s="218" t="s">
        <v>315</v>
      </c>
      <c r="F307" s="218">
        <v>22.7</v>
      </c>
      <c r="G307" s="218" t="s">
        <v>316</v>
      </c>
      <c r="H307" s="218">
        <v>250</v>
      </c>
      <c r="I307" s="218">
        <f t="shared" si="13"/>
        <v>254</v>
      </c>
      <c r="J307" s="218">
        <f t="shared" si="14"/>
        <v>3.937007874015748E-3</v>
      </c>
      <c r="K307" s="218">
        <f t="shared" si="15"/>
        <v>4.5324075869826612E-2</v>
      </c>
      <c r="L307" s="218">
        <f t="shared" si="16"/>
        <v>233.7</v>
      </c>
      <c r="M307" s="218" t="s">
        <v>323</v>
      </c>
      <c r="P307" s="218">
        <v>302</v>
      </c>
      <c r="Q307" s="218">
        <v>275.7</v>
      </c>
      <c r="R307" s="218">
        <v>328</v>
      </c>
      <c r="S307" s="218">
        <v>164</v>
      </c>
      <c r="T307" s="218">
        <v>255.9</v>
      </c>
      <c r="U307" s="273">
        <v>3.9077764751856191E-3</v>
      </c>
      <c r="V307" s="218">
        <v>3.912880009827366E-3</v>
      </c>
      <c r="W307" s="250">
        <v>6.6839440586996765E-5</v>
      </c>
      <c r="X307" s="250">
        <v>0.56490066225165569</v>
      </c>
      <c r="Z307" s="218">
        <v>299</v>
      </c>
      <c r="AA307" s="435">
        <v>0.56048565121412808</v>
      </c>
    </row>
    <row r="308" spans="1:27">
      <c r="A308" s="429">
        <v>0.68072916666666661</v>
      </c>
      <c r="B308" s="218">
        <v>255</v>
      </c>
      <c r="C308" s="218" t="s">
        <v>314</v>
      </c>
      <c r="D308" s="218">
        <v>128</v>
      </c>
      <c r="E308" s="218" t="s">
        <v>315</v>
      </c>
      <c r="F308" s="218">
        <v>22.7</v>
      </c>
      <c r="G308" s="218" t="s">
        <v>316</v>
      </c>
      <c r="H308" s="218">
        <v>251</v>
      </c>
      <c r="I308" s="218">
        <f t="shared" si="13"/>
        <v>255</v>
      </c>
      <c r="J308" s="218">
        <f t="shared" si="14"/>
        <v>3.9215686274509803E-3</v>
      </c>
      <c r="K308" s="218">
        <f t="shared" si="15"/>
        <v>4.533951511639138E-2</v>
      </c>
      <c r="L308" s="218">
        <f t="shared" si="16"/>
        <v>234.7</v>
      </c>
      <c r="M308" s="218" t="s">
        <v>323</v>
      </c>
      <c r="P308" s="218">
        <v>303</v>
      </c>
      <c r="Q308" s="218">
        <v>276.7</v>
      </c>
      <c r="R308" s="218">
        <v>328</v>
      </c>
      <c r="S308" s="218">
        <v>165</v>
      </c>
      <c r="T308" s="218">
        <v>256.56666666666666</v>
      </c>
      <c r="U308" s="273">
        <v>3.8976224503053138E-3</v>
      </c>
      <c r="V308" s="218">
        <v>3.9026994627454664E-3</v>
      </c>
      <c r="W308" s="250">
        <v>6.6665537459347887E-5</v>
      </c>
      <c r="X308" s="250">
        <v>0.5663723325974982</v>
      </c>
      <c r="Z308" s="218">
        <v>300</v>
      </c>
      <c r="AA308" s="435">
        <v>0.56048565121412808</v>
      </c>
    </row>
    <row r="309" spans="1:27">
      <c r="A309" s="429">
        <v>0.68074074074074076</v>
      </c>
      <c r="B309" s="218">
        <v>257</v>
      </c>
      <c r="C309" s="218" t="s">
        <v>314</v>
      </c>
      <c r="D309" s="218">
        <v>129</v>
      </c>
      <c r="E309" s="218" t="s">
        <v>315</v>
      </c>
      <c r="F309" s="218">
        <v>22.7</v>
      </c>
      <c r="G309" s="218" t="s">
        <v>316</v>
      </c>
      <c r="H309" s="218">
        <v>252</v>
      </c>
      <c r="I309" s="218">
        <f t="shared" si="13"/>
        <v>255</v>
      </c>
      <c r="J309" s="218">
        <f t="shared" si="14"/>
        <v>3.9215686274509803E-3</v>
      </c>
      <c r="K309" s="218">
        <f t="shared" si="15"/>
        <v>4.533951511639138E-2</v>
      </c>
      <c r="L309" s="218">
        <f t="shared" si="16"/>
        <v>234.7</v>
      </c>
      <c r="M309" s="218" t="s">
        <v>323</v>
      </c>
      <c r="P309" s="218">
        <v>304</v>
      </c>
      <c r="Q309" s="218">
        <v>277.7</v>
      </c>
      <c r="R309" s="218">
        <v>330</v>
      </c>
      <c r="S309" s="218">
        <v>165</v>
      </c>
      <c r="T309" s="218">
        <v>257.56666666666666</v>
      </c>
      <c r="U309" s="273">
        <v>3.8824899702342435E-3</v>
      </c>
      <c r="V309" s="218">
        <v>3.8900562102697784E-3</v>
      </c>
      <c r="W309" s="250">
        <v>6.6449566634647732E-5</v>
      </c>
      <c r="X309" s="250">
        <v>0.568579838116262</v>
      </c>
      <c r="Z309" s="218">
        <v>301</v>
      </c>
      <c r="AA309" s="435">
        <v>0.56342899190581308</v>
      </c>
    </row>
    <row r="310" spans="1:27">
      <c r="A310" s="429">
        <v>0.6807523148148148</v>
      </c>
      <c r="B310" s="218">
        <v>257</v>
      </c>
      <c r="C310" s="218" t="s">
        <v>314</v>
      </c>
      <c r="D310" s="218">
        <v>129</v>
      </c>
      <c r="E310" s="218" t="s">
        <v>315</v>
      </c>
      <c r="F310" s="218">
        <v>22.7</v>
      </c>
      <c r="G310" s="218" t="s">
        <v>316</v>
      </c>
      <c r="H310" s="218">
        <v>253</v>
      </c>
      <c r="I310" s="218">
        <f t="shared" si="13"/>
        <v>257</v>
      </c>
      <c r="J310" s="218">
        <f t="shared" si="14"/>
        <v>3.8910505836575876E-3</v>
      </c>
      <c r="K310" s="218">
        <f t="shared" si="15"/>
        <v>4.5370033160184772E-2</v>
      </c>
      <c r="L310" s="218">
        <f t="shared" si="16"/>
        <v>236.7</v>
      </c>
      <c r="M310" s="218" t="s">
        <v>323</v>
      </c>
      <c r="P310" s="218">
        <v>305</v>
      </c>
      <c r="Q310" s="218">
        <v>279.7</v>
      </c>
      <c r="R310" s="218">
        <v>330</v>
      </c>
      <c r="S310" s="218">
        <v>168</v>
      </c>
      <c r="T310" s="218">
        <v>259.23333333333335</v>
      </c>
      <c r="U310" s="273">
        <v>3.8575286100038571E-3</v>
      </c>
      <c r="V310" s="218">
        <v>3.8700092901190501E-3</v>
      </c>
      <c r="W310" s="250">
        <v>6.6107127069672163E-5</v>
      </c>
      <c r="X310" s="250">
        <v>0.57225901398086831</v>
      </c>
      <c r="Z310" s="218">
        <v>302</v>
      </c>
      <c r="AA310" s="435">
        <v>0.56490066225165569</v>
      </c>
    </row>
    <row r="311" spans="1:27">
      <c r="A311" s="429">
        <v>0.68076388888888895</v>
      </c>
      <c r="B311" s="218">
        <v>258</v>
      </c>
      <c r="C311" s="218" t="s">
        <v>314</v>
      </c>
      <c r="D311" s="218">
        <v>129</v>
      </c>
      <c r="E311" s="218" t="s">
        <v>315</v>
      </c>
      <c r="F311" s="218">
        <v>22.7</v>
      </c>
      <c r="G311" s="218" t="s">
        <v>316</v>
      </c>
      <c r="H311" s="218">
        <v>254</v>
      </c>
      <c r="I311" s="218">
        <f t="shared" si="13"/>
        <v>257</v>
      </c>
      <c r="J311" s="218">
        <f t="shared" si="14"/>
        <v>3.8910505836575876E-3</v>
      </c>
      <c r="K311" s="218">
        <f t="shared" si="15"/>
        <v>4.5370033160184772E-2</v>
      </c>
      <c r="L311" s="218">
        <f t="shared" si="16"/>
        <v>236.7</v>
      </c>
      <c r="M311" s="218" t="s">
        <v>323</v>
      </c>
      <c r="P311" s="218">
        <v>306</v>
      </c>
      <c r="Q311" s="218">
        <v>279.7</v>
      </c>
      <c r="R311" s="218">
        <v>332</v>
      </c>
      <c r="S311" s="218">
        <v>168</v>
      </c>
      <c r="T311" s="218">
        <v>259.90000000000003</v>
      </c>
      <c r="U311" s="273">
        <v>3.8476337052712577E-3</v>
      </c>
      <c r="V311" s="218">
        <v>3.8525811576375574E-3</v>
      </c>
      <c r="W311" s="250">
        <v>6.5809421384188996E-5</v>
      </c>
      <c r="X311" s="250">
        <v>0.57373068432671093</v>
      </c>
      <c r="Z311" s="218">
        <v>303</v>
      </c>
      <c r="AA311" s="435">
        <v>0.5663723325974982</v>
      </c>
    </row>
    <row r="312" spans="1:27">
      <c r="A312" s="429">
        <v>0.68077546296296287</v>
      </c>
      <c r="B312" s="218">
        <v>261</v>
      </c>
      <c r="C312" s="218" t="s">
        <v>314</v>
      </c>
      <c r="D312" s="218">
        <v>131</v>
      </c>
      <c r="E312" s="218" t="s">
        <v>315</v>
      </c>
      <c r="F312" s="218">
        <v>22.7</v>
      </c>
      <c r="G312" s="218" t="s">
        <v>316</v>
      </c>
      <c r="H312" s="218">
        <v>255</v>
      </c>
      <c r="I312" s="218">
        <f t="shared" si="13"/>
        <v>258</v>
      </c>
      <c r="J312" s="218">
        <f t="shared" si="14"/>
        <v>3.875968992248062E-3</v>
      </c>
      <c r="K312" s="218">
        <f t="shared" si="15"/>
        <v>4.5385114751594298E-2</v>
      </c>
      <c r="L312" s="218">
        <f t="shared" si="16"/>
        <v>237.7</v>
      </c>
      <c r="M312" s="218" t="s">
        <v>323</v>
      </c>
      <c r="P312" s="218">
        <v>307</v>
      </c>
      <c r="Q312" s="218">
        <v>279.7</v>
      </c>
      <c r="R312" s="218">
        <v>333</v>
      </c>
      <c r="S312" s="218">
        <v>169</v>
      </c>
      <c r="T312" s="218">
        <v>260.56666666666666</v>
      </c>
      <c r="U312" s="273">
        <v>3.837789433286427E-3</v>
      </c>
      <c r="V312" s="218">
        <v>3.8427115692788423E-3</v>
      </c>
      <c r="W312" s="250">
        <v>6.5640830023589223E-5</v>
      </c>
      <c r="X312" s="250">
        <v>0.57520235467255332</v>
      </c>
      <c r="Z312" s="218">
        <v>304</v>
      </c>
      <c r="AA312" s="435">
        <v>0.568579838116262</v>
      </c>
    </row>
    <row r="313" spans="1:27">
      <c r="A313" s="429">
        <v>0.68078703703703702</v>
      </c>
      <c r="B313" s="218">
        <v>260</v>
      </c>
      <c r="C313" s="218" t="s">
        <v>314</v>
      </c>
      <c r="D313" s="218">
        <v>130</v>
      </c>
      <c r="E313" s="218" t="s">
        <v>315</v>
      </c>
      <c r="F313" s="218">
        <v>22.7</v>
      </c>
      <c r="G313" s="218" t="s">
        <v>316</v>
      </c>
      <c r="H313" s="218">
        <v>256</v>
      </c>
      <c r="I313" s="218">
        <f t="shared" si="13"/>
        <v>261</v>
      </c>
      <c r="J313" s="218">
        <f t="shared" si="14"/>
        <v>3.8314176245210726E-3</v>
      </c>
      <c r="K313" s="218">
        <f t="shared" si="15"/>
        <v>4.5429666119321289E-2</v>
      </c>
      <c r="L313" s="218">
        <f t="shared" si="16"/>
        <v>240.7</v>
      </c>
      <c r="M313" s="218" t="s">
        <v>323</v>
      </c>
      <c r="P313" s="218">
        <v>308</v>
      </c>
      <c r="Q313" s="218">
        <v>280.7</v>
      </c>
      <c r="R313" s="218">
        <v>333</v>
      </c>
      <c r="S313" s="218">
        <v>169</v>
      </c>
      <c r="T313" s="218">
        <v>260.90000000000003</v>
      </c>
      <c r="U313" s="273">
        <v>3.8328861632809502E-3</v>
      </c>
      <c r="V313" s="218">
        <v>3.8353377982836886E-3</v>
      </c>
      <c r="W313" s="250">
        <v>6.5514871975528753E-5</v>
      </c>
      <c r="X313" s="250">
        <v>0.57593818984547474</v>
      </c>
      <c r="Z313" s="218">
        <v>305</v>
      </c>
      <c r="AA313" s="435">
        <v>0.57225901398086831</v>
      </c>
    </row>
    <row r="314" spans="1:27">
      <c r="A314" s="429">
        <v>0.68079861111111117</v>
      </c>
      <c r="B314" s="218">
        <v>263</v>
      </c>
      <c r="C314" s="218" t="s">
        <v>314</v>
      </c>
      <c r="D314" s="218">
        <v>132</v>
      </c>
      <c r="E314" s="218" t="s">
        <v>315</v>
      </c>
      <c r="F314" s="218">
        <v>22.7</v>
      </c>
      <c r="G314" s="218" t="s">
        <v>316</v>
      </c>
      <c r="H314" s="218">
        <v>257</v>
      </c>
      <c r="I314" s="218">
        <f t="shared" ref="I314:I377" si="17">B313</f>
        <v>260</v>
      </c>
      <c r="J314" s="218">
        <f t="shared" ref="J314:J377" si="18">1/I314</f>
        <v>3.8461538461538464E-3</v>
      </c>
      <c r="K314" s="218">
        <f t="shared" ref="K314:K377" si="19">$J$57-J314</f>
        <v>4.5414929897688514E-2</v>
      </c>
      <c r="L314" s="218">
        <f t="shared" ref="L314:L377" si="20">(B313-$J$55)</f>
        <v>239.7</v>
      </c>
      <c r="M314" s="218" t="s">
        <v>323</v>
      </c>
      <c r="P314" s="218">
        <v>309</v>
      </c>
      <c r="Q314" s="218">
        <v>278.7</v>
      </c>
      <c r="R314" s="218">
        <v>334</v>
      </c>
      <c r="S314" s="218">
        <v>169</v>
      </c>
      <c r="T314" s="218">
        <v>260.56666666666666</v>
      </c>
      <c r="U314" s="273">
        <v>3.837789433286427E-3</v>
      </c>
      <c r="V314" s="218">
        <v>3.8353377982836886E-3</v>
      </c>
      <c r="W314" s="250">
        <v>6.5514871975528753E-5</v>
      </c>
      <c r="X314" s="250">
        <v>0.57520235467255332</v>
      </c>
      <c r="Z314" s="218">
        <v>306</v>
      </c>
      <c r="AA314" s="435">
        <v>0.57373068432671093</v>
      </c>
    </row>
    <row r="315" spans="1:27">
      <c r="A315" s="429">
        <v>0.68081018518518521</v>
      </c>
      <c r="B315" s="218">
        <v>263</v>
      </c>
      <c r="C315" s="218" t="s">
        <v>314</v>
      </c>
      <c r="D315" s="218">
        <v>132</v>
      </c>
      <c r="E315" s="218" t="s">
        <v>315</v>
      </c>
      <c r="F315" s="218">
        <v>22.7</v>
      </c>
      <c r="G315" s="218" t="s">
        <v>316</v>
      </c>
      <c r="H315" s="218">
        <v>258</v>
      </c>
      <c r="I315" s="218">
        <f t="shared" si="17"/>
        <v>263</v>
      </c>
      <c r="J315" s="218">
        <f t="shared" si="18"/>
        <v>3.8022813688212928E-3</v>
      </c>
      <c r="K315" s="218">
        <f t="shared" si="19"/>
        <v>4.5458802375021069E-2</v>
      </c>
      <c r="L315" s="218">
        <f t="shared" si="20"/>
        <v>242.7</v>
      </c>
      <c r="M315" s="218" t="s">
        <v>323</v>
      </c>
      <c r="P315" s="218">
        <v>310</v>
      </c>
      <c r="Q315" s="218">
        <v>280.7</v>
      </c>
      <c r="R315" s="218">
        <v>333</v>
      </c>
      <c r="S315" s="218">
        <v>169</v>
      </c>
      <c r="T315" s="218">
        <v>260.90000000000003</v>
      </c>
      <c r="U315" s="273">
        <v>3.8328861632809502E-3</v>
      </c>
      <c r="V315" s="218">
        <v>3.8353377982836886E-3</v>
      </c>
      <c r="W315" s="250">
        <v>6.5514871975528753E-5</v>
      </c>
      <c r="X315" s="250">
        <v>0.57593818984547474</v>
      </c>
      <c r="Z315" s="218">
        <v>307</v>
      </c>
      <c r="AA315" s="435">
        <v>0.57520235467255332</v>
      </c>
    </row>
    <row r="316" spans="1:27">
      <c r="A316" s="429">
        <v>0.68082175925925925</v>
      </c>
      <c r="B316" s="218">
        <v>265</v>
      </c>
      <c r="C316" s="218" t="s">
        <v>314</v>
      </c>
      <c r="D316" s="218">
        <v>133</v>
      </c>
      <c r="E316" s="218" t="s">
        <v>315</v>
      </c>
      <c r="F316" s="218">
        <v>22.7</v>
      </c>
      <c r="G316" s="218" t="s">
        <v>316</v>
      </c>
      <c r="H316" s="218">
        <v>259</v>
      </c>
      <c r="I316" s="218">
        <f t="shared" si="17"/>
        <v>263</v>
      </c>
      <c r="J316" s="218">
        <f t="shared" si="18"/>
        <v>3.8022813688212928E-3</v>
      </c>
      <c r="K316" s="218">
        <f t="shared" si="19"/>
        <v>4.5458802375021069E-2</v>
      </c>
      <c r="L316" s="218">
        <f t="shared" si="20"/>
        <v>242.7</v>
      </c>
      <c r="M316" s="218" t="s">
        <v>323</v>
      </c>
      <c r="P316" s="218">
        <v>311</v>
      </c>
      <c r="Q316" s="218">
        <v>281.7</v>
      </c>
      <c r="R316" s="218">
        <v>333</v>
      </c>
      <c r="S316" s="218">
        <v>172</v>
      </c>
      <c r="T316" s="218">
        <v>262.23333333333335</v>
      </c>
      <c r="U316" s="273">
        <v>3.8133977373840089E-3</v>
      </c>
      <c r="V316" s="218">
        <v>3.8231419503324798E-3</v>
      </c>
      <c r="W316" s="250">
        <v>6.5306543671952985E-5</v>
      </c>
      <c r="X316" s="250">
        <v>0.57888153053715974</v>
      </c>
      <c r="Z316" s="218">
        <v>308</v>
      </c>
      <c r="AA316" s="435">
        <v>0.57593818984547474</v>
      </c>
    </row>
    <row r="317" spans="1:27">
      <c r="A317" s="429">
        <v>0.68083333333333329</v>
      </c>
      <c r="B317" s="218">
        <v>265</v>
      </c>
      <c r="C317" s="218" t="s">
        <v>314</v>
      </c>
      <c r="D317" s="218">
        <v>133</v>
      </c>
      <c r="E317" s="218" t="s">
        <v>315</v>
      </c>
      <c r="F317" s="218">
        <v>22.7</v>
      </c>
      <c r="G317" s="218" t="s">
        <v>316</v>
      </c>
      <c r="H317" s="218">
        <v>260</v>
      </c>
      <c r="I317" s="218">
        <f t="shared" si="17"/>
        <v>265</v>
      </c>
      <c r="J317" s="218">
        <f t="shared" si="18"/>
        <v>3.7735849056603774E-3</v>
      </c>
      <c r="K317" s="218">
        <f t="shared" si="19"/>
        <v>4.5487498838181983E-2</v>
      </c>
      <c r="L317" s="218">
        <f t="shared" si="20"/>
        <v>244.7</v>
      </c>
      <c r="M317" s="218" t="s">
        <v>323</v>
      </c>
      <c r="P317" s="218">
        <v>312</v>
      </c>
      <c r="Q317" s="218">
        <v>283.7</v>
      </c>
      <c r="R317" s="218">
        <v>334</v>
      </c>
      <c r="S317" s="218">
        <v>172</v>
      </c>
      <c r="T317" s="218">
        <v>263.23333333333335</v>
      </c>
      <c r="U317" s="273">
        <v>3.7989109788527289E-3</v>
      </c>
      <c r="V317" s="218">
        <v>3.8061543581183691E-3</v>
      </c>
      <c r="W317" s="250">
        <v>6.5016363253013622E-5</v>
      </c>
      <c r="X317" s="250">
        <v>0.58108903605592355</v>
      </c>
      <c r="Z317" s="218">
        <v>309</v>
      </c>
      <c r="AA317" s="435">
        <v>0.57520235467255332</v>
      </c>
    </row>
    <row r="318" spans="1:27">
      <c r="A318" s="429">
        <v>0.68084490740740744</v>
      </c>
      <c r="B318" s="218">
        <v>266</v>
      </c>
      <c r="C318" s="218" t="s">
        <v>314</v>
      </c>
      <c r="D318" s="218">
        <v>133</v>
      </c>
      <c r="E318" s="218" t="s">
        <v>315</v>
      </c>
      <c r="F318" s="218">
        <v>22.7</v>
      </c>
      <c r="G318" s="218" t="s">
        <v>316</v>
      </c>
      <c r="H318" s="218">
        <v>261</v>
      </c>
      <c r="I318" s="218">
        <f t="shared" si="17"/>
        <v>265</v>
      </c>
      <c r="J318" s="218">
        <f t="shared" si="18"/>
        <v>3.7735849056603774E-3</v>
      </c>
      <c r="K318" s="218">
        <f t="shared" si="19"/>
        <v>4.5487498838181983E-2</v>
      </c>
      <c r="L318" s="218">
        <f t="shared" si="20"/>
        <v>244.7</v>
      </c>
      <c r="M318" s="218" t="s">
        <v>323</v>
      </c>
      <c r="P318" s="218">
        <v>313</v>
      </c>
      <c r="Q318" s="218">
        <v>285.7</v>
      </c>
      <c r="R318" s="218">
        <v>336</v>
      </c>
      <c r="S318" s="218">
        <v>174</v>
      </c>
      <c r="T318" s="218">
        <v>265.23333333333335</v>
      </c>
      <c r="U318" s="273">
        <v>3.7702651753173306E-3</v>
      </c>
      <c r="V318" s="218">
        <v>3.7845880770850295E-3</v>
      </c>
      <c r="W318" s="250">
        <v>6.4647970111340468E-5</v>
      </c>
      <c r="X318" s="250">
        <v>0.58550404709345105</v>
      </c>
      <c r="Z318" s="218">
        <v>310</v>
      </c>
      <c r="AA318" s="435">
        <v>0.57593818984547474</v>
      </c>
    </row>
    <row r="319" spans="1:27">
      <c r="A319" s="429">
        <v>0.68085648148148159</v>
      </c>
      <c r="B319" s="218">
        <v>267</v>
      </c>
      <c r="C319" s="218" t="s">
        <v>314</v>
      </c>
      <c r="D319" s="218">
        <v>134</v>
      </c>
      <c r="E319" s="218" t="s">
        <v>315</v>
      </c>
      <c r="F319" s="218">
        <v>22.7</v>
      </c>
      <c r="G319" s="218" t="s">
        <v>316</v>
      </c>
      <c r="H319" s="218">
        <v>262</v>
      </c>
      <c r="I319" s="218">
        <f t="shared" si="17"/>
        <v>266</v>
      </c>
      <c r="J319" s="218">
        <f t="shared" si="18"/>
        <v>3.7593984962406013E-3</v>
      </c>
      <c r="K319" s="218">
        <f t="shared" si="19"/>
        <v>4.5501685247601759E-2</v>
      </c>
      <c r="L319" s="218">
        <f t="shared" si="20"/>
        <v>245.7</v>
      </c>
      <c r="M319" s="218" t="s">
        <v>323</v>
      </c>
      <c r="P319" s="218">
        <v>314</v>
      </c>
      <c r="Q319" s="218">
        <v>287.7</v>
      </c>
      <c r="R319" s="218">
        <v>337</v>
      </c>
      <c r="S319" s="218">
        <v>174</v>
      </c>
      <c r="T319" s="218">
        <v>266.23333333333335</v>
      </c>
      <c r="U319" s="273">
        <v>3.7561036684612492E-3</v>
      </c>
      <c r="V319" s="218">
        <v>3.7631844218892901E-3</v>
      </c>
      <c r="W319" s="250">
        <v>6.428235492860878E-5</v>
      </c>
      <c r="X319" s="250">
        <v>0.58771155261221486</v>
      </c>
      <c r="Z319" s="218">
        <v>311</v>
      </c>
      <c r="AA319" s="435">
        <v>0.57888153053715974</v>
      </c>
    </row>
    <row r="320" spans="1:27">
      <c r="A320" s="429">
        <v>0.68086805555555552</v>
      </c>
      <c r="B320" s="218">
        <v>266</v>
      </c>
      <c r="C320" s="218" t="s">
        <v>314</v>
      </c>
      <c r="D320" s="218">
        <v>133</v>
      </c>
      <c r="E320" s="218" t="s">
        <v>315</v>
      </c>
      <c r="F320" s="218">
        <v>22.7</v>
      </c>
      <c r="G320" s="218" t="s">
        <v>316</v>
      </c>
      <c r="H320" s="218">
        <v>263</v>
      </c>
      <c r="I320" s="218">
        <f t="shared" si="17"/>
        <v>267</v>
      </c>
      <c r="J320" s="218">
        <f t="shared" si="18"/>
        <v>3.7453183520599251E-3</v>
      </c>
      <c r="K320" s="218">
        <f t="shared" si="19"/>
        <v>4.5515765391782433E-2</v>
      </c>
      <c r="L320" s="218">
        <f t="shared" si="20"/>
        <v>246.7</v>
      </c>
      <c r="M320" s="218" t="s">
        <v>323</v>
      </c>
      <c r="P320" s="218">
        <v>315</v>
      </c>
      <c r="Q320" s="218">
        <v>287.7</v>
      </c>
      <c r="R320" s="218">
        <v>338</v>
      </c>
      <c r="S320" s="218">
        <v>179</v>
      </c>
      <c r="T320" s="218">
        <v>268.23333333333335</v>
      </c>
      <c r="U320" s="273">
        <v>3.7280974276127747E-3</v>
      </c>
      <c r="V320" s="218">
        <v>3.742100548037012E-3</v>
      </c>
      <c r="W320" s="250">
        <v>6.3922202220078562E-5</v>
      </c>
      <c r="X320" s="250">
        <v>0.59212656364974248</v>
      </c>
      <c r="Z320" s="218">
        <v>312</v>
      </c>
      <c r="AA320" s="435">
        <v>0.58108903605592355</v>
      </c>
    </row>
    <row r="321" spans="1:27">
      <c r="A321" s="429">
        <v>0.68087962962962967</v>
      </c>
      <c r="B321" s="218">
        <v>268</v>
      </c>
      <c r="C321" s="218" t="s">
        <v>314</v>
      </c>
      <c r="D321" s="218">
        <v>134</v>
      </c>
      <c r="E321" s="218" t="s">
        <v>315</v>
      </c>
      <c r="F321" s="218">
        <v>22.7</v>
      </c>
      <c r="G321" s="218" t="s">
        <v>316</v>
      </c>
      <c r="H321" s="218">
        <v>264</v>
      </c>
      <c r="I321" s="218">
        <f t="shared" si="17"/>
        <v>266</v>
      </c>
      <c r="J321" s="218">
        <f t="shared" si="18"/>
        <v>3.7593984962406013E-3</v>
      </c>
      <c r="K321" s="218">
        <f t="shared" si="19"/>
        <v>4.5501685247601759E-2</v>
      </c>
      <c r="L321" s="218">
        <f t="shared" si="20"/>
        <v>245.7</v>
      </c>
      <c r="M321" s="218" t="s">
        <v>323</v>
      </c>
      <c r="P321" s="218">
        <v>316</v>
      </c>
      <c r="Q321" s="218">
        <v>288.7</v>
      </c>
      <c r="R321" s="218">
        <v>337</v>
      </c>
      <c r="S321" s="218">
        <v>179</v>
      </c>
      <c r="T321" s="218">
        <v>268.23333333333335</v>
      </c>
      <c r="U321" s="273">
        <v>3.7280974276127747E-3</v>
      </c>
      <c r="V321" s="218">
        <v>3.7280974276127747E-3</v>
      </c>
      <c r="W321" s="250">
        <v>6.3683002261664902E-5</v>
      </c>
      <c r="X321" s="250">
        <v>0.59212656364974248</v>
      </c>
      <c r="Z321" s="218">
        <v>313</v>
      </c>
      <c r="AA321" s="435">
        <v>0.58550404709345105</v>
      </c>
    </row>
    <row r="322" spans="1:27">
      <c r="A322" s="429">
        <v>0.68089120370370371</v>
      </c>
      <c r="B322" s="218">
        <v>265</v>
      </c>
      <c r="C322" s="218" t="s">
        <v>314</v>
      </c>
      <c r="D322" s="218">
        <v>133</v>
      </c>
      <c r="E322" s="218" t="s">
        <v>315</v>
      </c>
      <c r="F322" s="218">
        <v>22.7</v>
      </c>
      <c r="G322" s="218" t="s">
        <v>316</v>
      </c>
      <c r="H322" s="218">
        <v>265</v>
      </c>
      <c r="I322" s="218">
        <f t="shared" si="17"/>
        <v>268</v>
      </c>
      <c r="J322" s="218">
        <f t="shared" si="18"/>
        <v>3.7313432835820895E-3</v>
      </c>
      <c r="K322" s="218">
        <f t="shared" si="19"/>
        <v>4.5529740460260273E-2</v>
      </c>
      <c r="L322" s="218">
        <f t="shared" si="20"/>
        <v>247.7</v>
      </c>
      <c r="M322" s="218" t="s">
        <v>323</v>
      </c>
      <c r="P322" s="218">
        <v>317</v>
      </c>
      <c r="Q322" s="218">
        <v>290.7</v>
      </c>
      <c r="R322" s="218">
        <v>339</v>
      </c>
      <c r="S322" s="218">
        <v>180</v>
      </c>
      <c r="T322" s="218">
        <v>269.90000000000003</v>
      </c>
      <c r="U322" s="273">
        <v>3.7050759540570577E-3</v>
      </c>
      <c r="V322" s="218">
        <v>3.7165866908349162E-3</v>
      </c>
      <c r="W322" s="250">
        <v>6.3486376961363351E-5</v>
      </c>
      <c r="X322" s="250">
        <v>0.5958057395143489</v>
      </c>
      <c r="Z322" s="218">
        <v>314</v>
      </c>
      <c r="AA322" s="435">
        <v>0.58771155261221486</v>
      </c>
    </row>
    <row r="323" spans="1:27">
      <c r="A323" s="429">
        <v>0.68090277777777775</v>
      </c>
      <c r="B323" s="218">
        <v>268</v>
      </c>
      <c r="C323" s="218" t="s">
        <v>314</v>
      </c>
      <c r="D323" s="218">
        <v>134</v>
      </c>
      <c r="E323" s="218" t="s">
        <v>315</v>
      </c>
      <c r="F323" s="218">
        <v>22.7</v>
      </c>
      <c r="G323" s="218" t="s">
        <v>316</v>
      </c>
      <c r="H323" s="218">
        <v>266</v>
      </c>
      <c r="I323" s="218">
        <f t="shared" si="17"/>
        <v>265</v>
      </c>
      <c r="J323" s="218">
        <f t="shared" si="18"/>
        <v>3.7735849056603774E-3</v>
      </c>
      <c r="K323" s="218">
        <f t="shared" si="19"/>
        <v>4.5487498838181983E-2</v>
      </c>
      <c r="L323" s="218">
        <f t="shared" si="20"/>
        <v>244.7</v>
      </c>
      <c r="M323" s="218" t="s">
        <v>323</v>
      </c>
      <c r="P323" s="218">
        <v>318</v>
      </c>
      <c r="Q323" s="218">
        <v>288.7</v>
      </c>
      <c r="R323" s="218">
        <v>338</v>
      </c>
      <c r="S323" s="218">
        <v>180</v>
      </c>
      <c r="T323" s="218">
        <v>268.90000000000003</v>
      </c>
      <c r="U323" s="273">
        <v>3.7188545927854216E-3</v>
      </c>
      <c r="V323" s="218">
        <v>3.7119652734212399E-3</v>
      </c>
      <c r="W323" s="250">
        <v>6.34074343528823E-5</v>
      </c>
      <c r="X323" s="250">
        <v>0.59359823399558509</v>
      </c>
      <c r="Z323" s="218">
        <v>315</v>
      </c>
      <c r="AA323" s="435">
        <v>0.59212656364974248</v>
      </c>
    </row>
    <row r="324" spans="1:27">
      <c r="A324" s="429">
        <v>0.68091435185185178</v>
      </c>
      <c r="B324" s="218">
        <v>269</v>
      </c>
      <c r="C324" s="218" t="s">
        <v>314</v>
      </c>
      <c r="D324" s="218">
        <v>135</v>
      </c>
      <c r="E324" s="218" t="s">
        <v>315</v>
      </c>
      <c r="F324" s="218">
        <v>22.7</v>
      </c>
      <c r="G324" s="218" t="s">
        <v>316</v>
      </c>
      <c r="H324" s="218">
        <v>267</v>
      </c>
      <c r="I324" s="218">
        <f t="shared" si="17"/>
        <v>268</v>
      </c>
      <c r="J324" s="218">
        <f t="shared" si="18"/>
        <v>3.7313432835820895E-3</v>
      </c>
      <c r="K324" s="218">
        <f t="shared" si="19"/>
        <v>4.5529740460260273E-2</v>
      </c>
      <c r="L324" s="218">
        <f t="shared" si="20"/>
        <v>247.7</v>
      </c>
      <c r="M324" s="218" t="s">
        <v>323</v>
      </c>
      <c r="P324" s="218">
        <v>319</v>
      </c>
      <c r="Q324" s="218">
        <v>291.7</v>
      </c>
      <c r="R324" s="218">
        <v>342</v>
      </c>
      <c r="S324" s="218">
        <v>183</v>
      </c>
      <c r="T324" s="218">
        <v>272.23333333333335</v>
      </c>
      <c r="U324" s="273">
        <v>3.6733194563487201E-3</v>
      </c>
      <c r="V324" s="218">
        <v>3.6960870245670708E-3</v>
      </c>
      <c r="W324" s="250">
        <v>6.3136203630690895E-5</v>
      </c>
      <c r="X324" s="250">
        <v>0.60095658572479771</v>
      </c>
      <c r="Z324" s="218">
        <v>316</v>
      </c>
      <c r="AA324" s="435">
        <v>0.59212656364974248</v>
      </c>
    </row>
    <row r="325" spans="1:27">
      <c r="A325" s="429">
        <v>0.68092592592592593</v>
      </c>
      <c r="B325" s="218">
        <v>270</v>
      </c>
      <c r="C325" s="218" t="s">
        <v>314</v>
      </c>
      <c r="D325" s="218">
        <v>135</v>
      </c>
      <c r="E325" s="218" t="s">
        <v>315</v>
      </c>
      <c r="F325" s="218">
        <v>22.7</v>
      </c>
      <c r="G325" s="218" t="s">
        <v>316</v>
      </c>
      <c r="H325" s="218">
        <v>268</v>
      </c>
      <c r="I325" s="218">
        <f t="shared" si="17"/>
        <v>269</v>
      </c>
      <c r="J325" s="218">
        <f t="shared" si="18"/>
        <v>3.7174721189591076E-3</v>
      </c>
      <c r="K325" s="218">
        <f t="shared" si="19"/>
        <v>4.5543611624883254E-2</v>
      </c>
      <c r="L325" s="218">
        <f t="shared" si="20"/>
        <v>248.7</v>
      </c>
      <c r="M325" s="218" t="s">
        <v>323</v>
      </c>
      <c r="P325" s="218">
        <v>320</v>
      </c>
      <c r="Q325" s="218">
        <v>291.7</v>
      </c>
      <c r="R325" s="218">
        <v>340</v>
      </c>
      <c r="S325" s="218">
        <v>183</v>
      </c>
      <c r="T325" s="218">
        <v>271.56666666666666</v>
      </c>
      <c r="U325" s="273">
        <v>3.682337056585246E-3</v>
      </c>
      <c r="V325" s="218">
        <v>3.6778282564669832E-3</v>
      </c>
      <c r="W325" s="250">
        <v>6.2824309107334069E-5</v>
      </c>
      <c r="X325" s="250">
        <v>0.5994849153789551</v>
      </c>
      <c r="Z325" s="218">
        <v>317</v>
      </c>
      <c r="AA325" s="435">
        <v>0.5958057395143489</v>
      </c>
    </row>
    <row r="326" spans="1:27">
      <c r="A326" s="429">
        <v>0.68093750000000008</v>
      </c>
      <c r="B326" s="218">
        <v>269</v>
      </c>
      <c r="C326" s="218" t="s">
        <v>314</v>
      </c>
      <c r="D326" s="218">
        <v>135</v>
      </c>
      <c r="E326" s="218" t="s">
        <v>315</v>
      </c>
      <c r="F326" s="218">
        <v>22.7</v>
      </c>
      <c r="G326" s="218" t="s">
        <v>316</v>
      </c>
      <c r="H326" s="218">
        <v>269</v>
      </c>
      <c r="I326" s="218">
        <f t="shared" si="17"/>
        <v>270</v>
      </c>
      <c r="J326" s="218">
        <f t="shared" si="18"/>
        <v>3.7037037037037038E-3</v>
      </c>
      <c r="K326" s="218">
        <f t="shared" si="19"/>
        <v>4.5557380040138658E-2</v>
      </c>
      <c r="L326" s="218">
        <f t="shared" si="20"/>
        <v>249.7</v>
      </c>
      <c r="M326" s="218" t="s">
        <v>323</v>
      </c>
      <c r="P326" s="218">
        <v>321</v>
      </c>
      <c r="Q326" s="218">
        <v>292.7</v>
      </c>
      <c r="R326" s="218">
        <v>342</v>
      </c>
      <c r="S326" s="218">
        <v>185</v>
      </c>
      <c r="T326" s="218">
        <v>273.23333333333335</v>
      </c>
      <c r="U326" s="273">
        <v>3.6598755642308161E-3</v>
      </c>
      <c r="V326" s="218">
        <v>3.6711063104080312E-3</v>
      </c>
      <c r="W326" s="250">
        <v>6.2709485470241209E-5</v>
      </c>
      <c r="X326" s="250">
        <v>0.60316409124356152</v>
      </c>
      <c r="Z326" s="218">
        <v>318</v>
      </c>
      <c r="AA326" s="435">
        <v>0.59359823399558509</v>
      </c>
    </row>
    <row r="327" spans="1:27">
      <c r="A327" s="429">
        <v>0.68094907407407401</v>
      </c>
      <c r="B327" s="218">
        <v>270</v>
      </c>
      <c r="C327" s="218" t="s">
        <v>314</v>
      </c>
      <c r="D327" s="218">
        <v>135</v>
      </c>
      <c r="E327" s="218" t="s">
        <v>315</v>
      </c>
      <c r="F327" s="218">
        <v>22.7</v>
      </c>
      <c r="G327" s="218" t="s">
        <v>316</v>
      </c>
      <c r="H327" s="218">
        <v>270</v>
      </c>
      <c r="I327" s="218">
        <f t="shared" si="17"/>
        <v>269</v>
      </c>
      <c r="J327" s="218">
        <f t="shared" si="18"/>
        <v>3.7174721189591076E-3</v>
      </c>
      <c r="K327" s="218">
        <f t="shared" si="19"/>
        <v>4.5543611624883254E-2</v>
      </c>
      <c r="L327" s="218">
        <f t="shared" si="20"/>
        <v>248.7</v>
      </c>
      <c r="M327" s="218" t="s">
        <v>323</v>
      </c>
      <c r="P327" s="218">
        <v>322</v>
      </c>
      <c r="Q327" s="218">
        <v>292.7</v>
      </c>
      <c r="R327" s="218">
        <v>342</v>
      </c>
      <c r="S327" s="218">
        <v>185</v>
      </c>
      <c r="T327" s="218">
        <v>273.23333333333335</v>
      </c>
      <c r="U327" s="273">
        <v>3.6598755642308161E-3</v>
      </c>
      <c r="V327" s="218">
        <v>3.6598755642308161E-3</v>
      </c>
      <c r="W327" s="250">
        <v>6.2517642942493283E-5</v>
      </c>
      <c r="X327" s="250">
        <v>0.60316409124356152</v>
      </c>
      <c r="Z327" s="218">
        <v>319</v>
      </c>
      <c r="AA327" s="435">
        <v>0.60095658572479771</v>
      </c>
    </row>
    <row r="328" spans="1:27">
      <c r="A328" s="429">
        <v>0.68096064814814816</v>
      </c>
      <c r="B328" s="218">
        <v>271</v>
      </c>
      <c r="C328" s="218" t="s">
        <v>314</v>
      </c>
      <c r="D328" s="218">
        <v>136</v>
      </c>
      <c r="E328" s="218" t="s">
        <v>315</v>
      </c>
      <c r="F328" s="218">
        <v>22.7</v>
      </c>
      <c r="G328" s="218" t="s">
        <v>316</v>
      </c>
      <c r="H328" s="218">
        <v>271</v>
      </c>
      <c r="I328" s="218">
        <f t="shared" si="17"/>
        <v>270</v>
      </c>
      <c r="J328" s="218">
        <f t="shared" si="18"/>
        <v>3.7037037037037038E-3</v>
      </c>
      <c r="K328" s="218">
        <f t="shared" si="19"/>
        <v>4.5557380040138658E-2</v>
      </c>
      <c r="L328" s="218">
        <f t="shared" si="20"/>
        <v>249.7</v>
      </c>
      <c r="M328" s="218" t="s">
        <v>323</v>
      </c>
      <c r="P328" s="218">
        <v>323</v>
      </c>
      <c r="Q328" s="218">
        <v>293.7</v>
      </c>
      <c r="R328" s="218">
        <v>344</v>
      </c>
      <c r="S328" s="218">
        <v>185</v>
      </c>
      <c r="T328" s="218">
        <v>274.23333333333335</v>
      </c>
      <c r="U328" s="273">
        <v>3.6465297192172113E-3</v>
      </c>
      <c r="V328" s="218">
        <v>3.6532026417240137E-3</v>
      </c>
      <c r="W328" s="250">
        <v>6.240365672101068E-5</v>
      </c>
      <c r="X328" s="250">
        <v>0.60537159676232533</v>
      </c>
      <c r="Z328" s="218">
        <v>320</v>
      </c>
      <c r="AA328" s="435">
        <v>0.5994849153789551</v>
      </c>
    </row>
    <row r="329" spans="1:27">
      <c r="A329" s="429">
        <v>0.6809722222222222</v>
      </c>
      <c r="B329" s="218">
        <v>271</v>
      </c>
      <c r="C329" s="218" t="s">
        <v>314</v>
      </c>
      <c r="D329" s="218">
        <v>136</v>
      </c>
      <c r="E329" s="218" t="s">
        <v>315</v>
      </c>
      <c r="F329" s="218">
        <v>22.7</v>
      </c>
      <c r="G329" s="218" t="s">
        <v>316</v>
      </c>
      <c r="H329" s="218">
        <v>272</v>
      </c>
      <c r="I329" s="218">
        <f t="shared" si="17"/>
        <v>271</v>
      </c>
      <c r="J329" s="218">
        <f t="shared" si="18"/>
        <v>3.6900369003690036E-3</v>
      </c>
      <c r="K329" s="218">
        <f t="shared" si="19"/>
        <v>4.5571046843473358E-2</v>
      </c>
      <c r="L329" s="218">
        <f t="shared" si="20"/>
        <v>250.7</v>
      </c>
      <c r="M329" s="218" t="s">
        <v>323</v>
      </c>
      <c r="P329" s="218">
        <v>324</v>
      </c>
      <c r="Q329" s="218">
        <v>294.7</v>
      </c>
      <c r="R329" s="218">
        <v>344</v>
      </c>
      <c r="S329" s="218">
        <v>185</v>
      </c>
      <c r="T329" s="218">
        <v>274.56666666666666</v>
      </c>
      <c r="U329" s="273">
        <v>3.642102707296346E-3</v>
      </c>
      <c r="V329" s="218">
        <v>3.6443162132567784E-3</v>
      </c>
      <c r="W329" s="250">
        <v>6.2251859603267579E-5</v>
      </c>
      <c r="X329" s="250">
        <v>0.60610743193524652</v>
      </c>
      <c r="Z329" s="218">
        <v>321</v>
      </c>
      <c r="AA329" s="435">
        <v>0.60316409124356152</v>
      </c>
    </row>
    <row r="330" spans="1:27">
      <c r="A330" s="429">
        <v>0.68098379629629635</v>
      </c>
      <c r="B330" s="218">
        <v>274</v>
      </c>
      <c r="C330" s="218" t="s">
        <v>314</v>
      </c>
      <c r="D330" s="218">
        <v>137</v>
      </c>
      <c r="E330" s="218" t="s">
        <v>315</v>
      </c>
      <c r="F330" s="218">
        <v>22.7</v>
      </c>
      <c r="G330" s="218" t="s">
        <v>316</v>
      </c>
      <c r="H330" s="218">
        <v>273</v>
      </c>
      <c r="I330" s="218">
        <f t="shared" si="17"/>
        <v>271</v>
      </c>
      <c r="J330" s="218">
        <f t="shared" si="18"/>
        <v>3.6900369003690036E-3</v>
      </c>
      <c r="K330" s="218">
        <f t="shared" si="19"/>
        <v>4.5571046843473358E-2</v>
      </c>
      <c r="L330" s="218">
        <f t="shared" si="20"/>
        <v>250.7</v>
      </c>
      <c r="M330" s="218" t="s">
        <v>323</v>
      </c>
      <c r="P330" s="218">
        <v>325</v>
      </c>
      <c r="Q330" s="218">
        <v>294.7</v>
      </c>
      <c r="R330" s="218">
        <v>345</v>
      </c>
      <c r="S330" s="218">
        <v>187</v>
      </c>
      <c r="T330" s="218">
        <v>275.56666666666666</v>
      </c>
      <c r="U330" s="273">
        <v>3.6288859320188702E-3</v>
      </c>
      <c r="V330" s="218">
        <v>3.6354943196576081E-3</v>
      </c>
      <c r="W330" s="250">
        <v>6.2101164863943698E-5</v>
      </c>
      <c r="X330" s="250">
        <v>0.60831493745401033</v>
      </c>
      <c r="Z330" s="218">
        <v>322</v>
      </c>
      <c r="AA330" s="435">
        <v>0.60316409124356152</v>
      </c>
    </row>
    <row r="331" spans="1:27">
      <c r="A331" s="429">
        <v>0.68099537037037028</v>
      </c>
      <c r="B331" s="218">
        <v>273</v>
      </c>
      <c r="C331" s="218" t="s">
        <v>314</v>
      </c>
      <c r="D331" s="218">
        <v>137</v>
      </c>
      <c r="E331" s="218" t="s">
        <v>315</v>
      </c>
      <c r="F331" s="218">
        <v>22.7</v>
      </c>
      <c r="G331" s="218" t="s">
        <v>316</v>
      </c>
      <c r="H331" s="218">
        <v>274</v>
      </c>
      <c r="I331" s="218">
        <f t="shared" si="17"/>
        <v>274</v>
      </c>
      <c r="J331" s="218">
        <f t="shared" si="18"/>
        <v>3.6496350364963502E-3</v>
      </c>
      <c r="K331" s="218">
        <f t="shared" si="19"/>
        <v>4.5611448707346007E-2</v>
      </c>
      <c r="L331" s="218">
        <f t="shared" si="20"/>
        <v>253.7</v>
      </c>
      <c r="M331" s="218" t="s">
        <v>323</v>
      </c>
      <c r="P331" s="218">
        <v>326</v>
      </c>
      <c r="Q331" s="218">
        <v>296.7</v>
      </c>
      <c r="R331" s="218">
        <v>345</v>
      </c>
      <c r="S331" s="218">
        <v>187</v>
      </c>
      <c r="T331" s="218">
        <v>276.23333333333335</v>
      </c>
      <c r="U331" s="273">
        <v>3.620127911186195E-3</v>
      </c>
      <c r="V331" s="218">
        <v>3.6245069216025326E-3</v>
      </c>
      <c r="W331" s="250">
        <v>6.1913479185450246E-5</v>
      </c>
      <c r="X331" s="250">
        <v>0.60978660779985283</v>
      </c>
      <c r="Z331" s="218">
        <v>323</v>
      </c>
      <c r="AA331" s="435">
        <v>0.60537159676232533</v>
      </c>
    </row>
    <row r="332" spans="1:27">
      <c r="A332" s="429">
        <v>0.68100694444444443</v>
      </c>
      <c r="B332" s="218">
        <v>275</v>
      </c>
      <c r="C332" s="218" t="s">
        <v>314</v>
      </c>
      <c r="D332" s="218">
        <v>138</v>
      </c>
      <c r="E332" s="218" t="s">
        <v>315</v>
      </c>
      <c r="F332" s="218">
        <v>22.7</v>
      </c>
      <c r="G332" s="218" t="s">
        <v>316</v>
      </c>
      <c r="H332" s="218">
        <v>275</v>
      </c>
      <c r="I332" s="218">
        <f t="shared" si="17"/>
        <v>273</v>
      </c>
      <c r="J332" s="218">
        <f t="shared" si="18"/>
        <v>3.663003663003663E-3</v>
      </c>
      <c r="K332" s="218">
        <f t="shared" si="19"/>
        <v>4.5598080080838696E-2</v>
      </c>
      <c r="L332" s="218">
        <f t="shared" si="20"/>
        <v>252.7</v>
      </c>
      <c r="M332" s="218" t="s">
        <v>323</v>
      </c>
      <c r="P332" s="218">
        <v>327</v>
      </c>
      <c r="Q332" s="218">
        <v>294.7</v>
      </c>
      <c r="R332" s="218">
        <v>346</v>
      </c>
      <c r="S332" s="218">
        <v>188</v>
      </c>
      <c r="T332" s="218">
        <v>276.23333333333335</v>
      </c>
      <c r="U332" s="273">
        <v>3.620127911186195E-3</v>
      </c>
      <c r="V332" s="218">
        <v>3.620127911186195E-3</v>
      </c>
      <c r="W332" s="250">
        <v>6.1838677350020202E-5</v>
      </c>
      <c r="X332" s="250">
        <v>0.60978660779985283</v>
      </c>
      <c r="Z332" s="218">
        <v>324</v>
      </c>
      <c r="AA332" s="435">
        <v>0.60610743193524652</v>
      </c>
    </row>
    <row r="333" spans="1:27">
      <c r="A333" s="429">
        <v>0.68101851851851858</v>
      </c>
      <c r="B333" s="218">
        <v>278</v>
      </c>
      <c r="C333" s="218" t="s">
        <v>314</v>
      </c>
      <c r="D333" s="218">
        <v>139</v>
      </c>
      <c r="E333" s="218" t="s">
        <v>315</v>
      </c>
      <c r="F333" s="218">
        <v>22.7</v>
      </c>
      <c r="G333" s="218" t="s">
        <v>316</v>
      </c>
      <c r="H333" s="218">
        <v>276</v>
      </c>
      <c r="I333" s="218">
        <f t="shared" si="17"/>
        <v>275</v>
      </c>
      <c r="J333" s="218">
        <f t="shared" si="18"/>
        <v>3.6363636363636364E-3</v>
      </c>
      <c r="K333" s="218">
        <f t="shared" si="19"/>
        <v>4.5624720107478721E-2</v>
      </c>
      <c r="L333" s="218">
        <f t="shared" si="20"/>
        <v>254.7</v>
      </c>
      <c r="M333" s="218" t="s">
        <v>323</v>
      </c>
      <c r="P333" s="218">
        <v>328</v>
      </c>
      <c r="Q333" s="218">
        <v>297.7</v>
      </c>
      <c r="R333" s="218">
        <v>347</v>
      </c>
      <c r="S333" s="218">
        <v>188</v>
      </c>
      <c r="T333" s="218">
        <v>277.56666666666666</v>
      </c>
      <c r="U333" s="273">
        <v>3.6027380809415155E-3</v>
      </c>
      <c r="V333" s="218">
        <v>3.611432996063855E-3</v>
      </c>
      <c r="W333" s="250">
        <v>6.1690151644844211E-5</v>
      </c>
      <c r="X333" s="250">
        <v>0.61272994849153783</v>
      </c>
      <c r="Z333" s="218">
        <v>325</v>
      </c>
      <c r="AA333" s="435">
        <v>0.60831493745401033</v>
      </c>
    </row>
    <row r="334" spans="1:27">
      <c r="A334" s="429">
        <v>0.68103009259259262</v>
      </c>
      <c r="B334" s="218">
        <v>279</v>
      </c>
      <c r="C334" s="218" t="s">
        <v>314</v>
      </c>
      <c r="D334" s="218">
        <v>140</v>
      </c>
      <c r="E334" s="218" t="s">
        <v>315</v>
      </c>
      <c r="F334" s="218">
        <v>22.7</v>
      </c>
      <c r="G334" s="218" t="s">
        <v>316</v>
      </c>
      <c r="H334" s="218">
        <v>277</v>
      </c>
      <c r="I334" s="218">
        <f t="shared" si="17"/>
        <v>278</v>
      </c>
      <c r="J334" s="218">
        <f t="shared" si="18"/>
        <v>3.5971223021582736E-3</v>
      </c>
      <c r="K334" s="218">
        <f t="shared" si="19"/>
        <v>4.5663961441684088E-2</v>
      </c>
      <c r="L334" s="218">
        <f t="shared" si="20"/>
        <v>257.7</v>
      </c>
      <c r="M334" s="218" t="s">
        <v>323</v>
      </c>
      <c r="P334" s="218">
        <v>329</v>
      </c>
      <c r="Q334" s="218">
        <v>297.7</v>
      </c>
      <c r="R334" s="218">
        <v>346</v>
      </c>
      <c r="S334" s="218">
        <v>193</v>
      </c>
      <c r="T334" s="218">
        <v>278.90000000000003</v>
      </c>
      <c r="U334" s="273">
        <v>3.5855145213338109E-3</v>
      </c>
      <c r="V334" s="218">
        <v>3.594126301137663E-3</v>
      </c>
      <c r="W334" s="250">
        <v>6.1394520344019448E-5</v>
      </c>
      <c r="X334" s="250">
        <v>0.61567328918322306</v>
      </c>
      <c r="Z334" s="218">
        <v>326</v>
      </c>
      <c r="AA334" s="435">
        <v>0.60978660779985283</v>
      </c>
    </row>
    <row r="335" spans="1:27">
      <c r="A335" s="429">
        <v>0.68104166666666666</v>
      </c>
      <c r="B335" s="218">
        <v>279</v>
      </c>
      <c r="C335" s="218" t="s">
        <v>314</v>
      </c>
      <c r="D335" s="218">
        <v>140</v>
      </c>
      <c r="E335" s="218" t="s">
        <v>315</v>
      </c>
      <c r="F335" s="218">
        <v>22.7</v>
      </c>
      <c r="G335" s="218" t="s">
        <v>316</v>
      </c>
      <c r="H335" s="218">
        <v>278</v>
      </c>
      <c r="I335" s="218">
        <f t="shared" si="17"/>
        <v>279</v>
      </c>
      <c r="J335" s="218">
        <f t="shared" si="18"/>
        <v>3.5842293906810036E-3</v>
      </c>
      <c r="K335" s="218">
        <f t="shared" si="19"/>
        <v>4.5676854353161357E-2</v>
      </c>
      <c r="L335" s="218">
        <f t="shared" si="20"/>
        <v>258.7</v>
      </c>
      <c r="M335" s="218" t="s">
        <v>323</v>
      </c>
      <c r="P335" s="218">
        <v>330</v>
      </c>
      <c r="Q335" s="218">
        <v>297.7</v>
      </c>
      <c r="R335" s="218">
        <v>347</v>
      </c>
      <c r="S335" s="218">
        <v>193</v>
      </c>
      <c r="T335" s="218">
        <v>279.23333333333335</v>
      </c>
      <c r="U335" s="273">
        <v>3.5812343320997969E-3</v>
      </c>
      <c r="V335" s="218">
        <v>3.5833744267168037E-3</v>
      </c>
      <c r="W335" s="250">
        <v>6.1210857857629136E-5</v>
      </c>
      <c r="X335" s="250">
        <v>0.61640912435614426</v>
      </c>
      <c r="Z335" s="218">
        <v>327</v>
      </c>
      <c r="AA335" s="435">
        <v>0.60978660779985283</v>
      </c>
    </row>
    <row r="336" spans="1:27">
      <c r="A336" s="429">
        <v>0.6810532407407407</v>
      </c>
      <c r="B336" s="218">
        <v>280</v>
      </c>
      <c r="C336" s="218" t="s">
        <v>314</v>
      </c>
      <c r="D336" s="218">
        <v>140</v>
      </c>
      <c r="E336" s="218" t="s">
        <v>315</v>
      </c>
      <c r="F336" s="218">
        <v>22.7</v>
      </c>
      <c r="G336" s="218" t="s">
        <v>316</v>
      </c>
      <c r="H336" s="218">
        <v>279</v>
      </c>
      <c r="I336" s="218">
        <f t="shared" si="17"/>
        <v>279</v>
      </c>
      <c r="J336" s="218">
        <f t="shared" si="18"/>
        <v>3.5842293906810036E-3</v>
      </c>
      <c r="K336" s="218">
        <f t="shared" si="19"/>
        <v>4.5676854353161357E-2</v>
      </c>
      <c r="L336" s="218">
        <f t="shared" si="20"/>
        <v>258.7</v>
      </c>
      <c r="M336" s="218" t="s">
        <v>323</v>
      </c>
      <c r="P336" s="218">
        <v>331</v>
      </c>
      <c r="Q336" s="218">
        <v>299.7</v>
      </c>
      <c r="R336" s="218">
        <v>347</v>
      </c>
      <c r="S336" s="218">
        <v>194</v>
      </c>
      <c r="T336" s="218">
        <v>280.23333333333335</v>
      </c>
      <c r="U336" s="273">
        <v>3.5684548590460331E-3</v>
      </c>
      <c r="V336" s="218">
        <v>3.574844595572915E-3</v>
      </c>
      <c r="W336" s="250">
        <v>6.1065152101120584E-5</v>
      </c>
      <c r="X336" s="250">
        <v>0.61861662987490806</v>
      </c>
      <c r="Z336" s="218">
        <v>328</v>
      </c>
      <c r="AA336" s="435">
        <v>0.61272994849153783</v>
      </c>
    </row>
    <row r="337" spans="1:27">
      <c r="A337" s="429">
        <v>0.68106481481481485</v>
      </c>
      <c r="B337" s="218">
        <v>281</v>
      </c>
      <c r="C337" s="218" t="s">
        <v>314</v>
      </c>
      <c r="D337" s="218">
        <v>141</v>
      </c>
      <c r="E337" s="218" t="s">
        <v>315</v>
      </c>
      <c r="F337" s="218">
        <v>22.7</v>
      </c>
      <c r="G337" s="218" t="s">
        <v>316</v>
      </c>
      <c r="H337" s="218">
        <v>280</v>
      </c>
      <c r="I337" s="218">
        <f t="shared" si="17"/>
        <v>280</v>
      </c>
      <c r="J337" s="218">
        <f t="shared" si="18"/>
        <v>3.5714285714285713E-3</v>
      </c>
      <c r="K337" s="218">
        <f t="shared" si="19"/>
        <v>4.5689655172413787E-2</v>
      </c>
      <c r="L337" s="218">
        <f t="shared" si="20"/>
        <v>259.7</v>
      </c>
      <c r="M337" s="218" t="s">
        <v>323</v>
      </c>
      <c r="P337" s="218">
        <v>332</v>
      </c>
      <c r="Q337" s="218">
        <v>301.7</v>
      </c>
      <c r="R337" s="218">
        <v>348</v>
      </c>
      <c r="S337" s="218">
        <v>194</v>
      </c>
      <c r="T337" s="218">
        <v>281.23333333333335</v>
      </c>
      <c r="U337" s="273">
        <v>3.5557662676306743E-3</v>
      </c>
      <c r="V337" s="218">
        <v>3.5621105633383537E-3</v>
      </c>
      <c r="W337" s="250">
        <v>6.0847630585296641E-5</v>
      </c>
      <c r="X337" s="250">
        <v>0.62082413539367187</v>
      </c>
      <c r="Z337" s="218">
        <v>329</v>
      </c>
      <c r="AA337" s="435">
        <v>0.61567328918322306</v>
      </c>
    </row>
    <row r="338" spans="1:27">
      <c r="A338" s="429">
        <v>0.68107638888888899</v>
      </c>
      <c r="B338" s="218">
        <v>280</v>
      </c>
      <c r="C338" s="218" t="s">
        <v>314</v>
      </c>
      <c r="D338" s="218">
        <v>140</v>
      </c>
      <c r="E338" s="218" t="s">
        <v>315</v>
      </c>
      <c r="F338" s="218">
        <v>22.7</v>
      </c>
      <c r="G338" s="218" t="s">
        <v>316</v>
      </c>
      <c r="H338" s="218">
        <v>281</v>
      </c>
      <c r="I338" s="218">
        <f t="shared" si="17"/>
        <v>281</v>
      </c>
      <c r="J338" s="218">
        <f t="shared" si="18"/>
        <v>3.5587188612099642E-3</v>
      </c>
      <c r="K338" s="218">
        <f t="shared" si="19"/>
        <v>4.5702364882632393E-2</v>
      </c>
      <c r="L338" s="218">
        <f t="shared" si="20"/>
        <v>260.7</v>
      </c>
      <c r="M338" s="218" t="s">
        <v>323</v>
      </c>
      <c r="P338" s="218">
        <v>333</v>
      </c>
      <c r="Q338" s="218">
        <v>301.7</v>
      </c>
      <c r="R338" s="218">
        <v>349</v>
      </c>
      <c r="S338" s="218">
        <v>195</v>
      </c>
      <c r="T338" s="218">
        <v>281.90000000000003</v>
      </c>
      <c r="U338" s="273">
        <v>3.5473572188719398E-3</v>
      </c>
      <c r="V338" s="218">
        <v>3.5515617432513068E-3</v>
      </c>
      <c r="W338" s="250">
        <v>6.0667436653537865E-5</v>
      </c>
      <c r="X338" s="250">
        <v>0.62229580573951437</v>
      </c>
      <c r="Z338" s="218">
        <v>330</v>
      </c>
      <c r="AA338" s="435">
        <v>0.61640912435614426</v>
      </c>
    </row>
    <row r="339" spans="1:27">
      <c r="A339" s="429">
        <v>0.68108796296296292</v>
      </c>
      <c r="B339" s="218">
        <v>283</v>
      </c>
      <c r="C339" s="218" t="s">
        <v>314</v>
      </c>
      <c r="D339" s="218">
        <v>142</v>
      </c>
      <c r="E339" s="218" t="s">
        <v>315</v>
      </c>
      <c r="F339" s="218">
        <v>22.7</v>
      </c>
      <c r="G339" s="218" t="s">
        <v>316</v>
      </c>
      <c r="H339" s="218">
        <v>282</v>
      </c>
      <c r="I339" s="218">
        <f t="shared" si="17"/>
        <v>280</v>
      </c>
      <c r="J339" s="218">
        <f t="shared" si="18"/>
        <v>3.5714285714285713E-3</v>
      </c>
      <c r="K339" s="218">
        <f t="shared" si="19"/>
        <v>4.5689655172413787E-2</v>
      </c>
      <c r="L339" s="218">
        <f t="shared" si="20"/>
        <v>259.7</v>
      </c>
      <c r="M339" s="218" t="s">
        <v>323</v>
      </c>
      <c r="P339" s="218">
        <v>334</v>
      </c>
      <c r="Q339" s="218">
        <v>301.7</v>
      </c>
      <c r="R339" s="218">
        <v>350</v>
      </c>
      <c r="S339" s="218">
        <v>195</v>
      </c>
      <c r="T339" s="218">
        <v>282.23333333333335</v>
      </c>
      <c r="U339" s="273">
        <v>3.5431675918270933E-3</v>
      </c>
      <c r="V339" s="218">
        <v>3.5452624053495165E-3</v>
      </c>
      <c r="W339" s="250">
        <v>6.0559831968403987E-5</v>
      </c>
      <c r="X339" s="250">
        <v>0.62303164091243568</v>
      </c>
      <c r="Z339" s="218">
        <v>331</v>
      </c>
      <c r="AA339" s="435">
        <v>0.61861662987490806</v>
      </c>
    </row>
    <row r="340" spans="1:27">
      <c r="A340" s="429">
        <v>0.68109953703703707</v>
      </c>
      <c r="B340" s="218">
        <v>283</v>
      </c>
      <c r="C340" s="218" t="s">
        <v>314</v>
      </c>
      <c r="D340" s="218">
        <v>142</v>
      </c>
      <c r="E340" s="218" t="s">
        <v>315</v>
      </c>
      <c r="F340" s="218">
        <v>22.7</v>
      </c>
      <c r="G340" s="218" t="s">
        <v>316</v>
      </c>
      <c r="H340" s="218">
        <v>283</v>
      </c>
      <c r="I340" s="218">
        <f t="shared" si="17"/>
        <v>283</v>
      </c>
      <c r="J340" s="218">
        <f t="shared" si="18"/>
        <v>3.5335689045936395E-3</v>
      </c>
      <c r="K340" s="218">
        <f t="shared" si="19"/>
        <v>4.5727514839248723E-2</v>
      </c>
      <c r="L340" s="218">
        <f t="shared" si="20"/>
        <v>262.7</v>
      </c>
      <c r="M340" s="218" t="s">
        <v>323</v>
      </c>
      <c r="P340" s="218">
        <v>335</v>
      </c>
      <c r="Q340" s="218">
        <v>302.7</v>
      </c>
      <c r="R340" s="218">
        <v>350</v>
      </c>
      <c r="S340" s="218">
        <v>196</v>
      </c>
      <c r="T340" s="218">
        <v>282.90000000000003</v>
      </c>
      <c r="U340" s="273">
        <v>3.5348179568752205E-3</v>
      </c>
      <c r="V340" s="218">
        <v>3.5389927743511569E-3</v>
      </c>
      <c r="W340" s="250">
        <v>6.0452734733741855E-5</v>
      </c>
      <c r="X340" s="250">
        <v>0.62450331125827818</v>
      </c>
      <c r="Z340" s="218">
        <v>332</v>
      </c>
      <c r="AA340" s="435">
        <v>0.62082413539367187</v>
      </c>
    </row>
    <row r="341" spans="1:27">
      <c r="A341" s="429">
        <v>0.68111111111111111</v>
      </c>
      <c r="B341" s="218">
        <v>285</v>
      </c>
      <c r="C341" s="218" t="s">
        <v>314</v>
      </c>
      <c r="D341" s="218">
        <v>143</v>
      </c>
      <c r="E341" s="218" t="s">
        <v>315</v>
      </c>
      <c r="F341" s="218">
        <v>22.7</v>
      </c>
      <c r="G341" s="218" t="s">
        <v>316</v>
      </c>
      <c r="H341" s="218">
        <v>284</v>
      </c>
      <c r="I341" s="218">
        <f t="shared" si="17"/>
        <v>283</v>
      </c>
      <c r="J341" s="218">
        <f t="shared" si="18"/>
        <v>3.5335689045936395E-3</v>
      </c>
      <c r="K341" s="218">
        <f t="shared" si="19"/>
        <v>4.5727514839248723E-2</v>
      </c>
      <c r="L341" s="218">
        <f t="shared" si="20"/>
        <v>262.7</v>
      </c>
      <c r="M341" s="218" t="s">
        <v>323</v>
      </c>
      <c r="P341" s="218">
        <v>336</v>
      </c>
      <c r="Q341" s="218">
        <v>301.7</v>
      </c>
      <c r="R341" s="218">
        <v>351</v>
      </c>
      <c r="S341" s="218">
        <v>196</v>
      </c>
      <c r="T341" s="218">
        <v>282.90000000000003</v>
      </c>
      <c r="U341" s="273">
        <v>3.5348179568752205E-3</v>
      </c>
      <c r="V341" s="218">
        <v>3.5348179568752205E-3</v>
      </c>
      <c r="W341" s="250">
        <v>6.0381420902511768E-5</v>
      </c>
      <c r="X341" s="250">
        <v>0.62450331125827818</v>
      </c>
      <c r="Z341" s="218">
        <v>333</v>
      </c>
      <c r="AA341" s="435">
        <v>0.62229580573951437</v>
      </c>
    </row>
    <row r="342" spans="1:27">
      <c r="A342" s="429">
        <v>0.68112268518518515</v>
      </c>
      <c r="B342" s="218">
        <v>287</v>
      </c>
      <c r="C342" s="218" t="s">
        <v>314</v>
      </c>
      <c r="D342" s="218">
        <v>144</v>
      </c>
      <c r="E342" s="218" t="s">
        <v>315</v>
      </c>
      <c r="F342" s="218">
        <v>22.7</v>
      </c>
      <c r="G342" s="218" t="s">
        <v>316</v>
      </c>
      <c r="H342" s="218">
        <v>285</v>
      </c>
      <c r="I342" s="218">
        <f t="shared" si="17"/>
        <v>285</v>
      </c>
      <c r="J342" s="218">
        <f t="shared" si="18"/>
        <v>3.5087719298245615E-3</v>
      </c>
      <c r="K342" s="218">
        <f t="shared" si="19"/>
        <v>4.5752311814017801E-2</v>
      </c>
      <c r="L342" s="218">
        <f t="shared" si="20"/>
        <v>264.7</v>
      </c>
      <c r="M342" s="218" t="s">
        <v>323</v>
      </c>
      <c r="P342" s="218">
        <v>337</v>
      </c>
      <c r="Q342" s="218">
        <v>303.7</v>
      </c>
      <c r="R342" s="218">
        <v>350</v>
      </c>
      <c r="S342" s="218">
        <v>198</v>
      </c>
      <c r="T342" s="218">
        <v>283.90000000000003</v>
      </c>
      <c r="U342" s="273">
        <v>3.5223670306445925E-3</v>
      </c>
      <c r="V342" s="218">
        <v>3.5285924937599068E-3</v>
      </c>
      <c r="W342" s="250">
        <v>6.027507813938653E-5</v>
      </c>
      <c r="X342" s="250">
        <v>0.62671081677704199</v>
      </c>
      <c r="Z342" s="218">
        <v>334</v>
      </c>
      <c r="AA342" s="435">
        <v>0.62303164091243568</v>
      </c>
    </row>
    <row r="343" spans="1:27">
      <c r="A343" s="429">
        <v>0.68113425925925919</v>
      </c>
      <c r="B343" s="218">
        <v>287</v>
      </c>
      <c r="C343" s="218" t="s">
        <v>314</v>
      </c>
      <c r="D343" s="218">
        <v>144</v>
      </c>
      <c r="E343" s="218" t="s">
        <v>315</v>
      </c>
      <c r="F343" s="218">
        <v>22.7</v>
      </c>
      <c r="G343" s="218" t="s">
        <v>316</v>
      </c>
      <c r="H343" s="218">
        <v>286</v>
      </c>
      <c r="I343" s="218">
        <f t="shared" si="17"/>
        <v>287</v>
      </c>
      <c r="J343" s="218">
        <f t="shared" si="18"/>
        <v>3.4843205574912892E-3</v>
      </c>
      <c r="K343" s="218">
        <f t="shared" si="19"/>
        <v>4.5776763186351072E-2</v>
      </c>
      <c r="L343" s="218">
        <f t="shared" si="20"/>
        <v>266.7</v>
      </c>
      <c r="M343" s="218" t="s">
        <v>323</v>
      </c>
      <c r="P343" s="218">
        <v>338</v>
      </c>
      <c r="Q343" s="218">
        <v>303.7</v>
      </c>
      <c r="R343" s="218">
        <v>353</v>
      </c>
      <c r="S343" s="218">
        <v>198</v>
      </c>
      <c r="T343" s="218">
        <v>284.90000000000003</v>
      </c>
      <c r="U343" s="273">
        <v>3.5100035100035097E-3</v>
      </c>
      <c r="V343" s="218">
        <v>3.5161852703240511E-3</v>
      </c>
      <c r="W343" s="250">
        <v>6.0063139140079711E-5</v>
      </c>
      <c r="X343" s="250">
        <v>0.6289183222958058</v>
      </c>
      <c r="Z343" s="218">
        <v>335</v>
      </c>
      <c r="AA343" s="435">
        <v>0.62450331125827818</v>
      </c>
    </row>
    <row r="344" spans="1:27">
      <c r="A344" s="429">
        <v>0.68114583333333334</v>
      </c>
      <c r="B344" s="218">
        <v>287</v>
      </c>
      <c r="C344" s="218" t="s">
        <v>314</v>
      </c>
      <c r="D344" s="218">
        <v>144</v>
      </c>
      <c r="E344" s="218" t="s">
        <v>315</v>
      </c>
      <c r="F344" s="218">
        <v>22.7</v>
      </c>
      <c r="G344" s="218" t="s">
        <v>316</v>
      </c>
      <c r="H344" s="218">
        <v>287</v>
      </c>
      <c r="I344" s="218">
        <f t="shared" si="17"/>
        <v>287</v>
      </c>
      <c r="J344" s="218">
        <f t="shared" si="18"/>
        <v>3.4843205574912892E-3</v>
      </c>
      <c r="K344" s="218">
        <f t="shared" si="19"/>
        <v>4.5776763186351072E-2</v>
      </c>
      <c r="L344" s="218">
        <f t="shared" si="20"/>
        <v>266.7</v>
      </c>
      <c r="M344" s="218" t="s">
        <v>323</v>
      </c>
      <c r="P344" s="218">
        <v>339</v>
      </c>
      <c r="Q344" s="218">
        <v>305.7</v>
      </c>
      <c r="R344" s="218">
        <v>351</v>
      </c>
      <c r="S344" s="218">
        <v>202</v>
      </c>
      <c r="T344" s="218">
        <v>286.23333333333335</v>
      </c>
      <c r="U344" s="273">
        <v>3.4936531966926749E-3</v>
      </c>
      <c r="V344" s="218">
        <v>3.5018283533480923E-3</v>
      </c>
      <c r="W344" s="250">
        <v>5.981789566294345E-5</v>
      </c>
      <c r="X344" s="250">
        <v>0.6318616629874908</v>
      </c>
      <c r="Z344" s="218">
        <v>336</v>
      </c>
      <c r="AA344" s="435">
        <v>0.62450331125827818</v>
      </c>
    </row>
    <row r="345" spans="1:27">
      <c r="A345" s="429">
        <v>0.68115740740740749</v>
      </c>
      <c r="B345" s="218">
        <v>287</v>
      </c>
      <c r="C345" s="218" t="s">
        <v>314</v>
      </c>
      <c r="D345" s="218">
        <v>144</v>
      </c>
      <c r="E345" s="218" t="s">
        <v>315</v>
      </c>
      <c r="F345" s="218">
        <v>22.7</v>
      </c>
      <c r="G345" s="218" t="s">
        <v>316</v>
      </c>
      <c r="H345" s="218">
        <v>288</v>
      </c>
      <c r="I345" s="218">
        <f t="shared" si="17"/>
        <v>287</v>
      </c>
      <c r="J345" s="218">
        <f t="shared" si="18"/>
        <v>3.4843205574912892E-3</v>
      </c>
      <c r="K345" s="218">
        <f t="shared" si="19"/>
        <v>4.5776763186351072E-2</v>
      </c>
      <c r="L345" s="218">
        <f t="shared" si="20"/>
        <v>266.7</v>
      </c>
      <c r="M345" s="218" t="s">
        <v>323</v>
      </c>
      <c r="P345" s="218">
        <v>340</v>
      </c>
      <c r="Q345" s="218">
        <v>306.7</v>
      </c>
      <c r="R345" s="218">
        <v>354</v>
      </c>
      <c r="S345" s="218">
        <v>202</v>
      </c>
      <c r="T345" s="218">
        <v>287.56666666666666</v>
      </c>
      <c r="U345" s="273">
        <v>3.477454503303582E-3</v>
      </c>
      <c r="V345" s="218">
        <v>3.4855538499981285E-3</v>
      </c>
      <c r="W345" s="250">
        <v>5.9539896159505884E-5</v>
      </c>
      <c r="X345" s="250">
        <v>0.63480500367917581</v>
      </c>
      <c r="Z345" s="218">
        <v>337</v>
      </c>
      <c r="AA345" s="435">
        <v>0.62671081677704199</v>
      </c>
    </row>
    <row r="346" spans="1:27">
      <c r="A346" s="429">
        <v>0.68116898148148142</v>
      </c>
      <c r="B346" s="218">
        <v>289</v>
      </c>
      <c r="C346" s="218" t="s">
        <v>314</v>
      </c>
      <c r="D346" s="218">
        <v>145</v>
      </c>
      <c r="E346" s="218" t="s">
        <v>315</v>
      </c>
      <c r="F346" s="218">
        <v>22.7</v>
      </c>
      <c r="G346" s="218" t="s">
        <v>316</v>
      </c>
      <c r="H346" s="218">
        <v>289</v>
      </c>
      <c r="I346" s="218">
        <f t="shared" si="17"/>
        <v>287</v>
      </c>
      <c r="J346" s="218">
        <f t="shared" si="18"/>
        <v>3.4843205574912892E-3</v>
      </c>
      <c r="K346" s="218">
        <f t="shared" si="19"/>
        <v>4.5776763186351072E-2</v>
      </c>
      <c r="L346" s="218">
        <f t="shared" si="20"/>
        <v>266.7</v>
      </c>
      <c r="M346" s="218" t="s">
        <v>323</v>
      </c>
      <c r="P346" s="218">
        <v>341</v>
      </c>
      <c r="Q346" s="218">
        <v>307.7</v>
      </c>
      <c r="R346" s="218">
        <v>354</v>
      </c>
      <c r="S346" s="218">
        <v>201</v>
      </c>
      <c r="T346" s="218">
        <v>287.56666666666666</v>
      </c>
      <c r="U346" s="273">
        <v>3.477454503303582E-3</v>
      </c>
      <c r="V346" s="218">
        <v>3.477454503303582E-3</v>
      </c>
      <c r="W346" s="250">
        <v>5.9401543897023004E-5</v>
      </c>
      <c r="X346" s="250">
        <v>0.63480500367917581</v>
      </c>
      <c r="Z346" s="218">
        <v>338</v>
      </c>
      <c r="AA346" s="435">
        <v>0.6289183222958058</v>
      </c>
    </row>
    <row r="347" spans="1:27">
      <c r="A347" s="429">
        <v>0.68118055555555557</v>
      </c>
      <c r="B347" s="218">
        <v>287</v>
      </c>
      <c r="C347" s="218" t="s">
        <v>314</v>
      </c>
      <c r="D347" s="218">
        <v>144</v>
      </c>
      <c r="E347" s="218" t="s">
        <v>315</v>
      </c>
      <c r="F347" s="218">
        <v>22.7</v>
      </c>
      <c r="G347" s="218" t="s">
        <v>316</v>
      </c>
      <c r="H347" s="218">
        <v>290</v>
      </c>
      <c r="I347" s="218">
        <f t="shared" si="17"/>
        <v>289</v>
      </c>
      <c r="J347" s="218">
        <f t="shared" si="18"/>
        <v>3.4602076124567475E-3</v>
      </c>
      <c r="K347" s="218">
        <f t="shared" si="19"/>
        <v>4.5800876131385615E-2</v>
      </c>
      <c r="L347" s="218">
        <f t="shared" si="20"/>
        <v>268.7</v>
      </c>
      <c r="M347" s="218" t="s">
        <v>323</v>
      </c>
      <c r="P347" s="218">
        <v>342</v>
      </c>
      <c r="Q347" s="218">
        <v>307.7</v>
      </c>
      <c r="R347" s="218">
        <v>356</v>
      </c>
      <c r="S347" s="218">
        <v>201</v>
      </c>
      <c r="T347" s="218">
        <v>288.23333333333335</v>
      </c>
      <c r="U347" s="273">
        <v>3.4694113565398401E-3</v>
      </c>
      <c r="V347" s="218">
        <v>3.4734329299217111E-3</v>
      </c>
      <c r="W347" s="250">
        <v>5.9332847766692222E-5</v>
      </c>
      <c r="X347" s="250">
        <v>0.63627667402501842</v>
      </c>
      <c r="Z347" s="218">
        <v>339</v>
      </c>
      <c r="AA347" s="435">
        <v>0.6318616629874908</v>
      </c>
    </row>
    <row r="348" spans="1:27">
      <c r="A348" s="429">
        <v>0.68119212962962961</v>
      </c>
      <c r="B348" s="218">
        <v>290</v>
      </c>
      <c r="C348" s="218" t="s">
        <v>314</v>
      </c>
      <c r="D348" s="218">
        <v>145</v>
      </c>
      <c r="E348" s="218" t="s">
        <v>315</v>
      </c>
      <c r="F348" s="218">
        <v>22.7</v>
      </c>
      <c r="G348" s="218" t="s">
        <v>316</v>
      </c>
      <c r="H348" s="218">
        <v>291</v>
      </c>
      <c r="I348" s="218">
        <f t="shared" si="17"/>
        <v>287</v>
      </c>
      <c r="J348" s="218">
        <f t="shared" si="18"/>
        <v>3.4843205574912892E-3</v>
      </c>
      <c r="K348" s="218">
        <f t="shared" si="19"/>
        <v>4.5776763186351072E-2</v>
      </c>
      <c r="L348" s="218">
        <f t="shared" si="20"/>
        <v>266.7</v>
      </c>
      <c r="M348" s="218" t="s">
        <v>323</v>
      </c>
      <c r="P348" s="218">
        <v>343</v>
      </c>
      <c r="Q348" s="218">
        <v>308.7</v>
      </c>
      <c r="R348" s="218">
        <v>356</v>
      </c>
      <c r="S348" s="218">
        <v>204</v>
      </c>
      <c r="T348" s="218">
        <v>289.56666666666666</v>
      </c>
      <c r="U348" s="273">
        <v>3.4534361689881432E-3</v>
      </c>
      <c r="V348" s="218">
        <v>3.4614237627639917E-3</v>
      </c>
      <c r="W348" s="250">
        <v>5.9127708326504504E-5</v>
      </c>
      <c r="X348" s="250">
        <v>0.63922001471670342</v>
      </c>
      <c r="Z348" s="218">
        <v>340</v>
      </c>
      <c r="AA348" s="435">
        <v>0.63480500367917581</v>
      </c>
    </row>
    <row r="349" spans="1:27">
      <c r="A349" s="429">
        <v>0.68120370370370376</v>
      </c>
      <c r="B349" s="218">
        <v>291</v>
      </c>
      <c r="C349" s="218" t="s">
        <v>314</v>
      </c>
      <c r="D349" s="218">
        <v>146</v>
      </c>
      <c r="E349" s="218" t="s">
        <v>315</v>
      </c>
      <c r="F349" s="218">
        <v>22.7</v>
      </c>
      <c r="G349" s="218" t="s">
        <v>316</v>
      </c>
      <c r="H349" s="218">
        <v>292</v>
      </c>
      <c r="I349" s="218">
        <f t="shared" si="17"/>
        <v>290</v>
      </c>
      <c r="J349" s="218">
        <f t="shared" si="18"/>
        <v>3.4482758620689655E-3</v>
      </c>
      <c r="K349" s="218">
        <f t="shared" si="19"/>
        <v>4.5812807881773394E-2</v>
      </c>
      <c r="L349" s="218">
        <f t="shared" si="20"/>
        <v>269.7</v>
      </c>
      <c r="M349" s="218" t="s">
        <v>323</v>
      </c>
      <c r="P349" s="218">
        <v>344</v>
      </c>
      <c r="Q349" s="218">
        <v>309.7</v>
      </c>
      <c r="R349" s="218">
        <v>357</v>
      </c>
      <c r="S349" s="218">
        <v>204</v>
      </c>
      <c r="T349" s="218">
        <v>290.23333333333335</v>
      </c>
      <c r="U349" s="273">
        <v>3.4455036177787985E-3</v>
      </c>
      <c r="V349" s="218">
        <v>3.4494698933834706E-3</v>
      </c>
      <c r="W349" s="250">
        <v>5.8923513477636832E-5</v>
      </c>
      <c r="X349" s="250">
        <v>0.64069168506254603</v>
      </c>
      <c r="Z349" s="218">
        <v>341</v>
      </c>
      <c r="AA349" s="435">
        <v>0.63480500367917581</v>
      </c>
    </row>
    <row r="350" spans="1:27">
      <c r="A350" s="429">
        <v>0.68121527777777768</v>
      </c>
      <c r="B350" s="218">
        <v>292</v>
      </c>
      <c r="C350" s="218" t="s">
        <v>314</v>
      </c>
      <c r="D350" s="218">
        <v>146</v>
      </c>
      <c r="E350" s="218" t="s">
        <v>315</v>
      </c>
      <c r="F350" s="218">
        <v>22.7</v>
      </c>
      <c r="G350" s="218" t="s">
        <v>316</v>
      </c>
      <c r="H350" s="218">
        <v>293</v>
      </c>
      <c r="I350" s="218">
        <f t="shared" si="17"/>
        <v>291</v>
      </c>
      <c r="J350" s="218">
        <f t="shared" si="18"/>
        <v>3.4364261168384879E-3</v>
      </c>
      <c r="K350" s="218">
        <f t="shared" si="19"/>
        <v>4.582465762700387E-2</v>
      </c>
      <c r="L350" s="218">
        <f t="shared" si="20"/>
        <v>270.7</v>
      </c>
      <c r="M350" s="218" t="s">
        <v>323</v>
      </c>
      <c r="P350" s="218">
        <v>345</v>
      </c>
      <c r="Q350" s="218">
        <v>309.7</v>
      </c>
      <c r="R350" s="218">
        <v>358</v>
      </c>
      <c r="S350" s="218">
        <v>207</v>
      </c>
      <c r="T350" s="218">
        <v>291.56666666666666</v>
      </c>
      <c r="U350" s="273">
        <v>3.4297473419458101E-3</v>
      </c>
      <c r="V350" s="218">
        <v>3.4376254798623041E-3</v>
      </c>
      <c r="W350" s="250">
        <v>5.8721188343247962E-5</v>
      </c>
      <c r="X350" s="250">
        <v>0.64363502575423104</v>
      </c>
      <c r="Z350" s="218">
        <v>342</v>
      </c>
      <c r="AA350" s="435">
        <v>0.63627667402501842</v>
      </c>
    </row>
    <row r="351" spans="1:27">
      <c r="A351" s="429">
        <v>0.68122685185185183</v>
      </c>
      <c r="B351" s="218">
        <v>293</v>
      </c>
      <c r="C351" s="218" t="s">
        <v>314</v>
      </c>
      <c r="D351" s="218">
        <v>147</v>
      </c>
      <c r="E351" s="218" t="s">
        <v>315</v>
      </c>
      <c r="F351" s="218">
        <v>22.7</v>
      </c>
      <c r="G351" s="218" t="s">
        <v>316</v>
      </c>
      <c r="H351" s="218">
        <v>294</v>
      </c>
      <c r="I351" s="218">
        <f t="shared" si="17"/>
        <v>292</v>
      </c>
      <c r="J351" s="218">
        <f t="shared" si="18"/>
        <v>3.4246575342465752E-3</v>
      </c>
      <c r="K351" s="218">
        <f t="shared" si="19"/>
        <v>4.5836426209595785E-2</v>
      </c>
      <c r="L351" s="218">
        <f t="shared" si="20"/>
        <v>271.7</v>
      </c>
      <c r="M351" s="218" t="s">
        <v>323</v>
      </c>
      <c r="P351" s="218">
        <v>346</v>
      </c>
      <c r="Q351" s="218">
        <v>314.7</v>
      </c>
      <c r="R351" s="218">
        <v>359</v>
      </c>
      <c r="S351" s="218">
        <v>207</v>
      </c>
      <c r="T351" s="218">
        <v>293.56666666666666</v>
      </c>
      <c r="U351" s="273">
        <v>3.4063812876121268E-3</v>
      </c>
      <c r="V351" s="218">
        <v>3.4180643147789687E-3</v>
      </c>
      <c r="W351" s="250">
        <v>5.8387046399688157E-5</v>
      </c>
      <c r="X351" s="250">
        <v>0.64805003679175865</v>
      </c>
      <c r="Z351" s="218">
        <v>343</v>
      </c>
      <c r="AA351" s="435">
        <v>0.63922001471670342</v>
      </c>
    </row>
    <row r="352" spans="1:27">
      <c r="A352" s="429">
        <v>0.68123842592592598</v>
      </c>
      <c r="B352" s="218">
        <v>295</v>
      </c>
      <c r="C352" s="218" t="s">
        <v>314</v>
      </c>
      <c r="D352" s="218">
        <v>148</v>
      </c>
      <c r="E352" s="218" t="s">
        <v>315</v>
      </c>
      <c r="F352" s="218">
        <v>22.7</v>
      </c>
      <c r="G352" s="218" t="s">
        <v>316</v>
      </c>
      <c r="H352" s="218">
        <v>295</v>
      </c>
      <c r="I352" s="218">
        <f t="shared" si="17"/>
        <v>293</v>
      </c>
      <c r="J352" s="218">
        <f t="shared" si="18"/>
        <v>3.4129692832764505E-3</v>
      </c>
      <c r="K352" s="218">
        <f t="shared" si="19"/>
        <v>4.5848114460565907E-2</v>
      </c>
      <c r="L352" s="218">
        <f t="shared" si="20"/>
        <v>272.7</v>
      </c>
      <c r="M352" s="218" t="s">
        <v>323</v>
      </c>
      <c r="P352" s="218">
        <v>347</v>
      </c>
      <c r="Q352" s="218">
        <v>313.7</v>
      </c>
      <c r="R352" s="218">
        <v>361</v>
      </c>
      <c r="S352" s="218">
        <v>209</v>
      </c>
      <c r="T352" s="218">
        <v>294.56666666666666</v>
      </c>
      <c r="U352" s="273">
        <v>3.3948172456716081E-3</v>
      </c>
      <c r="V352" s="218">
        <v>3.4005992666418672E-3</v>
      </c>
      <c r="W352" s="250">
        <v>5.8088710124520768E-5</v>
      </c>
      <c r="X352" s="250">
        <v>0.65025754231052246</v>
      </c>
      <c r="Z352" s="218">
        <v>344</v>
      </c>
      <c r="AA352" s="435">
        <v>0.64069168506254603</v>
      </c>
    </row>
    <row r="353" spans="1:27">
      <c r="A353" s="429">
        <v>0.68125000000000002</v>
      </c>
      <c r="B353" s="218">
        <v>295</v>
      </c>
      <c r="C353" s="218" t="s">
        <v>314</v>
      </c>
      <c r="D353" s="218">
        <v>148</v>
      </c>
      <c r="E353" s="218" t="s">
        <v>315</v>
      </c>
      <c r="F353" s="218">
        <v>22.7</v>
      </c>
      <c r="G353" s="218" t="s">
        <v>316</v>
      </c>
      <c r="H353" s="218">
        <v>296</v>
      </c>
      <c r="I353" s="218">
        <f t="shared" si="17"/>
        <v>295</v>
      </c>
      <c r="J353" s="218">
        <f t="shared" si="18"/>
        <v>3.3898305084745762E-3</v>
      </c>
      <c r="K353" s="218">
        <f t="shared" si="19"/>
        <v>4.5871253235367782E-2</v>
      </c>
      <c r="L353" s="218">
        <f t="shared" si="20"/>
        <v>274.7</v>
      </c>
      <c r="M353" s="218" t="s">
        <v>323</v>
      </c>
      <c r="P353" s="218">
        <v>348</v>
      </c>
      <c r="Q353" s="218">
        <v>314.7</v>
      </c>
      <c r="R353" s="218">
        <v>361</v>
      </c>
      <c r="S353" s="218">
        <v>209</v>
      </c>
      <c r="T353" s="218">
        <v>294.90000000000003</v>
      </c>
      <c r="U353" s="273">
        <v>3.3909799932180396E-3</v>
      </c>
      <c r="V353" s="218">
        <v>3.3928986194448237E-3</v>
      </c>
      <c r="W353" s="250">
        <v>5.795716840856845E-5</v>
      </c>
      <c r="X353" s="250">
        <v>0.65099337748344377</v>
      </c>
      <c r="Z353" s="218">
        <v>345</v>
      </c>
      <c r="AA353" s="435">
        <v>0.64363502575423104</v>
      </c>
    </row>
    <row r="354" spans="1:27">
      <c r="A354" s="429">
        <v>0.68126157407407406</v>
      </c>
      <c r="B354" s="218">
        <v>295</v>
      </c>
      <c r="C354" s="218" t="s">
        <v>314</v>
      </c>
      <c r="D354" s="218">
        <v>148</v>
      </c>
      <c r="E354" s="218" t="s">
        <v>315</v>
      </c>
      <c r="F354" s="218">
        <v>22.7</v>
      </c>
      <c r="G354" s="218" t="s">
        <v>316</v>
      </c>
      <c r="H354" s="218">
        <v>297</v>
      </c>
      <c r="I354" s="218">
        <f t="shared" si="17"/>
        <v>295</v>
      </c>
      <c r="J354" s="218">
        <f t="shared" si="18"/>
        <v>3.3898305084745762E-3</v>
      </c>
      <c r="K354" s="218">
        <f t="shared" si="19"/>
        <v>4.5871253235367782E-2</v>
      </c>
      <c r="L354" s="218">
        <f t="shared" si="20"/>
        <v>274.7</v>
      </c>
      <c r="M354" s="218" t="s">
        <v>323</v>
      </c>
      <c r="P354" s="218">
        <v>349</v>
      </c>
      <c r="Q354" s="218">
        <v>315.7</v>
      </c>
      <c r="R354" s="218">
        <v>363</v>
      </c>
      <c r="S354" s="218">
        <v>210</v>
      </c>
      <c r="T354" s="218">
        <v>296.23333333333335</v>
      </c>
      <c r="U354" s="273">
        <v>3.375717339934736E-3</v>
      </c>
      <c r="V354" s="218">
        <v>3.3833486665763878E-3</v>
      </c>
      <c r="W354" s="250">
        <v>5.7794037030720093E-5</v>
      </c>
      <c r="X354" s="250">
        <v>0.65393671817512877</v>
      </c>
      <c r="Z354" s="218">
        <v>346</v>
      </c>
      <c r="AA354" s="435">
        <v>0.64805003679175865</v>
      </c>
    </row>
    <row r="355" spans="1:27">
      <c r="A355" s="429">
        <v>0.6812731481481481</v>
      </c>
      <c r="B355" s="218">
        <v>297</v>
      </c>
      <c r="C355" s="218" t="s">
        <v>314</v>
      </c>
      <c r="D355" s="218">
        <v>149</v>
      </c>
      <c r="E355" s="218" t="s">
        <v>315</v>
      </c>
      <c r="F355" s="218">
        <v>22.7</v>
      </c>
      <c r="G355" s="218" t="s">
        <v>316</v>
      </c>
      <c r="H355" s="218">
        <v>298</v>
      </c>
      <c r="I355" s="218">
        <f t="shared" si="17"/>
        <v>295</v>
      </c>
      <c r="J355" s="218">
        <f t="shared" si="18"/>
        <v>3.3898305084745762E-3</v>
      </c>
      <c r="K355" s="218">
        <f t="shared" si="19"/>
        <v>4.5871253235367782E-2</v>
      </c>
      <c r="L355" s="218">
        <f t="shared" si="20"/>
        <v>274.7</v>
      </c>
      <c r="M355" s="218" t="s">
        <v>323</v>
      </c>
      <c r="P355" s="218">
        <v>350</v>
      </c>
      <c r="Q355" s="218">
        <v>314.7</v>
      </c>
      <c r="R355" s="218">
        <v>362</v>
      </c>
      <c r="S355" s="218">
        <v>210</v>
      </c>
      <c r="T355" s="218">
        <v>295.56666666666666</v>
      </c>
      <c r="U355" s="273">
        <v>3.3833314537047481E-3</v>
      </c>
      <c r="V355" s="218">
        <v>3.3795243968197421E-3</v>
      </c>
      <c r="W355" s="250">
        <v>5.7728711221968994E-5</v>
      </c>
      <c r="X355" s="250">
        <v>0.65246504782928627</v>
      </c>
      <c r="Z355" s="218">
        <v>347</v>
      </c>
      <c r="AA355" s="435">
        <v>0.65025754231052246</v>
      </c>
    </row>
    <row r="356" spans="1:27">
      <c r="A356" s="429">
        <v>0.68128472222222225</v>
      </c>
      <c r="B356" s="218">
        <v>294</v>
      </c>
      <c r="C356" s="218" t="s">
        <v>314</v>
      </c>
      <c r="D356" s="218">
        <v>147</v>
      </c>
      <c r="E356" s="218" t="s">
        <v>315</v>
      </c>
      <c r="F356" s="218">
        <v>22.7</v>
      </c>
      <c r="G356" s="218" t="s">
        <v>316</v>
      </c>
      <c r="H356" s="218">
        <v>299</v>
      </c>
      <c r="I356" s="218">
        <f t="shared" si="17"/>
        <v>297</v>
      </c>
      <c r="J356" s="218">
        <f t="shared" si="18"/>
        <v>3.3670033670033669E-3</v>
      </c>
      <c r="K356" s="218">
        <f t="shared" si="19"/>
        <v>4.5894080376838994E-2</v>
      </c>
      <c r="L356" s="218">
        <f t="shared" si="20"/>
        <v>276.7</v>
      </c>
      <c r="M356" s="218" t="s">
        <v>323</v>
      </c>
      <c r="P356" s="218">
        <v>351</v>
      </c>
      <c r="Q356" s="218">
        <v>314.7</v>
      </c>
      <c r="R356" s="218">
        <v>363</v>
      </c>
      <c r="S356" s="218">
        <v>209</v>
      </c>
      <c r="T356" s="218">
        <v>295.56666666666666</v>
      </c>
      <c r="U356" s="273">
        <v>3.3833314537047481E-3</v>
      </c>
      <c r="V356" s="218">
        <v>3.3833314537047481E-3</v>
      </c>
      <c r="W356" s="250">
        <v>5.7793743002099638E-5</v>
      </c>
      <c r="X356" s="250">
        <v>0.65246504782928627</v>
      </c>
      <c r="Z356" s="218">
        <v>348</v>
      </c>
      <c r="AA356" s="435">
        <v>0.65099337748344377</v>
      </c>
    </row>
    <row r="357" spans="1:27">
      <c r="A357" s="429">
        <v>0.6812962962962964</v>
      </c>
      <c r="B357" s="218">
        <v>296</v>
      </c>
      <c r="C357" s="218" t="s">
        <v>314</v>
      </c>
      <c r="D357" s="218">
        <v>148</v>
      </c>
      <c r="E357" s="218" t="s">
        <v>315</v>
      </c>
      <c r="F357" s="218">
        <v>22.7</v>
      </c>
      <c r="G357" s="218" t="s">
        <v>316</v>
      </c>
      <c r="H357" s="218">
        <v>300</v>
      </c>
      <c r="I357" s="218">
        <f t="shared" si="17"/>
        <v>294</v>
      </c>
      <c r="J357" s="218">
        <f t="shared" si="18"/>
        <v>3.4013605442176869E-3</v>
      </c>
      <c r="K357" s="218">
        <f t="shared" si="19"/>
        <v>4.5859723199624676E-2</v>
      </c>
      <c r="L357" s="218">
        <f t="shared" si="20"/>
        <v>273.7</v>
      </c>
      <c r="M357" s="218" t="s">
        <v>323</v>
      </c>
      <c r="P357" s="218">
        <v>352</v>
      </c>
      <c r="Q357" s="218">
        <v>316.7</v>
      </c>
      <c r="R357" s="218">
        <v>364</v>
      </c>
      <c r="S357" s="218">
        <v>209</v>
      </c>
      <c r="T357" s="218">
        <v>296.56666666666666</v>
      </c>
      <c r="U357" s="273">
        <v>3.3719231201528605E-3</v>
      </c>
      <c r="V357" s="218">
        <v>3.3776272869288043E-3</v>
      </c>
      <c r="W357" s="250">
        <v>5.7696304972985157E-5</v>
      </c>
      <c r="X357" s="250">
        <v>0.65467255334805008</v>
      </c>
      <c r="Z357" s="218">
        <v>349</v>
      </c>
      <c r="AA357" s="435">
        <v>0.65393671817512877</v>
      </c>
    </row>
    <row r="358" spans="1:27">
      <c r="A358" s="429">
        <v>0.68131944444444448</v>
      </c>
      <c r="B358" s="218">
        <v>296</v>
      </c>
      <c r="C358" s="218" t="s">
        <v>314</v>
      </c>
      <c r="D358" s="218">
        <v>148</v>
      </c>
      <c r="E358" s="218" t="s">
        <v>315</v>
      </c>
      <c r="F358" s="218">
        <v>22.7</v>
      </c>
      <c r="G358" s="218" t="s">
        <v>316</v>
      </c>
      <c r="H358" s="218">
        <v>301</v>
      </c>
      <c r="I358" s="218">
        <f t="shared" si="17"/>
        <v>296</v>
      </c>
      <c r="J358" s="218">
        <f t="shared" si="18"/>
        <v>3.3783783783783786E-3</v>
      </c>
      <c r="K358" s="218">
        <f t="shared" si="19"/>
        <v>4.5882705365463981E-2</v>
      </c>
      <c r="L358" s="218">
        <f t="shared" si="20"/>
        <v>275.7</v>
      </c>
      <c r="M358" s="218" t="s">
        <v>323</v>
      </c>
      <c r="P358" s="218">
        <v>353</v>
      </c>
      <c r="Q358" s="218">
        <v>317.7</v>
      </c>
      <c r="R358" s="218">
        <v>365</v>
      </c>
      <c r="S358" s="218">
        <v>212</v>
      </c>
      <c r="T358" s="218">
        <v>298.23333333333335</v>
      </c>
      <c r="U358" s="273">
        <v>3.3530792444394766E-3</v>
      </c>
      <c r="V358" s="218">
        <v>3.3625011822961686E-3</v>
      </c>
      <c r="W358" s="250">
        <v>5.7437922306160074E-5</v>
      </c>
      <c r="X358" s="250">
        <v>0.65835172921265639</v>
      </c>
      <c r="Z358" s="218">
        <v>350</v>
      </c>
      <c r="AA358" s="435">
        <v>0.65246504782928627</v>
      </c>
    </row>
    <row r="359" spans="1:27">
      <c r="A359" s="429">
        <v>0.68134259259259267</v>
      </c>
      <c r="B359" s="218">
        <v>297</v>
      </c>
      <c r="C359" s="218" t="s">
        <v>314</v>
      </c>
      <c r="D359" s="218">
        <v>149</v>
      </c>
      <c r="E359" s="218" t="s">
        <v>315</v>
      </c>
      <c r="F359" s="218">
        <v>22.7</v>
      </c>
      <c r="G359" s="218" t="s">
        <v>316</v>
      </c>
      <c r="H359" s="218">
        <v>302</v>
      </c>
      <c r="I359" s="218">
        <f t="shared" si="17"/>
        <v>296</v>
      </c>
      <c r="J359" s="218">
        <f t="shared" si="18"/>
        <v>3.3783783783783786E-3</v>
      </c>
      <c r="K359" s="218">
        <f t="shared" si="19"/>
        <v>4.5882705365463981E-2</v>
      </c>
      <c r="L359" s="218">
        <f t="shared" si="20"/>
        <v>275.7</v>
      </c>
      <c r="M359" s="218" t="s">
        <v>323</v>
      </c>
      <c r="P359" s="218">
        <v>354</v>
      </c>
      <c r="Q359" s="218">
        <v>318.7</v>
      </c>
      <c r="R359" s="218">
        <v>364</v>
      </c>
      <c r="S359" s="218">
        <v>212</v>
      </c>
      <c r="T359" s="218">
        <v>298.23333333333335</v>
      </c>
      <c r="U359" s="273">
        <v>3.3530792444394766E-3</v>
      </c>
      <c r="V359" s="218">
        <v>3.3530792444394766E-3</v>
      </c>
      <c r="W359" s="250">
        <v>5.7276977668449472E-5</v>
      </c>
      <c r="X359" s="250">
        <v>0.65835172921265639</v>
      </c>
      <c r="Z359" s="218">
        <v>351</v>
      </c>
      <c r="AA359" s="435">
        <v>0.65246504782928627</v>
      </c>
    </row>
    <row r="360" spans="1:27">
      <c r="A360" s="429">
        <v>0.68135416666666659</v>
      </c>
      <c r="B360" s="218">
        <v>298</v>
      </c>
      <c r="C360" s="218" t="s">
        <v>314</v>
      </c>
      <c r="D360" s="218">
        <v>149</v>
      </c>
      <c r="E360" s="218" t="s">
        <v>315</v>
      </c>
      <c r="F360" s="218">
        <v>22.7</v>
      </c>
      <c r="G360" s="218" t="s">
        <v>316</v>
      </c>
      <c r="H360" s="218">
        <v>303</v>
      </c>
      <c r="I360" s="218">
        <f t="shared" si="17"/>
        <v>297</v>
      </c>
      <c r="J360" s="218">
        <f t="shared" si="18"/>
        <v>3.3670033670033669E-3</v>
      </c>
      <c r="K360" s="218">
        <f t="shared" si="19"/>
        <v>4.5894080376838994E-2</v>
      </c>
      <c r="L360" s="218">
        <f t="shared" si="20"/>
        <v>276.7</v>
      </c>
      <c r="M360" s="218" t="s">
        <v>323</v>
      </c>
      <c r="P360" s="218">
        <v>355</v>
      </c>
      <c r="Q360" s="218">
        <v>320.7</v>
      </c>
      <c r="R360" s="218">
        <v>366</v>
      </c>
      <c r="S360" s="218">
        <v>213</v>
      </c>
      <c r="T360" s="218">
        <v>299.90000000000003</v>
      </c>
      <c r="U360" s="273">
        <v>3.3344448149383124E-3</v>
      </c>
      <c r="V360" s="218">
        <v>3.3437620296888947E-3</v>
      </c>
      <c r="W360" s="250">
        <v>5.7117821900781221E-5</v>
      </c>
      <c r="X360" s="250">
        <v>0.66203090507726281</v>
      </c>
      <c r="Z360" s="218">
        <v>352</v>
      </c>
      <c r="AA360" s="435">
        <v>0.65467255334805008</v>
      </c>
    </row>
    <row r="361" spans="1:27">
      <c r="A361" s="429">
        <v>0.68136574074074074</v>
      </c>
      <c r="B361" s="218">
        <v>300</v>
      </c>
      <c r="C361" s="218" t="s">
        <v>314</v>
      </c>
      <c r="D361" s="218">
        <v>150</v>
      </c>
      <c r="E361" s="218" t="s">
        <v>315</v>
      </c>
      <c r="F361" s="218">
        <v>22.7</v>
      </c>
      <c r="G361" s="218" t="s">
        <v>316</v>
      </c>
      <c r="H361" s="218">
        <v>304</v>
      </c>
      <c r="I361" s="218">
        <f t="shared" si="17"/>
        <v>298</v>
      </c>
      <c r="J361" s="218">
        <f t="shared" si="18"/>
        <v>3.3557046979865771E-3</v>
      </c>
      <c r="K361" s="218">
        <f t="shared" si="19"/>
        <v>4.5905379045855781E-2</v>
      </c>
      <c r="L361" s="218">
        <f t="shared" si="20"/>
        <v>277.7</v>
      </c>
      <c r="M361" s="218" t="s">
        <v>323</v>
      </c>
      <c r="P361" s="218">
        <v>356</v>
      </c>
      <c r="Q361" s="218">
        <v>318.7</v>
      </c>
      <c r="R361" s="218">
        <v>364</v>
      </c>
      <c r="S361" s="218">
        <v>213</v>
      </c>
      <c r="T361" s="218">
        <v>298.56666666666666</v>
      </c>
      <c r="U361" s="273">
        <v>3.3493357150831751E-3</v>
      </c>
      <c r="V361" s="218">
        <v>3.3418902650107435E-3</v>
      </c>
      <c r="W361" s="250">
        <v>5.7085848596288392E-5</v>
      </c>
      <c r="X361" s="250">
        <v>0.65908756438557758</v>
      </c>
      <c r="Z361" s="218">
        <v>353</v>
      </c>
      <c r="AA361" s="435">
        <v>0.65835172921265639</v>
      </c>
    </row>
    <row r="362" spans="1:27">
      <c r="A362" s="429">
        <v>0.68137731481481489</v>
      </c>
      <c r="B362" s="218">
        <v>300</v>
      </c>
      <c r="C362" s="218" t="s">
        <v>314</v>
      </c>
      <c r="D362" s="218">
        <v>150</v>
      </c>
      <c r="E362" s="218" t="s">
        <v>315</v>
      </c>
      <c r="F362" s="218">
        <v>22.7</v>
      </c>
      <c r="G362" s="218" t="s">
        <v>316</v>
      </c>
      <c r="H362" s="218">
        <v>305</v>
      </c>
      <c r="I362" s="218">
        <f t="shared" si="17"/>
        <v>300</v>
      </c>
      <c r="J362" s="218">
        <f t="shared" si="18"/>
        <v>3.3333333333333335E-3</v>
      </c>
      <c r="K362" s="218">
        <f t="shared" si="19"/>
        <v>4.5927750410509026E-2</v>
      </c>
      <c r="L362" s="218">
        <f t="shared" si="20"/>
        <v>279.7</v>
      </c>
      <c r="M362" s="218" t="s">
        <v>323</v>
      </c>
      <c r="P362" s="218">
        <v>357</v>
      </c>
      <c r="Q362" s="218">
        <v>320.7</v>
      </c>
      <c r="R362" s="218">
        <v>367</v>
      </c>
      <c r="S362" s="218">
        <v>217</v>
      </c>
      <c r="T362" s="218">
        <v>301.56666666666666</v>
      </c>
      <c r="U362" s="273">
        <v>3.3160163590140379E-3</v>
      </c>
      <c r="V362" s="218">
        <v>3.3326760370486065E-3</v>
      </c>
      <c r="W362" s="250">
        <v>5.6928452039050879E-5</v>
      </c>
      <c r="X362" s="250">
        <v>0.66571008094186901</v>
      </c>
      <c r="Z362" s="218">
        <v>354</v>
      </c>
      <c r="AA362" s="435">
        <v>0.65835172921265639</v>
      </c>
    </row>
    <row r="363" spans="1:27">
      <c r="A363" s="429">
        <v>0.68138888888888882</v>
      </c>
      <c r="B363" s="218">
        <v>300</v>
      </c>
      <c r="C363" s="218" t="s">
        <v>314</v>
      </c>
      <c r="D363" s="218">
        <v>150</v>
      </c>
      <c r="E363" s="218" t="s">
        <v>315</v>
      </c>
      <c r="F363" s="218">
        <v>22.7</v>
      </c>
      <c r="G363" s="218" t="s">
        <v>316</v>
      </c>
      <c r="H363" s="218">
        <v>306</v>
      </c>
      <c r="I363" s="218">
        <f t="shared" si="17"/>
        <v>300</v>
      </c>
      <c r="J363" s="218">
        <f t="shared" si="18"/>
        <v>3.3333333333333335E-3</v>
      </c>
      <c r="K363" s="218">
        <f t="shared" si="19"/>
        <v>4.5927750410509026E-2</v>
      </c>
      <c r="L363" s="218">
        <f t="shared" si="20"/>
        <v>279.7</v>
      </c>
      <c r="M363" s="218" t="s">
        <v>323</v>
      </c>
      <c r="P363" s="218">
        <v>358</v>
      </c>
      <c r="Q363" s="218">
        <v>321.7</v>
      </c>
      <c r="R363" s="218">
        <v>365</v>
      </c>
      <c r="S363" s="218">
        <v>217</v>
      </c>
      <c r="T363" s="218">
        <v>301.23333333333335</v>
      </c>
      <c r="U363" s="273">
        <v>3.3196857364169523E-3</v>
      </c>
      <c r="V363" s="218">
        <v>3.3178510477154949E-3</v>
      </c>
      <c r="W363" s="250">
        <v>5.6675212994857166E-5</v>
      </c>
      <c r="X363" s="250">
        <v>0.66497424576894781</v>
      </c>
      <c r="Z363" s="218">
        <v>355</v>
      </c>
      <c r="AA363" s="435">
        <v>0.66203090507726281</v>
      </c>
    </row>
    <row r="364" spans="1:27">
      <c r="A364" s="429">
        <v>0.68140046296296297</v>
      </c>
      <c r="B364" s="218">
        <v>301</v>
      </c>
      <c r="C364" s="218" t="s">
        <v>314</v>
      </c>
      <c r="D364" s="218">
        <v>151</v>
      </c>
      <c r="E364" s="218" t="s">
        <v>315</v>
      </c>
      <c r="F364" s="218">
        <v>22.7</v>
      </c>
      <c r="G364" s="218" t="s">
        <v>316</v>
      </c>
      <c r="H364" s="218">
        <v>307</v>
      </c>
      <c r="I364" s="218">
        <f t="shared" si="17"/>
        <v>300</v>
      </c>
      <c r="J364" s="218">
        <f t="shared" si="18"/>
        <v>3.3333333333333335E-3</v>
      </c>
      <c r="K364" s="218">
        <f t="shared" si="19"/>
        <v>4.5927750410509026E-2</v>
      </c>
      <c r="L364" s="218">
        <f t="shared" si="20"/>
        <v>279.7</v>
      </c>
      <c r="M364" s="218" t="s">
        <v>323</v>
      </c>
      <c r="P364" s="218">
        <v>359</v>
      </c>
      <c r="Q364" s="218">
        <v>322.7</v>
      </c>
      <c r="R364" s="218">
        <v>367</v>
      </c>
      <c r="S364" s="218">
        <v>217</v>
      </c>
      <c r="T364" s="218">
        <v>302.23333333333335</v>
      </c>
      <c r="U364" s="273">
        <v>3.3087018859600747E-3</v>
      </c>
      <c r="V364" s="218">
        <v>3.3141938111885135E-3</v>
      </c>
      <c r="W364" s="250">
        <v>5.6612740431695549E-5</v>
      </c>
      <c r="X364" s="250">
        <v>0.66718175128771162</v>
      </c>
      <c r="Z364" s="218">
        <v>356</v>
      </c>
      <c r="AA364" s="435">
        <v>0.65908756438557758</v>
      </c>
    </row>
    <row r="365" spans="1:27">
      <c r="A365" s="429">
        <v>0.68141203703703701</v>
      </c>
      <c r="B365" s="218">
        <v>299</v>
      </c>
      <c r="C365" s="218" t="s">
        <v>314</v>
      </c>
      <c r="D365" s="218">
        <v>150</v>
      </c>
      <c r="E365" s="218" t="s">
        <v>315</v>
      </c>
      <c r="F365" s="218">
        <v>22.7</v>
      </c>
      <c r="G365" s="218" t="s">
        <v>316</v>
      </c>
      <c r="H365" s="218">
        <v>308</v>
      </c>
      <c r="I365" s="218">
        <f t="shared" si="17"/>
        <v>301</v>
      </c>
      <c r="J365" s="218">
        <f t="shared" si="18"/>
        <v>3.3222591362126247E-3</v>
      </c>
      <c r="K365" s="218">
        <f t="shared" si="19"/>
        <v>4.5938824607629734E-2</v>
      </c>
      <c r="L365" s="218">
        <f t="shared" si="20"/>
        <v>280.7</v>
      </c>
      <c r="M365" s="218" t="s">
        <v>323</v>
      </c>
      <c r="P365" s="218">
        <v>360</v>
      </c>
      <c r="Q365" s="218">
        <v>322.7</v>
      </c>
      <c r="R365" s="218">
        <v>367</v>
      </c>
      <c r="S365" s="218">
        <v>217</v>
      </c>
      <c r="T365" s="218">
        <v>302.23333333333335</v>
      </c>
      <c r="U365" s="273">
        <v>3.3087018859600747E-3</v>
      </c>
      <c r="V365" s="218">
        <v>3.3087018859600747E-3</v>
      </c>
      <c r="W365" s="250">
        <v>5.6518927892314698E-5</v>
      </c>
      <c r="X365" s="250">
        <v>0.66718175128771162</v>
      </c>
      <c r="Z365" s="218">
        <v>357</v>
      </c>
      <c r="AA365" s="435">
        <v>0.66571008094186901</v>
      </c>
    </row>
    <row r="366" spans="1:27">
      <c r="A366" s="429">
        <v>0.68142361111111116</v>
      </c>
      <c r="B366" s="218">
        <v>301</v>
      </c>
      <c r="C366" s="218" t="s">
        <v>314</v>
      </c>
      <c r="D366" s="218">
        <v>151</v>
      </c>
      <c r="E366" s="218" t="s">
        <v>315</v>
      </c>
      <c r="F366" s="218">
        <v>22.7</v>
      </c>
      <c r="G366" s="218" t="s">
        <v>316</v>
      </c>
      <c r="H366" s="218">
        <v>309</v>
      </c>
      <c r="I366" s="218">
        <f t="shared" si="17"/>
        <v>299</v>
      </c>
      <c r="J366" s="218">
        <f t="shared" si="18"/>
        <v>3.3444816053511705E-3</v>
      </c>
      <c r="K366" s="218">
        <f t="shared" si="19"/>
        <v>4.5916602138491192E-2</v>
      </c>
      <c r="L366" s="218">
        <f t="shared" si="20"/>
        <v>278.7</v>
      </c>
      <c r="M366" s="218" t="s">
        <v>323</v>
      </c>
      <c r="P366" s="218">
        <v>361</v>
      </c>
      <c r="Q366" s="218">
        <v>323.7</v>
      </c>
      <c r="R366" s="218">
        <v>369</v>
      </c>
      <c r="S366" s="218">
        <v>219</v>
      </c>
      <c r="T366" s="218">
        <v>303.90000000000003</v>
      </c>
      <c r="U366" s="273">
        <v>3.2905561039815725E-3</v>
      </c>
      <c r="V366" s="218">
        <v>3.2996289949708234E-3</v>
      </c>
      <c r="W366" s="250">
        <v>5.6363945639675908E-5</v>
      </c>
      <c r="X366" s="250">
        <v>0.67086092715231793</v>
      </c>
      <c r="Z366" s="218">
        <v>358</v>
      </c>
      <c r="AA366" s="435">
        <v>0.66497424576894781</v>
      </c>
    </row>
    <row r="367" spans="1:27">
      <c r="A367" s="429">
        <v>0.68143518518518509</v>
      </c>
      <c r="B367" s="218">
        <v>302</v>
      </c>
      <c r="C367" s="218" t="s">
        <v>314</v>
      </c>
      <c r="D367" s="218">
        <v>151</v>
      </c>
      <c r="E367" s="218" t="s">
        <v>315</v>
      </c>
      <c r="F367" s="218">
        <v>22.7</v>
      </c>
      <c r="G367" s="218" t="s">
        <v>316</v>
      </c>
      <c r="H367" s="218">
        <v>310</v>
      </c>
      <c r="I367" s="218">
        <f t="shared" si="17"/>
        <v>301</v>
      </c>
      <c r="J367" s="218">
        <f t="shared" si="18"/>
        <v>3.3222591362126247E-3</v>
      </c>
      <c r="K367" s="218">
        <f t="shared" si="19"/>
        <v>4.5938824607629734E-2</v>
      </c>
      <c r="L367" s="218">
        <f t="shared" si="20"/>
        <v>280.7</v>
      </c>
      <c r="M367" s="218" t="s">
        <v>323</v>
      </c>
      <c r="P367" s="218">
        <v>362</v>
      </c>
      <c r="Q367" s="218">
        <v>323.7</v>
      </c>
      <c r="R367" s="218">
        <v>370</v>
      </c>
      <c r="S367" s="218">
        <v>219</v>
      </c>
      <c r="T367" s="218">
        <v>304.23333333333335</v>
      </c>
      <c r="U367" s="273">
        <v>3.286950805302947E-3</v>
      </c>
      <c r="V367" s="218">
        <v>3.2887534546422598E-3</v>
      </c>
      <c r="W367" s="250">
        <v>5.6178170704125406E-5</v>
      </c>
      <c r="X367" s="250">
        <v>0.67159676232523913</v>
      </c>
      <c r="Z367" s="218">
        <v>359</v>
      </c>
      <c r="AA367" s="435">
        <v>0.66718175128771162</v>
      </c>
    </row>
    <row r="368" spans="1:27">
      <c r="A368" s="429">
        <v>0.68144675925925924</v>
      </c>
      <c r="B368" s="218">
        <v>304</v>
      </c>
      <c r="C368" s="218" t="s">
        <v>314</v>
      </c>
      <c r="D368" s="218">
        <v>152</v>
      </c>
      <c r="E368" s="218" t="s">
        <v>315</v>
      </c>
      <c r="F368" s="218">
        <v>22.7</v>
      </c>
      <c r="G368" s="218" t="s">
        <v>316</v>
      </c>
      <c r="H368" s="218">
        <v>311</v>
      </c>
      <c r="I368" s="218">
        <f t="shared" si="17"/>
        <v>302</v>
      </c>
      <c r="J368" s="218">
        <f t="shared" si="18"/>
        <v>3.3112582781456954E-3</v>
      </c>
      <c r="K368" s="218">
        <f t="shared" si="19"/>
        <v>4.5949825465696661E-2</v>
      </c>
      <c r="L368" s="218">
        <f t="shared" si="20"/>
        <v>281.7</v>
      </c>
      <c r="M368" s="218" t="s">
        <v>323</v>
      </c>
      <c r="P368" s="218">
        <v>363</v>
      </c>
      <c r="Q368" s="218">
        <v>325.7</v>
      </c>
      <c r="R368" s="218">
        <v>371</v>
      </c>
      <c r="S368" s="218">
        <v>221</v>
      </c>
      <c r="T368" s="218">
        <v>305.90000000000003</v>
      </c>
      <c r="U368" s="273">
        <v>3.2690421706440009E-3</v>
      </c>
      <c r="V368" s="218">
        <v>3.2779964879734742E-3</v>
      </c>
      <c r="W368" s="250">
        <v>5.5994421232445002E-5</v>
      </c>
      <c r="X368" s="250">
        <v>0.67527593818984555</v>
      </c>
      <c r="Z368" s="218">
        <v>360</v>
      </c>
      <c r="AA368" s="435">
        <v>0.66718175128771162</v>
      </c>
    </row>
    <row r="369" spans="1:27">
      <c r="A369" s="429">
        <v>0.68145833333333339</v>
      </c>
      <c r="B369" s="218">
        <v>306</v>
      </c>
      <c r="C369" s="218" t="s">
        <v>314</v>
      </c>
      <c r="D369" s="218">
        <v>153</v>
      </c>
      <c r="E369" s="218" t="s">
        <v>315</v>
      </c>
      <c r="F369" s="218">
        <v>22.7</v>
      </c>
      <c r="G369" s="218" t="s">
        <v>316</v>
      </c>
      <c r="H369" s="218">
        <v>312</v>
      </c>
      <c r="I369" s="218">
        <f t="shared" si="17"/>
        <v>304</v>
      </c>
      <c r="J369" s="218">
        <f t="shared" si="18"/>
        <v>3.2894736842105261E-3</v>
      </c>
      <c r="K369" s="218">
        <f t="shared" si="19"/>
        <v>4.5971610059631837E-2</v>
      </c>
      <c r="L369" s="218">
        <f t="shared" si="20"/>
        <v>283.7</v>
      </c>
      <c r="M369" s="218" t="s">
        <v>323</v>
      </c>
      <c r="P369" s="218">
        <v>364</v>
      </c>
      <c r="Q369" s="218">
        <v>327.7</v>
      </c>
      <c r="R369" s="218">
        <v>371</v>
      </c>
      <c r="S369" s="218">
        <v>221</v>
      </c>
      <c r="T369" s="218">
        <v>306.56666666666666</v>
      </c>
      <c r="U369" s="273">
        <v>3.2619332390997065E-3</v>
      </c>
      <c r="V369" s="218">
        <v>3.2654877048718537E-3</v>
      </c>
      <c r="W369" s="250">
        <v>5.5780747400680026E-5</v>
      </c>
      <c r="X369" s="250">
        <v>0.67674760853568805</v>
      </c>
      <c r="Z369" s="218">
        <v>361</v>
      </c>
      <c r="AA369" s="435">
        <v>0.67086092715231793</v>
      </c>
    </row>
    <row r="370" spans="1:27">
      <c r="A370" s="429">
        <v>0.68146990740740743</v>
      </c>
      <c r="B370" s="218">
        <v>308</v>
      </c>
      <c r="C370" s="218" t="s">
        <v>314</v>
      </c>
      <c r="D370" s="218">
        <v>154</v>
      </c>
      <c r="E370" s="218" t="s">
        <v>315</v>
      </c>
      <c r="F370" s="218">
        <v>22.7</v>
      </c>
      <c r="G370" s="218" t="s">
        <v>316</v>
      </c>
      <c r="H370" s="218">
        <v>313</v>
      </c>
      <c r="I370" s="218">
        <f t="shared" si="17"/>
        <v>306</v>
      </c>
      <c r="J370" s="218">
        <f t="shared" si="18"/>
        <v>3.2679738562091504E-3</v>
      </c>
      <c r="K370" s="218">
        <f t="shared" si="19"/>
        <v>4.5993109887633207E-2</v>
      </c>
      <c r="L370" s="218">
        <f t="shared" si="20"/>
        <v>285.7</v>
      </c>
      <c r="M370" s="218" t="s">
        <v>323</v>
      </c>
      <c r="P370" s="218">
        <v>365</v>
      </c>
      <c r="Q370" s="218">
        <v>326.7</v>
      </c>
      <c r="R370" s="218">
        <v>371</v>
      </c>
      <c r="S370" s="218">
        <v>220</v>
      </c>
      <c r="T370" s="218">
        <v>305.90000000000003</v>
      </c>
      <c r="U370" s="273">
        <v>3.2690421706440009E-3</v>
      </c>
      <c r="V370" s="218">
        <v>3.2654877048718537E-3</v>
      </c>
      <c r="W370" s="250">
        <v>5.5780747400680026E-5</v>
      </c>
      <c r="X370" s="250">
        <v>0.67527593818984555</v>
      </c>
      <c r="Z370" s="218">
        <v>362</v>
      </c>
      <c r="AA370" s="435">
        <v>0.67159676232523913</v>
      </c>
    </row>
    <row r="371" spans="1:27">
      <c r="A371" s="429">
        <v>0.68148148148148147</v>
      </c>
      <c r="B371" s="218">
        <v>308</v>
      </c>
      <c r="C371" s="218" t="s">
        <v>314</v>
      </c>
      <c r="D371" s="218">
        <v>154</v>
      </c>
      <c r="E371" s="218" t="s">
        <v>315</v>
      </c>
      <c r="F371" s="218">
        <v>22.7</v>
      </c>
      <c r="G371" s="218" t="s">
        <v>316</v>
      </c>
      <c r="H371" s="218">
        <v>314</v>
      </c>
      <c r="I371" s="218">
        <f t="shared" si="17"/>
        <v>308</v>
      </c>
      <c r="J371" s="218">
        <f t="shared" si="18"/>
        <v>3.246753246753247E-3</v>
      </c>
      <c r="K371" s="218">
        <f t="shared" si="19"/>
        <v>4.6014330497089112E-2</v>
      </c>
      <c r="L371" s="218">
        <f t="shared" si="20"/>
        <v>287.7</v>
      </c>
      <c r="M371" s="218" t="s">
        <v>323</v>
      </c>
      <c r="P371" s="218">
        <v>366</v>
      </c>
      <c r="Q371" s="218">
        <v>329.7</v>
      </c>
      <c r="R371" s="218">
        <v>372</v>
      </c>
      <c r="S371" s="218">
        <v>220</v>
      </c>
      <c r="T371" s="218">
        <v>307.23333333333335</v>
      </c>
      <c r="U371" s="273">
        <v>3.2548551589454268E-3</v>
      </c>
      <c r="V371" s="218">
        <v>3.2619486647947138E-3</v>
      </c>
      <c r="W371" s="250">
        <v>5.5720293857924588E-5</v>
      </c>
      <c r="X371" s="250">
        <v>0.67821927888153055</v>
      </c>
      <c r="Z371" s="218">
        <v>363</v>
      </c>
      <c r="AA371" s="435">
        <v>0.67527593818984555</v>
      </c>
    </row>
    <row r="372" spans="1:27">
      <c r="A372" s="429">
        <v>0.6814930555555555</v>
      </c>
      <c r="B372" s="218">
        <v>309</v>
      </c>
      <c r="C372" s="218" t="s">
        <v>314</v>
      </c>
      <c r="D372" s="218">
        <v>155</v>
      </c>
      <c r="E372" s="218" t="s">
        <v>315</v>
      </c>
      <c r="F372" s="218">
        <v>22.7</v>
      </c>
      <c r="G372" s="218" t="s">
        <v>316</v>
      </c>
      <c r="H372" s="218">
        <v>315</v>
      </c>
      <c r="I372" s="218">
        <f t="shared" si="17"/>
        <v>308</v>
      </c>
      <c r="J372" s="218">
        <f t="shared" si="18"/>
        <v>3.246753246753247E-3</v>
      </c>
      <c r="K372" s="218">
        <f t="shared" si="19"/>
        <v>4.6014330497089112E-2</v>
      </c>
      <c r="L372" s="218">
        <f t="shared" si="20"/>
        <v>287.7</v>
      </c>
      <c r="M372" s="218" t="s">
        <v>323</v>
      </c>
      <c r="P372" s="218">
        <v>367</v>
      </c>
      <c r="Q372" s="218">
        <v>328.7</v>
      </c>
      <c r="R372" s="218">
        <v>372</v>
      </c>
      <c r="S372" s="218">
        <v>221</v>
      </c>
      <c r="T372" s="218">
        <v>307.23333333333335</v>
      </c>
      <c r="U372" s="273">
        <v>3.2548551589454268E-3</v>
      </c>
      <c r="V372" s="218">
        <v>3.2548551589454268E-3</v>
      </c>
      <c r="W372" s="250">
        <v>5.5599123272172879E-5</v>
      </c>
      <c r="X372" s="250">
        <v>0.67821927888153055</v>
      </c>
      <c r="Z372" s="218">
        <v>364</v>
      </c>
      <c r="AA372" s="435">
        <v>0.67674760853568805</v>
      </c>
    </row>
    <row r="373" spans="1:27">
      <c r="A373" s="429">
        <v>0.68150462962962965</v>
      </c>
      <c r="B373" s="218">
        <v>311</v>
      </c>
      <c r="C373" s="218" t="s">
        <v>314</v>
      </c>
      <c r="D373" s="218">
        <v>156</v>
      </c>
      <c r="E373" s="218" t="s">
        <v>315</v>
      </c>
      <c r="F373" s="218">
        <v>22.7</v>
      </c>
      <c r="G373" s="218" t="s">
        <v>316</v>
      </c>
      <c r="H373" s="218">
        <v>316</v>
      </c>
      <c r="I373" s="218">
        <f t="shared" si="17"/>
        <v>309</v>
      </c>
      <c r="J373" s="218">
        <f t="shared" si="18"/>
        <v>3.2362459546925568E-3</v>
      </c>
      <c r="K373" s="218">
        <f t="shared" si="19"/>
        <v>4.60248377891498E-2</v>
      </c>
      <c r="L373" s="218">
        <f t="shared" si="20"/>
        <v>288.7</v>
      </c>
      <c r="M373" s="218" t="s">
        <v>323</v>
      </c>
      <c r="P373" s="218">
        <v>368</v>
      </c>
      <c r="Q373" s="218">
        <v>329.7</v>
      </c>
      <c r="R373" s="218">
        <v>373</v>
      </c>
      <c r="S373" s="218">
        <v>221</v>
      </c>
      <c r="T373" s="218">
        <v>307.90000000000003</v>
      </c>
      <c r="U373" s="273">
        <v>3.2478077297823965E-3</v>
      </c>
      <c r="V373" s="218">
        <v>3.2513314443639117E-3</v>
      </c>
      <c r="W373" s="250">
        <v>5.553893151806205E-5</v>
      </c>
      <c r="X373" s="250">
        <v>0.67969094922737316</v>
      </c>
      <c r="Z373" s="218">
        <v>365</v>
      </c>
      <c r="AA373" s="435">
        <v>0.67527593818984555</v>
      </c>
    </row>
    <row r="374" spans="1:27">
      <c r="A374" s="429">
        <v>0.6815162037037038</v>
      </c>
      <c r="B374" s="218">
        <v>309</v>
      </c>
      <c r="C374" s="218" t="s">
        <v>314</v>
      </c>
      <c r="D374" s="218">
        <v>155</v>
      </c>
      <c r="E374" s="218" t="s">
        <v>315</v>
      </c>
      <c r="F374" s="218">
        <v>22.7</v>
      </c>
      <c r="G374" s="218" t="s">
        <v>316</v>
      </c>
      <c r="H374" s="218">
        <v>317</v>
      </c>
      <c r="I374" s="218">
        <f t="shared" si="17"/>
        <v>311</v>
      </c>
      <c r="J374" s="218">
        <f t="shared" si="18"/>
        <v>3.2154340836012861E-3</v>
      </c>
      <c r="K374" s="218">
        <f t="shared" si="19"/>
        <v>4.6045649660241071E-2</v>
      </c>
      <c r="L374" s="218">
        <f t="shared" si="20"/>
        <v>290.7</v>
      </c>
      <c r="M374" s="218" t="s">
        <v>323</v>
      </c>
      <c r="P374" s="218">
        <v>369</v>
      </c>
      <c r="Q374" s="218">
        <v>330.7</v>
      </c>
      <c r="R374" s="218">
        <v>374</v>
      </c>
      <c r="S374" s="218">
        <v>219</v>
      </c>
      <c r="T374" s="218">
        <v>307.90000000000003</v>
      </c>
      <c r="U374" s="273">
        <v>3.2478077297823965E-3</v>
      </c>
      <c r="V374" s="218">
        <v>3.2478077297823965E-3</v>
      </c>
      <c r="W374" s="250">
        <v>5.5478739763951214E-5</v>
      </c>
      <c r="X374" s="250">
        <v>0.67969094922737316</v>
      </c>
      <c r="Z374" s="218">
        <v>366</v>
      </c>
      <c r="AA374" s="435">
        <v>0.67821927888153055</v>
      </c>
    </row>
    <row r="375" spans="1:27">
      <c r="A375" s="429">
        <v>0.68152777777777773</v>
      </c>
      <c r="B375" s="218">
        <v>312</v>
      </c>
      <c r="C375" s="218" t="s">
        <v>314</v>
      </c>
      <c r="D375" s="218">
        <v>156</v>
      </c>
      <c r="E375" s="218" t="s">
        <v>315</v>
      </c>
      <c r="F375" s="218">
        <v>22.7</v>
      </c>
      <c r="G375" s="218" t="s">
        <v>316</v>
      </c>
      <c r="H375" s="218">
        <v>318</v>
      </c>
      <c r="I375" s="218">
        <f t="shared" si="17"/>
        <v>309</v>
      </c>
      <c r="J375" s="218">
        <f t="shared" si="18"/>
        <v>3.2362459546925568E-3</v>
      </c>
      <c r="K375" s="218">
        <f t="shared" si="19"/>
        <v>4.60248377891498E-2</v>
      </c>
      <c r="L375" s="218">
        <f t="shared" si="20"/>
        <v>288.7</v>
      </c>
      <c r="M375" s="218" t="s">
        <v>323</v>
      </c>
      <c r="P375" s="218">
        <v>370</v>
      </c>
      <c r="Q375" s="218">
        <v>330.7</v>
      </c>
      <c r="R375" s="218">
        <v>374</v>
      </c>
      <c r="S375" s="218">
        <v>219</v>
      </c>
      <c r="T375" s="218">
        <v>307.90000000000003</v>
      </c>
      <c r="U375" s="273">
        <v>3.2478077297823965E-3</v>
      </c>
      <c r="V375" s="218">
        <v>3.2478077297823965E-3</v>
      </c>
      <c r="W375" s="250">
        <v>5.5478739763951214E-5</v>
      </c>
      <c r="X375" s="250">
        <v>0.67969094922737316</v>
      </c>
      <c r="Z375" s="218">
        <v>367</v>
      </c>
      <c r="AA375" s="435">
        <v>0.67821927888153055</v>
      </c>
    </row>
    <row r="376" spans="1:27">
      <c r="A376" s="429">
        <v>0.68153935185185188</v>
      </c>
      <c r="B376" s="218">
        <v>312</v>
      </c>
      <c r="C376" s="218" t="s">
        <v>314</v>
      </c>
      <c r="D376" s="218">
        <v>156</v>
      </c>
      <c r="E376" s="218" t="s">
        <v>315</v>
      </c>
      <c r="F376" s="218">
        <v>22.7</v>
      </c>
      <c r="G376" s="218" t="s">
        <v>316</v>
      </c>
      <c r="H376" s="218">
        <v>319</v>
      </c>
      <c r="I376" s="218">
        <f t="shared" si="17"/>
        <v>312</v>
      </c>
      <c r="J376" s="218">
        <f t="shared" si="18"/>
        <v>3.205128205128205E-3</v>
      </c>
      <c r="K376" s="218">
        <f t="shared" si="19"/>
        <v>4.6055955538714152E-2</v>
      </c>
      <c r="L376" s="218">
        <f t="shared" si="20"/>
        <v>291.7</v>
      </c>
      <c r="M376" s="218" t="s">
        <v>323</v>
      </c>
      <c r="P376" s="218">
        <v>371</v>
      </c>
      <c r="Q376" s="218">
        <v>330.7</v>
      </c>
      <c r="R376" s="218">
        <v>374</v>
      </c>
      <c r="S376" s="218">
        <v>223</v>
      </c>
      <c r="T376" s="218">
        <v>309.23333333333335</v>
      </c>
      <c r="U376" s="273">
        <v>3.2338040314756926E-3</v>
      </c>
      <c r="V376" s="218">
        <v>3.2408058806290448E-3</v>
      </c>
      <c r="W376" s="250">
        <v>5.5359134849077986E-5</v>
      </c>
      <c r="X376" s="250">
        <v>0.68263428991905817</v>
      </c>
      <c r="Z376" s="218">
        <v>368</v>
      </c>
      <c r="AA376" s="435">
        <v>0.67969094922737316</v>
      </c>
    </row>
    <row r="377" spans="1:27">
      <c r="A377" s="429">
        <v>0.68155092592592592</v>
      </c>
      <c r="B377" s="218">
        <v>313</v>
      </c>
      <c r="C377" s="218" t="s">
        <v>314</v>
      </c>
      <c r="D377" s="218">
        <v>157</v>
      </c>
      <c r="E377" s="218" t="s">
        <v>315</v>
      </c>
      <c r="F377" s="218">
        <v>22.7</v>
      </c>
      <c r="G377" s="218" t="s">
        <v>316</v>
      </c>
      <c r="H377" s="218">
        <v>320</v>
      </c>
      <c r="I377" s="218">
        <f t="shared" si="17"/>
        <v>312</v>
      </c>
      <c r="J377" s="218">
        <f t="shared" si="18"/>
        <v>3.205128205128205E-3</v>
      </c>
      <c r="K377" s="218">
        <f t="shared" si="19"/>
        <v>4.6055955538714152E-2</v>
      </c>
      <c r="L377" s="218">
        <f t="shared" si="20"/>
        <v>291.7</v>
      </c>
      <c r="M377" s="218" t="s">
        <v>323</v>
      </c>
      <c r="P377" s="218">
        <v>372</v>
      </c>
      <c r="Q377" s="218">
        <v>331.7</v>
      </c>
      <c r="R377" s="218">
        <v>376</v>
      </c>
      <c r="S377" s="218">
        <v>223</v>
      </c>
      <c r="T377" s="218">
        <v>310.23333333333335</v>
      </c>
      <c r="U377" s="273">
        <v>3.2233802514236593E-3</v>
      </c>
      <c r="V377" s="218">
        <v>3.2285921414496759E-3</v>
      </c>
      <c r="W377" s="250">
        <v>5.5150500929260825E-5</v>
      </c>
      <c r="X377" s="250">
        <v>0.68484179543782198</v>
      </c>
      <c r="Z377" s="218">
        <v>369</v>
      </c>
      <c r="AA377" s="435">
        <v>0.67969094922737316</v>
      </c>
    </row>
    <row r="378" spans="1:27">
      <c r="A378" s="429">
        <v>0.68156250000000007</v>
      </c>
      <c r="B378" s="218">
        <v>313</v>
      </c>
      <c r="C378" s="218" t="s">
        <v>314</v>
      </c>
      <c r="D378" s="218">
        <v>157</v>
      </c>
      <c r="E378" s="218" t="s">
        <v>315</v>
      </c>
      <c r="F378" s="218">
        <v>22.7</v>
      </c>
      <c r="G378" s="218" t="s">
        <v>316</v>
      </c>
      <c r="H378" s="218">
        <v>321</v>
      </c>
      <c r="I378" s="218">
        <f t="shared" ref="I378:I441" si="21">B377</f>
        <v>313</v>
      </c>
      <c r="J378" s="218">
        <f t="shared" ref="J378:J441" si="22">1/I378</f>
        <v>3.1948881789137379E-3</v>
      </c>
      <c r="K378" s="218">
        <f t="shared" ref="K378:K441" si="23">$J$57-J378</f>
        <v>4.6066195564928622E-2</v>
      </c>
      <c r="L378" s="218">
        <f t="shared" ref="L378:L441" si="24">(B377-$J$55)</f>
        <v>292.7</v>
      </c>
      <c r="M378" s="218" t="s">
        <v>323</v>
      </c>
      <c r="P378" s="218">
        <v>373</v>
      </c>
      <c r="Q378" s="218">
        <v>332.7</v>
      </c>
      <c r="R378" s="218">
        <v>375</v>
      </c>
      <c r="S378" s="218">
        <v>225</v>
      </c>
      <c r="T378" s="218">
        <v>310.90000000000003</v>
      </c>
      <c r="U378" s="273">
        <v>3.2164683177870693E-3</v>
      </c>
      <c r="V378" s="218">
        <v>3.2199242846053643E-3</v>
      </c>
      <c r="W378" s="250">
        <v>5.5002437430991805E-5</v>
      </c>
      <c r="X378" s="250">
        <v>0.68631346578366459</v>
      </c>
      <c r="Z378" s="218">
        <v>370</v>
      </c>
      <c r="AA378" s="435">
        <v>0.67969094922737316</v>
      </c>
    </row>
    <row r="379" spans="1:27">
      <c r="A379" s="429">
        <v>0.681574074074074</v>
      </c>
      <c r="B379" s="218">
        <v>314</v>
      </c>
      <c r="C379" s="218" t="s">
        <v>314</v>
      </c>
      <c r="D379" s="218">
        <v>157</v>
      </c>
      <c r="E379" s="218" t="s">
        <v>315</v>
      </c>
      <c r="F379" s="218">
        <v>22.7</v>
      </c>
      <c r="G379" s="218" t="s">
        <v>316</v>
      </c>
      <c r="H379" s="218">
        <v>322</v>
      </c>
      <c r="I379" s="218">
        <f t="shared" si="21"/>
        <v>313</v>
      </c>
      <c r="J379" s="218">
        <f t="shared" si="22"/>
        <v>3.1948881789137379E-3</v>
      </c>
      <c r="K379" s="218">
        <f t="shared" si="23"/>
        <v>4.6066195564928622E-2</v>
      </c>
      <c r="L379" s="218">
        <f t="shared" si="24"/>
        <v>292.7</v>
      </c>
      <c r="M379" s="218" t="s">
        <v>323</v>
      </c>
      <c r="P379" s="218">
        <v>374</v>
      </c>
      <c r="Q379" s="218">
        <v>331.7</v>
      </c>
      <c r="R379" s="218">
        <v>377</v>
      </c>
      <c r="S379" s="218">
        <v>225</v>
      </c>
      <c r="T379" s="218">
        <v>311.23333333333335</v>
      </c>
      <c r="U379" s="273">
        <v>3.2130234550712218E-3</v>
      </c>
      <c r="V379" s="218">
        <v>3.2147458864291456E-3</v>
      </c>
      <c r="W379" s="250">
        <v>5.4913980530610015E-5</v>
      </c>
      <c r="X379" s="250">
        <v>0.68704930095658578</v>
      </c>
      <c r="Z379" s="218">
        <v>371</v>
      </c>
      <c r="AA379" s="435">
        <v>0.68263428991905817</v>
      </c>
    </row>
    <row r="380" spans="1:27">
      <c r="A380" s="429">
        <v>0.68158564814814815</v>
      </c>
      <c r="B380" s="218">
        <v>315</v>
      </c>
      <c r="C380" s="218" t="s">
        <v>314</v>
      </c>
      <c r="D380" s="218">
        <v>158</v>
      </c>
      <c r="E380" s="218" t="s">
        <v>315</v>
      </c>
      <c r="F380" s="218">
        <v>22.7</v>
      </c>
      <c r="G380" s="218" t="s">
        <v>316</v>
      </c>
      <c r="H380" s="218">
        <v>323</v>
      </c>
      <c r="I380" s="218">
        <f t="shared" si="21"/>
        <v>314</v>
      </c>
      <c r="J380" s="218">
        <f t="shared" si="22"/>
        <v>3.1847133757961785E-3</v>
      </c>
      <c r="K380" s="218">
        <f t="shared" si="23"/>
        <v>4.6076370368046182E-2</v>
      </c>
      <c r="L380" s="218">
        <f t="shared" si="24"/>
        <v>293.7</v>
      </c>
      <c r="M380" s="218" t="s">
        <v>323</v>
      </c>
      <c r="P380" s="218">
        <v>375</v>
      </c>
      <c r="Q380" s="218">
        <v>334.7</v>
      </c>
      <c r="R380" s="218">
        <v>375</v>
      </c>
      <c r="S380" s="218">
        <v>225</v>
      </c>
      <c r="T380" s="218">
        <v>311.56666666666666</v>
      </c>
      <c r="U380" s="273">
        <v>3.2095859634107202E-3</v>
      </c>
      <c r="V380" s="218">
        <v>3.211304709240971E-3</v>
      </c>
      <c r="W380" s="250">
        <v>5.4855198672326436E-5</v>
      </c>
      <c r="X380" s="250">
        <v>0.68778513612950698</v>
      </c>
      <c r="Z380" s="218">
        <v>372</v>
      </c>
      <c r="AA380" s="435">
        <v>0.68484179543782198</v>
      </c>
    </row>
    <row r="381" spans="1:27">
      <c r="A381" s="429">
        <v>0.6815972222222223</v>
      </c>
      <c r="B381" s="218">
        <v>315</v>
      </c>
      <c r="C381" s="218" t="s">
        <v>314</v>
      </c>
      <c r="D381" s="218">
        <v>158</v>
      </c>
      <c r="E381" s="218" t="s">
        <v>315</v>
      </c>
      <c r="F381" s="218">
        <v>22.7</v>
      </c>
      <c r="G381" s="218" t="s">
        <v>316</v>
      </c>
      <c r="H381" s="218">
        <v>324</v>
      </c>
      <c r="I381" s="218">
        <f t="shared" si="21"/>
        <v>315</v>
      </c>
      <c r="J381" s="218">
        <f t="shared" si="22"/>
        <v>3.1746031746031746E-3</v>
      </c>
      <c r="K381" s="218">
        <f t="shared" si="23"/>
        <v>4.6086480569239183E-2</v>
      </c>
      <c r="L381" s="218">
        <f t="shared" si="24"/>
        <v>294.7</v>
      </c>
      <c r="M381" s="218" t="s">
        <v>323</v>
      </c>
      <c r="P381" s="218">
        <v>376</v>
      </c>
      <c r="Q381" s="218">
        <v>333.7</v>
      </c>
      <c r="R381" s="218">
        <v>378</v>
      </c>
      <c r="S381" s="218">
        <v>225</v>
      </c>
      <c r="T381" s="218">
        <v>312.23333333333335</v>
      </c>
      <c r="U381" s="273">
        <v>3.2027329988256643E-3</v>
      </c>
      <c r="V381" s="218">
        <v>3.2061594811181923E-3</v>
      </c>
      <c r="W381" s="250">
        <v>5.4767308379612305E-5</v>
      </c>
      <c r="X381" s="250">
        <v>0.68925680647534959</v>
      </c>
      <c r="Z381" s="218">
        <v>373</v>
      </c>
      <c r="AA381" s="435">
        <v>0.68631346578366459</v>
      </c>
    </row>
    <row r="382" spans="1:27">
      <c r="A382" s="429">
        <v>0.68160879629629623</v>
      </c>
      <c r="B382" s="218">
        <v>317</v>
      </c>
      <c r="C382" s="218" t="s">
        <v>314</v>
      </c>
      <c r="D382" s="218">
        <v>159</v>
      </c>
      <c r="E382" s="218" t="s">
        <v>315</v>
      </c>
      <c r="F382" s="218">
        <v>22.7</v>
      </c>
      <c r="G382" s="218" t="s">
        <v>316</v>
      </c>
      <c r="H382" s="218">
        <v>325</v>
      </c>
      <c r="I382" s="218">
        <f t="shared" si="21"/>
        <v>315</v>
      </c>
      <c r="J382" s="218">
        <f t="shared" si="22"/>
        <v>3.1746031746031746E-3</v>
      </c>
      <c r="K382" s="218">
        <f t="shared" si="23"/>
        <v>4.6086480569239183E-2</v>
      </c>
      <c r="L382" s="218">
        <f t="shared" si="24"/>
        <v>294.7</v>
      </c>
      <c r="M382" s="218" t="s">
        <v>323</v>
      </c>
      <c r="P382" s="218">
        <v>377</v>
      </c>
      <c r="Q382" s="218">
        <v>334.7</v>
      </c>
      <c r="R382" s="218">
        <v>376</v>
      </c>
      <c r="S382" s="218">
        <v>225</v>
      </c>
      <c r="T382" s="218">
        <v>311.90000000000003</v>
      </c>
      <c r="U382" s="273">
        <v>3.2061558191728116E-3</v>
      </c>
      <c r="V382" s="218">
        <v>3.204444408999238E-3</v>
      </c>
      <c r="W382" s="250">
        <v>5.4738011682369004E-5</v>
      </c>
      <c r="X382" s="250">
        <v>0.68852097130242829</v>
      </c>
      <c r="Z382" s="218">
        <v>374</v>
      </c>
      <c r="AA382" s="435">
        <v>0.68704930095658578</v>
      </c>
    </row>
    <row r="383" spans="1:27">
      <c r="A383" s="429">
        <v>0.68162037037037038</v>
      </c>
      <c r="B383" s="218">
        <v>315</v>
      </c>
      <c r="C383" s="218" t="s">
        <v>314</v>
      </c>
      <c r="D383" s="218">
        <v>158</v>
      </c>
      <c r="E383" s="218" t="s">
        <v>315</v>
      </c>
      <c r="F383" s="218">
        <v>22.7</v>
      </c>
      <c r="G383" s="218" t="s">
        <v>316</v>
      </c>
      <c r="H383" s="218">
        <v>326</v>
      </c>
      <c r="I383" s="218">
        <f t="shared" si="21"/>
        <v>317</v>
      </c>
      <c r="J383" s="218">
        <f t="shared" si="22"/>
        <v>3.1545741324921135E-3</v>
      </c>
      <c r="K383" s="218">
        <f t="shared" si="23"/>
        <v>4.6106509611350245E-2</v>
      </c>
      <c r="L383" s="218">
        <f t="shared" si="24"/>
        <v>296.7</v>
      </c>
      <c r="M383" s="218" t="s">
        <v>323</v>
      </c>
      <c r="P383" s="218">
        <v>378</v>
      </c>
      <c r="Q383" s="218">
        <v>335.7</v>
      </c>
      <c r="R383" s="218">
        <v>378</v>
      </c>
      <c r="S383" s="218">
        <v>225</v>
      </c>
      <c r="T383" s="218">
        <v>312.90000000000003</v>
      </c>
      <c r="U383" s="273">
        <v>3.1959092361776922E-3</v>
      </c>
      <c r="V383" s="218">
        <v>3.2010325276752519E-3</v>
      </c>
      <c r="W383" s="250">
        <v>5.4679730253224308E-5</v>
      </c>
      <c r="X383" s="250">
        <v>0.69072847682119209</v>
      </c>
      <c r="Z383" s="218">
        <v>375</v>
      </c>
      <c r="AA383" s="435">
        <v>0.68778513612950698</v>
      </c>
    </row>
    <row r="384" spans="1:27">
      <c r="A384" s="429">
        <v>0.68163194444444442</v>
      </c>
      <c r="B384" s="218">
        <v>318</v>
      </c>
      <c r="C384" s="218" t="s">
        <v>314</v>
      </c>
      <c r="D384" s="218">
        <v>159</v>
      </c>
      <c r="E384" s="218" t="s">
        <v>315</v>
      </c>
      <c r="F384" s="218">
        <v>22.7</v>
      </c>
      <c r="G384" s="218" t="s">
        <v>316</v>
      </c>
      <c r="H384" s="218">
        <v>327</v>
      </c>
      <c r="I384" s="218">
        <f t="shared" si="21"/>
        <v>315</v>
      </c>
      <c r="J384" s="218">
        <f t="shared" si="22"/>
        <v>3.1746031746031746E-3</v>
      </c>
      <c r="K384" s="218">
        <f t="shared" si="23"/>
        <v>4.6086480569239183E-2</v>
      </c>
      <c r="L384" s="218">
        <f t="shared" si="24"/>
        <v>294.7</v>
      </c>
      <c r="M384" s="218" t="s">
        <v>323</v>
      </c>
      <c r="P384" s="218">
        <v>379</v>
      </c>
      <c r="Q384" s="218">
        <v>336.7</v>
      </c>
      <c r="R384" s="218">
        <v>378</v>
      </c>
      <c r="S384" s="218">
        <v>224</v>
      </c>
      <c r="T384" s="218">
        <v>312.90000000000003</v>
      </c>
      <c r="U384" s="273">
        <v>3.1959092361776922E-3</v>
      </c>
      <c r="V384" s="218">
        <v>3.1959092361776922E-3</v>
      </c>
      <c r="W384" s="250">
        <v>5.4592214679835664E-5</v>
      </c>
      <c r="X384" s="250">
        <v>0.69072847682119209</v>
      </c>
      <c r="Z384" s="218">
        <v>376</v>
      </c>
      <c r="AA384" s="435">
        <v>0.68925680647534959</v>
      </c>
    </row>
    <row r="385" spans="1:27">
      <c r="A385" s="429">
        <v>0.68164351851851857</v>
      </c>
      <c r="B385" s="218">
        <v>318</v>
      </c>
      <c r="C385" s="218" t="s">
        <v>314</v>
      </c>
      <c r="D385" s="218">
        <v>159</v>
      </c>
      <c r="E385" s="218" t="s">
        <v>315</v>
      </c>
      <c r="F385" s="218">
        <v>22.7</v>
      </c>
      <c r="G385" s="218" t="s">
        <v>316</v>
      </c>
      <c r="H385" s="218">
        <v>328</v>
      </c>
      <c r="I385" s="218">
        <f t="shared" si="21"/>
        <v>318</v>
      </c>
      <c r="J385" s="218">
        <f t="shared" si="22"/>
        <v>3.1446540880503146E-3</v>
      </c>
      <c r="K385" s="218">
        <f t="shared" si="23"/>
        <v>4.6116429655792046E-2</v>
      </c>
      <c r="L385" s="218">
        <f t="shared" si="24"/>
        <v>297.7</v>
      </c>
      <c r="M385" s="218" t="s">
        <v>323</v>
      </c>
      <c r="P385" s="218">
        <v>380</v>
      </c>
      <c r="Q385" s="218">
        <v>337.7</v>
      </c>
      <c r="R385" s="218">
        <v>380</v>
      </c>
      <c r="S385" s="218">
        <v>224</v>
      </c>
      <c r="T385" s="218">
        <v>313.90000000000003</v>
      </c>
      <c r="U385" s="273">
        <v>3.1857279388340233E-3</v>
      </c>
      <c r="V385" s="218">
        <v>3.190818587505858E-3</v>
      </c>
      <c r="W385" s="250">
        <v>5.4505256708061479E-5</v>
      </c>
      <c r="X385" s="250">
        <v>0.6929359823399559</v>
      </c>
      <c r="Z385" s="218">
        <v>377</v>
      </c>
      <c r="AA385" s="435">
        <v>0.68852097130242829</v>
      </c>
    </row>
    <row r="386" spans="1:27">
      <c r="A386" s="429">
        <v>0.68165509259259249</v>
      </c>
      <c r="B386" s="218">
        <v>318</v>
      </c>
      <c r="C386" s="218" t="s">
        <v>314</v>
      </c>
      <c r="D386" s="218">
        <v>159</v>
      </c>
      <c r="E386" s="218" t="s">
        <v>315</v>
      </c>
      <c r="F386" s="218">
        <v>22.7</v>
      </c>
      <c r="G386" s="218" t="s">
        <v>316</v>
      </c>
      <c r="H386" s="218">
        <v>329</v>
      </c>
      <c r="I386" s="218">
        <f t="shared" si="21"/>
        <v>318</v>
      </c>
      <c r="J386" s="218">
        <f t="shared" si="22"/>
        <v>3.1446540880503146E-3</v>
      </c>
      <c r="K386" s="218">
        <f t="shared" si="23"/>
        <v>4.6116429655792046E-2</v>
      </c>
      <c r="L386" s="218">
        <f t="shared" si="24"/>
        <v>297.7</v>
      </c>
      <c r="M386" s="218" t="s">
        <v>323</v>
      </c>
      <c r="P386" s="218">
        <v>381</v>
      </c>
      <c r="Q386" s="218">
        <v>339.7</v>
      </c>
      <c r="R386" s="218">
        <v>380</v>
      </c>
      <c r="S386" s="218">
        <v>228</v>
      </c>
      <c r="T386" s="218">
        <v>315.90000000000003</v>
      </c>
      <c r="U386" s="273">
        <v>3.1655587211142765E-3</v>
      </c>
      <c r="V386" s="218">
        <v>3.1756433299741501E-3</v>
      </c>
      <c r="W386" s="250">
        <v>5.4246034416134434E-5</v>
      </c>
      <c r="X386" s="250">
        <v>0.69735099337748352</v>
      </c>
      <c r="Z386" s="218">
        <v>378</v>
      </c>
      <c r="AA386" s="435">
        <v>0.69072847682119209</v>
      </c>
    </row>
    <row r="387" spans="1:27">
      <c r="A387" s="429">
        <v>0.68166666666666664</v>
      </c>
      <c r="B387" s="218">
        <v>320</v>
      </c>
      <c r="C387" s="218" t="s">
        <v>314</v>
      </c>
      <c r="D387" s="218">
        <v>160</v>
      </c>
      <c r="E387" s="218" t="s">
        <v>315</v>
      </c>
      <c r="F387" s="218">
        <v>22.7</v>
      </c>
      <c r="G387" s="218" t="s">
        <v>316</v>
      </c>
      <c r="H387" s="218">
        <v>330</v>
      </c>
      <c r="I387" s="218">
        <f t="shared" si="21"/>
        <v>318</v>
      </c>
      <c r="J387" s="218">
        <f t="shared" si="22"/>
        <v>3.1446540880503146E-3</v>
      </c>
      <c r="K387" s="218">
        <f t="shared" si="23"/>
        <v>4.6116429655792046E-2</v>
      </c>
      <c r="L387" s="218">
        <f t="shared" si="24"/>
        <v>297.7</v>
      </c>
      <c r="M387" s="218" t="s">
        <v>323</v>
      </c>
      <c r="P387" s="218">
        <v>382</v>
      </c>
      <c r="Q387" s="218">
        <v>340.7</v>
      </c>
      <c r="R387" s="218">
        <v>381</v>
      </c>
      <c r="S387" s="218">
        <v>228</v>
      </c>
      <c r="T387" s="218">
        <v>316.56666666666666</v>
      </c>
      <c r="U387" s="273">
        <v>3.1588922817731915E-3</v>
      </c>
      <c r="V387" s="218">
        <v>3.162225501443734E-3</v>
      </c>
      <c r="W387" s="250">
        <v>5.4016832357647385E-5</v>
      </c>
      <c r="X387" s="250">
        <v>0.69882266372332602</v>
      </c>
      <c r="Z387" s="218">
        <v>379</v>
      </c>
      <c r="AA387" s="435">
        <v>0.69072847682119209</v>
      </c>
    </row>
    <row r="388" spans="1:27">
      <c r="A388" s="429">
        <v>0.68167824074074079</v>
      </c>
      <c r="B388" s="218">
        <v>322</v>
      </c>
      <c r="C388" s="218" t="s">
        <v>314</v>
      </c>
      <c r="D388" s="218">
        <v>161</v>
      </c>
      <c r="E388" s="218" t="s">
        <v>315</v>
      </c>
      <c r="F388" s="218">
        <v>22.7</v>
      </c>
      <c r="G388" s="218" t="s">
        <v>316</v>
      </c>
      <c r="H388" s="218">
        <v>331</v>
      </c>
      <c r="I388" s="218">
        <f t="shared" si="21"/>
        <v>320</v>
      </c>
      <c r="J388" s="218">
        <f t="shared" si="22"/>
        <v>3.1250000000000002E-3</v>
      </c>
      <c r="K388" s="218">
        <f t="shared" si="23"/>
        <v>4.6136083743842357E-2</v>
      </c>
      <c r="L388" s="218">
        <f t="shared" si="24"/>
        <v>299.7</v>
      </c>
      <c r="M388" s="218" t="s">
        <v>323</v>
      </c>
      <c r="P388" s="218">
        <v>383</v>
      </c>
      <c r="Q388" s="218">
        <v>341.7</v>
      </c>
      <c r="R388" s="218">
        <v>382</v>
      </c>
      <c r="S388" s="218">
        <v>226</v>
      </c>
      <c r="T388" s="218">
        <v>316.56666666666666</v>
      </c>
      <c r="U388" s="273">
        <v>3.1588922817731915E-3</v>
      </c>
      <c r="V388" s="218">
        <v>3.1588922817731915E-3</v>
      </c>
      <c r="W388" s="250">
        <v>5.3959894619313196E-5</v>
      </c>
      <c r="X388" s="250">
        <v>0.69882266372332602</v>
      </c>
      <c r="Z388" s="218">
        <v>380</v>
      </c>
      <c r="AA388" s="435">
        <v>0.6929359823399559</v>
      </c>
    </row>
    <row r="389" spans="1:27">
      <c r="A389" s="429">
        <v>0.68168981481481483</v>
      </c>
      <c r="B389" s="218">
        <v>322</v>
      </c>
      <c r="C389" s="218" t="s">
        <v>314</v>
      </c>
      <c r="D389" s="218">
        <v>161</v>
      </c>
      <c r="E389" s="218" t="s">
        <v>315</v>
      </c>
      <c r="F389" s="218">
        <v>22.7</v>
      </c>
      <c r="G389" s="218" t="s">
        <v>316</v>
      </c>
      <c r="H389" s="218">
        <v>332</v>
      </c>
      <c r="I389" s="218">
        <f t="shared" si="21"/>
        <v>322</v>
      </c>
      <c r="J389" s="218">
        <f t="shared" si="22"/>
        <v>3.105590062111801E-3</v>
      </c>
      <c r="K389" s="218">
        <f t="shared" si="23"/>
        <v>4.615549368173056E-2</v>
      </c>
      <c r="L389" s="218">
        <f t="shared" si="24"/>
        <v>301.7</v>
      </c>
      <c r="M389" s="218" t="s">
        <v>323</v>
      </c>
      <c r="P389" s="218">
        <v>384</v>
      </c>
      <c r="Q389" s="218">
        <v>342.7</v>
      </c>
      <c r="R389" s="218">
        <v>381</v>
      </c>
      <c r="S389" s="218">
        <v>226</v>
      </c>
      <c r="T389" s="218">
        <v>316.56666666666666</v>
      </c>
      <c r="U389" s="273">
        <v>3.1588922817731915E-3</v>
      </c>
      <c r="V389" s="218">
        <v>3.1588922817731915E-3</v>
      </c>
      <c r="W389" s="250">
        <v>5.3959894619313196E-5</v>
      </c>
      <c r="X389" s="250">
        <v>0.69882266372332602</v>
      </c>
      <c r="Z389" s="218">
        <v>381</v>
      </c>
      <c r="AA389" s="435">
        <v>0.69735099337748352</v>
      </c>
    </row>
    <row r="390" spans="1:27">
      <c r="A390" s="429">
        <v>0.68170138888888887</v>
      </c>
      <c r="B390" s="218">
        <v>322</v>
      </c>
      <c r="C390" s="218" t="s">
        <v>314</v>
      </c>
      <c r="D390" s="218">
        <v>161</v>
      </c>
      <c r="E390" s="218" t="s">
        <v>315</v>
      </c>
      <c r="F390" s="218">
        <v>22.7</v>
      </c>
      <c r="G390" s="218" t="s">
        <v>316</v>
      </c>
      <c r="H390" s="218">
        <v>333</v>
      </c>
      <c r="I390" s="218">
        <f t="shared" si="21"/>
        <v>322</v>
      </c>
      <c r="J390" s="218">
        <f t="shared" si="22"/>
        <v>3.105590062111801E-3</v>
      </c>
      <c r="K390" s="218">
        <f t="shared" si="23"/>
        <v>4.615549368173056E-2</v>
      </c>
      <c r="L390" s="218">
        <f t="shared" si="24"/>
        <v>301.7</v>
      </c>
      <c r="M390" s="218" t="s">
        <v>323</v>
      </c>
      <c r="P390" s="218">
        <v>385</v>
      </c>
      <c r="Q390" s="218">
        <v>341.7</v>
      </c>
      <c r="R390" s="218">
        <v>382</v>
      </c>
      <c r="S390" s="218">
        <v>230</v>
      </c>
      <c r="T390" s="218">
        <v>317.90000000000003</v>
      </c>
      <c r="U390" s="273">
        <v>3.1456432840515883E-3</v>
      </c>
      <c r="V390" s="218">
        <v>3.1522677829123897E-3</v>
      </c>
      <c r="W390" s="250">
        <v>5.3846735565901611E-5</v>
      </c>
      <c r="X390" s="250">
        <v>0.70176600441501114</v>
      </c>
      <c r="Z390" s="218">
        <v>382</v>
      </c>
      <c r="AA390" s="435">
        <v>0.69882266372332602</v>
      </c>
    </row>
    <row r="391" spans="1:27">
      <c r="A391" s="429">
        <v>0.68171296296296291</v>
      </c>
      <c r="B391" s="218">
        <v>323</v>
      </c>
      <c r="C391" s="218" t="s">
        <v>314</v>
      </c>
      <c r="D391" s="218">
        <v>162</v>
      </c>
      <c r="E391" s="218" t="s">
        <v>315</v>
      </c>
      <c r="F391" s="218">
        <v>22.7</v>
      </c>
      <c r="G391" s="218" t="s">
        <v>316</v>
      </c>
      <c r="H391" s="218">
        <v>334</v>
      </c>
      <c r="I391" s="218">
        <f t="shared" si="21"/>
        <v>322</v>
      </c>
      <c r="J391" s="218">
        <f t="shared" si="22"/>
        <v>3.105590062111801E-3</v>
      </c>
      <c r="K391" s="218">
        <f t="shared" si="23"/>
        <v>4.615549368173056E-2</v>
      </c>
      <c r="L391" s="218">
        <f t="shared" si="24"/>
        <v>301.7</v>
      </c>
      <c r="M391" s="218" t="s">
        <v>323</v>
      </c>
      <c r="P391" s="218">
        <v>386</v>
      </c>
      <c r="Q391" s="218">
        <v>344.7</v>
      </c>
      <c r="R391" s="218">
        <v>382</v>
      </c>
      <c r="S391" s="218">
        <v>230</v>
      </c>
      <c r="T391" s="218">
        <v>318.90000000000003</v>
      </c>
      <c r="U391" s="273">
        <v>3.1357792411414232E-3</v>
      </c>
      <c r="V391" s="218">
        <v>3.1407112625965058E-3</v>
      </c>
      <c r="W391" s="250">
        <v>5.364932819559995E-5</v>
      </c>
      <c r="X391" s="250">
        <v>0.70397350993377494</v>
      </c>
      <c r="Z391" s="218">
        <v>383</v>
      </c>
      <c r="AA391" s="435">
        <v>0.69882266372332602</v>
      </c>
    </row>
    <row r="392" spans="1:27">
      <c r="A392" s="429">
        <v>0.68172453703703706</v>
      </c>
      <c r="B392" s="218">
        <v>322</v>
      </c>
      <c r="C392" s="218" t="s">
        <v>314</v>
      </c>
      <c r="D392" s="218">
        <v>161</v>
      </c>
      <c r="E392" s="218" t="s">
        <v>315</v>
      </c>
      <c r="F392" s="218">
        <v>22.7</v>
      </c>
      <c r="G392" s="218" t="s">
        <v>316</v>
      </c>
      <c r="H392" s="218">
        <v>335</v>
      </c>
      <c r="I392" s="218">
        <f t="shared" si="21"/>
        <v>323</v>
      </c>
      <c r="J392" s="218">
        <f t="shared" si="22"/>
        <v>3.0959752321981426E-3</v>
      </c>
      <c r="K392" s="218">
        <f t="shared" si="23"/>
        <v>4.6165108511644216E-2</v>
      </c>
      <c r="L392" s="218">
        <f t="shared" si="24"/>
        <v>302.7</v>
      </c>
      <c r="M392" s="218" t="s">
        <v>323</v>
      </c>
      <c r="P392" s="218">
        <v>387</v>
      </c>
      <c r="Q392" s="218">
        <v>345.7</v>
      </c>
      <c r="R392" s="218">
        <v>383</v>
      </c>
      <c r="S392" s="218">
        <v>231</v>
      </c>
      <c r="T392" s="218">
        <v>319.90000000000003</v>
      </c>
      <c r="U392" s="273">
        <v>3.1259768677711782E-3</v>
      </c>
      <c r="V392" s="218">
        <v>3.1308780544563007E-3</v>
      </c>
      <c r="W392" s="250">
        <v>5.3481358278399297E-5</v>
      </c>
      <c r="X392" s="250">
        <v>0.70618101545253875</v>
      </c>
      <c r="Z392" s="218">
        <v>384</v>
      </c>
      <c r="AA392" s="435">
        <v>0.69882266372332602</v>
      </c>
    </row>
    <row r="393" spans="1:27">
      <c r="A393" s="429">
        <v>0.68173611111111121</v>
      </c>
      <c r="B393" s="218">
        <v>324</v>
      </c>
      <c r="C393" s="218" t="s">
        <v>314</v>
      </c>
      <c r="D393" s="218">
        <v>162</v>
      </c>
      <c r="E393" s="218" t="s">
        <v>315</v>
      </c>
      <c r="F393" s="218">
        <v>22.7</v>
      </c>
      <c r="G393" s="218" t="s">
        <v>316</v>
      </c>
      <c r="H393" s="218">
        <v>336</v>
      </c>
      <c r="I393" s="218">
        <f t="shared" si="21"/>
        <v>322</v>
      </c>
      <c r="J393" s="218">
        <f t="shared" si="22"/>
        <v>3.105590062111801E-3</v>
      </c>
      <c r="K393" s="218">
        <f t="shared" si="23"/>
        <v>4.615549368173056E-2</v>
      </c>
      <c r="L393" s="218">
        <f t="shared" si="24"/>
        <v>301.7</v>
      </c>
      <c r="M393" s="218" t="s">
        <v>323</v>
      </c>
      <c r="P393" s="218">
        <v>388</v>
      </c>
      <c r="Q393" s="218">
        <v>345.7</v>
      </c>
      <c r="R393" s="218">
        <v>384</v>
      </c>
      <c r="S393" s="218">
        <v>231</v>
      </c>
      <c r="T393" s="218">
        <v>320.23333333333335</v>
      </c>
      <c r="U393" s="273">
        <v>3.1227230144686164E-3</v>
      </c>
      <c r="V393" s="218">
        <v>3.1243499411198975E-3</v>
      </c>
      <c r="W393" s="250">
        <v>5.3369845673259905E-5</v>
      </c>
      <c r="X393" s="250">
        <v>0.70691685062545995</v>
      </c>
      <c r="Z393" s="218">
        <v>385</v>
      </c>
      <c r="AA393" s="435">
        <v>0.70176600441501114</v>
      </c>
    </row>
    <row r="394" spans="1:27">
      <c r="A394" s="429">
        <v>0.68174768518518514</v>
      </c>
      <c r="B394" s="218">
        <v>324</v>
      </c>
      <c r="C394" s="218" t="s">
        <v>314</v>
      </c>
      <c r="D394" s="218">
        <v>162</v>
      </c>
      <c r="E394" s="218" t="s">
        <v>315</v>
      </c>
      <c r="F394" s="218">
        <v>22.7</v>
      </c>
      <c r="G394" s="218" t="s">
        <v>316</v>
      </c>
      <c r="H394" s="218">
        <v>337</v>
      </c>
      <c r="I394" s="218">
        <f t="shared" si="21"/>
        <v>324</v>
      </c>
      <c r="J394" s="218">
        <f t="shared" si="22"/>
        <v>3.0864197530864196E-3</v>
      </c>
      <c r="K394" s="218">
        <f t="shared" si="23"/>
        <v>4.617466399075594E-2</v>
      </c>
      <c r="L394" s="218">
        <f t="shared" si="24"/>
        <v>303.7</v>
      </c>
      <c r="M394" s="218" t="s">
        <v>323</v>
      </c>
      <c r="P394" s="218">
        <v>389</v>
      </c>
      <c r="Q394" s="218">
        <v>346.7</v>
      </c>
      <c r="R394" s="218">
        <v>385</v>
      </c>
      <c r="S394" s="218">
        <v>233</v>
      </c>
      <c r="T394" s="218">
        <v>321.56666666666666</v>
      </c>
      <c r="U394" s="273">
        <v>3.1097750596040222E-3</v>
      </c>
      <c r="V394" s="218">
        <v>3.1162490370363191E-3</v>
      </c>
      <c r="W394" s="250">
        <v>5.3231466807607135E-5</v>
      </c>
      <c r="X394" s="250">
        <v>0.70986019131714495</v>
      </c>
      <c r="Z394" s="218">
        <v>386</v>
      </c>
      <c r="AA394" s="435">
        <v>0.70397350993377494</v>
      </c>
    </row>
    <row r="395" spans="1:27">
      <c r="A395" s="429">
        <v>0.68175925925925929</v>
      </c>
      <c r="B395" s="218">
        <v>326</v>
      </c>
      <c r="C395" s="218" t="s">
        <v>314</v>
      </c>
      <c r="D395" s="218">
        <v>163</v>
      </c>
      <c r="E395" s="218" t="s">
        <v>315</v>
      </c>
      <c r="F395" s="218">
        <v>22.7</v>
      </c>
      <c r="G395" s="218" t="s">
        <v>316</v>
      </c>
      <c r="H395" s="218">
        <v>338</v>
      </c>
      <c r="I395" s="218">
        <f t="shared" si="21"/>
        <v>324</v>
      </c>
      <c r="J395" s="218">
        <f t="shared" si="22"/>
        <v>3.0864197530864196E-3</v>
      </c>
      <c r="K395" s="218">
        <f t="shared" si="23"/>
        <v>4.617466399075594E-2</v>
      </c>
      <c r="L395" s="218">
        <f t="shared" si="24"/>
        <v>303.7</v>
      </c>
      <c r="M395" s="218" t="s">
        <v>323</v>
      </c>
      <c r="P395" s="218">
        <v>390</v>
      </c>
      <c r="Q395" s="218">
        <v>347.7</v>
      </c>
      <c r="R395" s="218">
        <v>385</v>
      </c>
      <c r="S395" s="218">
        <v>233</v>
      </c>
      <c r="T395" s="218">
        <v>321.90000000000003</v>
      </c>
      <c r="U395" s="273">
        <v>3.1065548306927612E-3</v>
      </c>
      <c r="V395" s="218">
        <v>3.1081649451483919E-3</v>
      </c>
      <c r="W395" s="250">
        <v>5.3093375126266064E-5</v>
      </c>
      <c r="X395" s="250">
        <v>0.71059602649006626</v>
      </c>
      <c r="Z395" s="218">
        <v>387</v>
      </c>
      <c r="AA395" s="435">
        <v>0.70618101545253875</v>
      </c>
    </row>
    <row r="396" spans="1:27">
      <c r="A396" s="429">
        <v>0.68177083333333333</v>
      </c>
      <c r="B396" s="218">
        <v>327</v>
      </c>
      <c r="C396" s="218" t="s">
        <v>314</v>
      </c>
      <c r="D396" s="218">
        <v>164</v>
      </c>
      <c r="E396" s="218" t="s">
        <v>315</v>
      </c>
      <c r="F396" s="218">
        <v>22.7</v>
      </c>
      <c r="G396" s="218" t="s">
        <v>316</v>
      </c>
      <c r="H396" s="218">
        <v>339</v>
      </c>
      <c r="I396" s="218">
        <f t="shared" si="21"/>
        <v>326</v>
      </c>
      <c r="J396" s="218">
        <f t="shared" si="22"/>
        <v>3.0674846625766872E-3</v>
      </c>
      <c r="K396" s="218">
        <f t="shared" si="23"/>
        <v>4.619359908126567E-2</v>
      </c>
      <c r="L396" s="218">
        <f t="shared" si="24"/>
        <v>305.7</v>
      </c>
      <c r="M396" s="218" t="s">
        <v>323</v>
      </c>
      <c r="P396" s="218">
        <v>391</v>
      </c>
      <c r="Q396" s="218">
        <v>347.7</v>
      </c>
      <c r="R396" s="218">
        <v>387</v>
      </c>
      <c r="S396" s="218">
        <v>235</v>
      </c>
      <c r="T396" s="218">
        <v>323.23333333333335</v>
      </c>
      <c r="U396" s="273">
        <v>3.0937403320614623E-3</v>
      </c>
      <c r="V396" s="218">
        <v>3.1001475813771115E-3</v>
      </c>
      <c r="W396" s="250">
        <v>5.295642328820587E-5</v>
      </c>
      <c r="X396" s="250">
        <v>0.71353936718175137</v>
      </c>
      <c r="Z396" s="218">
        <v>388</v>
      </c>
      <c r="AA396" s="435">
        <v>0.70691685062545995</v>
      </c>
    </row>
    <row r="397" spans="1:27">
      <c r="A397" s="429">
        <v>0.68178240740740748</v>
      </c>
      <c r="B397" s="218">
        <v>328</v>
      </c>
      <c r="C397" s="218" t="s">
        <v>314</v>
      </c>
      <c r="D397" s="218">
        <v>164</v>
      </c>
      <c r="E397" s="218" t="s">
        <v>315</v>
      </c>
      <c r="F397" s="218">
        <v>22.7</v>
      </c>
      <c r="G397" s="218" t="s">
        <v>316</v>
      </c>
      <c r="H397" s="218">
        <v>340</v>
      </c>
      <c r="I397" s="218">
        <f t="shared" si="21"/>
        <v>327</v>
      </c>
      <c r="J397" s="218">
        <f t="shared" si="22"/>
        <v>3.0581039755351682E-3</v>
      </c>
      <c r="K397" s="218">
        <f t="shared" si="23"/>
        <v>4.6202979768307194E-2</v>
      </c>
      <c r="L397" s="218">
        <f t="shared" si="24"/>
        <v>306.7</v>
      </c>
      <c r="M397" s="218" t="s">
        <v>323</v>
      </c>
      <c r="P397" s="218">
        <v>392</v>
      </c>
      <c r="Q397" s="218">
        <v>347.7</v>
      </c>
      <c r="R397" s="218">
        <v>385</v>
      </c>
      <c r="S397" s="218">
        <v>235</v>
      </c>
      <c r="T397" s="218">
        <v>322.56666666666666</v>
      </c>
      <c r="U397" s="273">
        <v>3.1001343391546966E-3</v>
      </c>
      <c r="V397" s="218">
        <v>3.0969373356080796E-3</v>
      </c>
      <c r="W397" s="250">
        <v>5.2901586178248512E-5</v>
      </c>
      <c r="X397" s="250">
        <v>0.71206769683590876</v>
      </c>
      <c r="Z397" s="218">
        <v>389</v>
      </c>
      <c r="AA397" s="435">
        <v>0.70986019131714495</v>
      </c>
    </row>
    <row r="398" spans="1:27">
      <c r="A398" s="429">
        <v>0.6817939814814814</v>
      </c>
      <c r="B398" s="218">
        <v>328</v>
      </c>
      <c r="C398" s="218" t="s">
        <v>314</v>
      </c>
      <c r="D398" s="218">
        <v>164</v>
      </c>
      <c r="E398" s="218" t="s">
        <v>315</v>
      </c>
      <c r="F398" s="218">
        <v>22.7</v>
      </c>
      <c r="G398" s="218" t="s">
        <v>316</v>
      </c>
      <c r="H398" s="218">
        <v>341</v>
      </c>
      <c r="I398" s="218">
        <f t="shared" si="21"/>
        <v>328</v>
      </c>
      <c r="J398" s="218">
        <f t="shared" si="22"/>
        <v>3.0487804878048782E-3</v>
      </c>
      <c r="K398" s="218">
        <f t="shared" si="23"/>
        <v>4.6212303256037479E-2</v>
      </c>
      <c r="L398" s="218">
        <f t="shared" si="24"/>
        <v>307.7</v>
      </c>
      <c r="M398" s="218" t="s">
        <v>323</v>
      </c>
      <c r="P398" s="218">
        <v>393</v>
      </c>
      <c r="Q398" s="218">
        <v>349.7</v>
      </c>
      <c r="R398" s="218">
        <v>387</v>
      </c>
      <c r="S398" s="218">
        <v>237</v>
      </c>
      <c r="T398" s="218">
        <v>324.56666666666666</v>
      </c>
      <c r="U398" s="273">
        <v>3.0810311184142959E-3</v>
      </c>
      <c r="V398" s="218">
        <v>3.090582728784496E-3</v>
      </c>
      <c r="W398" s="250">
        <v>5.2793037394699846E-5</v>
      </c>
      <c r="X398" s="250">
        <v>0.71648270787343638</v>
      </c>
      <c r="Z398" s="218">
        <v>390</v>
      </c>
      <c r="AA398" s="435">
        <v>0.71059602649006626</v>
      </c>
    </row>
    <row r="399" spans="1:27">
      <c r="A399" s="429">
        <v>0.68180555555555555</v>
      </c>
      <c r="B399" s="218">
        <v>329</v>
      </c>
      <c r="C399" s="218" t="s">
        <v>314</v>
      </c>
      <c r="D399" s="218">
        <v>165</v>
      </c>
      <c r="E399" s="218" t="s">
        <v>315</v>
      </c>
      <c r="F399" s="218">
        <v>22.7</v>
      </c>
      <c r="G399" s="218" t="s">
        <v>316</v>
      </c>
      <c r="H399" s="218">
        <v>342</v>
      </c>
      <c r="I399" s="218">
        <f t="shared" si="21"/>
        <v>328</v>
      </c>
      <c r="J399" s="218">
        <f t="shared" si="22"/>
        <v>3.0487804878048782E-3</v>
      </c>
      <c r="K399" s="218">
        <f t="shared" si="23"/>
        <v>4.6212303256037479E-2</v>
      </c>
      <c r="L399" s="218">
        <f t="shared" si="24"/>
        <v>307.7</v>
      </c>
      <c r="M399" s="218" t="s">
        <v>323</v>
      </c>
      <c r="P399" s="218">
        <v>394</v>
      </c>
      <c r="Q399" s="218">
        <v>348.7</v>
      </c>
      <c r="R399" s="218">
        <v>385</v>
      </c>
      <c r="S399" s="218">
        <v>237</v>
      </c>
      <c r="T399" s="218">
        <v>323.56666666666666</v>
      </c>
      <c r="U399" s="273">
        <v>3.0905532090244156E-3</v>
      </c>
      <c r="V399" s="218">
        <v>3.0857921637193557E-3</v>
      </c>
      <c r="W399" s="250">
        <v>5.271120542227918E-5</v>
      </c>
      <c r="X399" s="250">
        <v>0.71427520235467257</v>
      </c>
      <c r="Z399" s="218">
        <v>391</v>
      </c>
      <c r="AA399" s="435">
        <v>0.71353936718175137</v>
      </c>
    </row>
    <row r="400" spans="1:27">
      <c r="A400" s="429">
        <v>0.6818171296296297</v>
      </c>
      <c r="B400" s="218">
        <v>330</v>
      </c>
      <c r="C400" s="218" t="s">
        <v>314</v>
      </c>
      <c r="D400" s="218">
        <v>165</v>
      </c>
      <c r="E400" s="218" t="s">
        <v>315</v>
      </c>
      <c r="F400" s="218">
        <v>22.7</v>
      </c>
      <c r="G400" s="218" t="s">
        <v>316</v>
      </c>
      <c r="H400" s="218">
        <v>343</v>
      </c>
      <c r="I400" s="218">
        <f t="shared" si="21"/>
        <v>329</v>
      </c>
      <c r="J400" s="218">
        <f t="shared" si="22"/>
        <v>3.0395136778115501E-3</v>
      </c>
      <c r="K400" s="218">
        <f t="shared" si="23"/>
        <v>4.6221570066030809E-2</v>
      </c>
      <c r="L400" s="218">
        <f t="shared" si="24"/>
        <v>308.7</v>
      </c>
      <c r="M400" s="218" t="s">
        <v>323</v>
      </c>
      <c r="P400" s="218">
        <v>395</v>
      </c>
      <c r="Q400" s="218">
        <v>351.7</v>
      </c>
      <c r="R400" s="218">
        <v>386</v>
      </c>
      <c r="S400" s="218">
        <v>239</v>
      </c>
      <c r="T400" s="218">
        <v>325.56666666666666</v>
      </c>
      <c r="U400" s="273">
        <v>3.0715675232927202E-3</v>
      </c>
      <c r="V400" s="218">
        <v>3.0810603661585679E-3</v>
      </c>
      <c r="W400" s="250">
        <v>5.2630377310724605E-5</v>
      </c>
      <c r="X400" s="250">
        <v>0.71869021339220018</v>
      </c>
      <c r="Z400" s="218">
        <v>392</v>
      </c>
      <c r="AA400" s="435">
        <v>0.71206769683590876</v>
      </c>
    </row>
    <row r="401" spans="1:27">
      <c r="A401" s="429">
        <v>0.68182870370370363</v>
      </c>
      <c r="B401" s="218">
        <v>330</v>
      </c>
      <c r="C401" s="218" t="s">
        <v>314</v>
      </c>
      <c r="D401" s="218">
        <v>165</v>
      </c>
      <c r="E401" s="218" t="s">
        <v>315</v>
      </c>
      <c r="F401" s="218">
        <v>22.7</v>
      </c>
      <c r="G401" s="218" t="s">
        <v>316</v>
      </c>
      <c r="H401" s="218">
        <v>344</v>
      </c>
      <c r="I401" s="218">
        <f t="shared" si="21"/>
        <v>330</v>
      </c>
      <c r="J401" s="218">
        <f t="shared" si="22"/>
        <v>3.0303030303030303E-3</v>
      </c>
      <c r="K401" s="218">
        <f t="shared" si="23"/>
        <v>4.6230780713539331E-2</v>
      </c>
      <c r="L401" s="218">
        <f t="shared" si="24"/>
        <v>309.7</v>
      </c>
      <c r="M401" s="218" t="s">
        <v>323</v>
      </c>
      <c r="P401" s="218">
        <v>396</v>
      </c>
      <c r="Q401" s="218">
        <v>349.7</v>
      </c>
      <c r="R401" s="218">
        <v>386</v>
      </c>
      <c r="S401" s="218">
        <v>239</v>
      </c>
      <c r="T401" s="218">
        <v>324.90000000000003</v>
      </c>
      <c r="U401" s="273">
        <v>3.0778701138811939E-3</v>
      </c>
      <c r="V401" s="218">
        <v>3.0747188185869571E-3</v>
      </c>
      <c r="W401" s="250">
        <v>5.2522051604064103E-5</v>
      </c>
      <c r="X401" s="250">
        <v>0.71721854304635768</v>
      </c>
      <c r="Z401" s="218">
        <v>393</v>
      </c>
      <c r="AA401" s="435">
        <v>0.71648270787343638</v>
      </c>
    </row>
    <row r="402" spans="1:27">
      <c r="A402" s="429">
        <v>0.68184027777777778</v>
      </c>
      <c r="B402" s="218">
        <v>335</v>
      </c>
      <c r="C402" s="218" t="s">
        <v>314</v>
      </c>
      <c r="D402" s="218">
        <v>168</v>
      </c>
      <c r="E402" s="218" t="s">
        <v>315</v>
      </c>
      <c r="F402" s="218">
        <v>22.7</v>
      </c>
      <c r="G402" s="218" t="s">
        <v>316</v>
      </c>
      <c r="H402" s="218">
        <v>345</v>
      </c>
      <c r="I402" s="218">
        <f t="shared" si="21"/>
        <v>330</v>
      </c>
      <c r="J402" s="218">
        <f t="shared" si="22"/>
        <v>3.0303030303030303E-3</v>
      </c>
      <c r="K402" s="218">
        <f t="shared" si="23"/>
        <v>4.6230780713539331E-2</v>
      </c>
      <c r="L402" s="218">
        <f t="shared" si="24"/>
        <v>309.7</v>
      </c>
      <c r="M402" s="218" t="s">
        <v>323</v>
      </c>
      <c r="P402" s="218">
        <v>397</v>
      </c>
      <c r="Q402" s="218">
        <v>351.7</v>
      </c>
      <c r="R402" s="218">
        <v>387</v>
      </c>
      <c r="S402" s="218">
        <v>237</v>
      </c>
      <c r="T402" s="218">
        <v>325.23333333333335</v>
      </c>
      <c r="U402" s="273">
        <v>3.0747155888080353E-3</v>
      </c>
      <c r="V402" s="218">
        <v>3.0762928513446146E-3</v>
      </c>
      <c r="W402" s="250">
        <v>5.254893908048127E-5</v>
      </c>
      <c r="X402" s="250">
        <v>0.71795437821927888</v>
      </c>
      <c r="Z402" s="218">
        <v>394</v>
      </c>
      <c r="AA402" s="435">
        <v>0.71427520235467257</v>
      </c>
    </row>
    <row r="403" spans="1:27">
      <c r="A403" s="429">
        <v>0.68185185185185182</v>
      </c>
      <c r="B403" s="218">
        <v>334</v>
      </c>
      <c r="C403" s="218" t="s">
        <v>314</v>
      </c>
      <c r="D403" s="218">
        <v>167</v>
      </c>
      <c r="E403" s="218" t="s">
        <v>315</v>
      </c>
      <c r="F403" s="218">
        <v>22.7</v>
      </c>
      <c r="G403" s="218" t="s">
        <v>316</v>
      </c>
      <c r="H403" s="218">
        <v>346</v>
      </c>
      <c r="I403" s="218">
        <f t="shared" si="21"/>
        <v>335</v>
      </c>
      <c r="J403" s="218">
        <f t="shared" si="22"/>
        <v>2.9850746268656717E-3</v>
      </c>
      <c r="K403" s="218">
        <f t="shared" si="23"/>
        <v>4.6276009116976685E-2</v>
      </c>
      <c r="L403" s="218">
        <f t="shared" si="24"/>
        <v>314.7</v>
      </c>
      <c r="M403" s="218" t="s">
        <v>323</v>
      </c>
      <c r="P403" s="218">
        <v>398</v>
      </c>
      <c r="Q403" s="218">
        <v>352.7</v>
      </c>
      <c r="R403" s="218">
        <v>387</v>
      </c>
      <c r="S403" s="218">
        <v>237</v>
      </c>
      <c r="T403" s="218">
        <v>325.56666666666666</v>
      </c>
      <c r="U403" s="273">
        <v>3.0715675232927202E-3</v>
      </c>
      <c r="V403" s="218">
        <v>3.0731415560503778E-3</v>
      </c>
      <c r="W403" s="250">
        <v>5.2495108956873544E-5</v>
      </c>
      <c r="X403" s="250">
        <v>0.71869021339220018</v>
      </c>
      <c r="Z403" s="218">
        <v>395</v>
      </c>
      <c r="AA403" s="435">
        <v>0.71869021339220018</v>
      </c>
    </row>
    <row r="404" spans="1:27">
      <c r="A404" s="429">
        <v>0.68186342592592597</v>
      </c>
      <c r="B404" s="218">
        <v>335</v>
      </c>
      <c r="C404" s="218" t="s">
        <v>314</v>
      </c>
      <c r="D404" s="218">
        <v>168</v>
      </c>
      <c r="E404" s="218" t="s">
        <v>315</v>
      </c>
      <c r="F404" s="218">
        <v>22.7</v>
      </c>
      <c r="G404" s="218" t="s">
        <v>316</v>
      </c>
      <c r="H404" s="218">
        <v>347</v>
      </c>
      <c r="I404" s="218">
        <f t="shared" si="21"/>
        <v>334</v>
      </c>
      <c r="J404" s="218">
        <f t="shared" si="22"/>
        <v>2.9940119760479044E-3</v>
      </c>
      <c r="K404" s="218">
        <f t="shared" si="23"/>
        <v>4.6267071767794453E-2</v>
      </c>
      <c r="L404" s="218">
        <f t="shared" si="24"/>
        <v>313.7</v>
      </c>
      <c r="M404" s="218" t="s">
        <v>323</v>
      </c>
      <c r="P404" s="218">
        <v>399</v>
      </c>
      <c r="Q404" s="218">
        <v>353.7</v>
      </c>
      <c r="R404" s="218">
        <v>388</v>
      </c>
      <c r="S404" s="218">
        <v>239</v>
      </c>
      <c r="T404" s="218">
        <v>326.90000000000003</v>
      </c>
      <c r="U404" s="273">
        <v>3.0590394616090543E-3</v>
      </c>
      <c r="V404" s="218">
        <v>3.0653034924508875E-3</v>
      </c>
      <c r="W404" s="250">
        <v>5.2361219907130268E-5</v>
      </c>
      <c r="X404" s="250">
        <v>0.7216335540838853</v>
      </c>
      <c r="Z404" s="218">
        <v>396</v>
      </c>
      <c r="AA404" s="435">
        <v>0.71721854304635768</v>
      </c>
    </row>
    <row r="405" spans="1:27">
      <c r="A405" s="429">
        <v>0.6818749999999999</v>
      </c>
      <c r="B405" s="218">
        <v>336</v>
      </c>
      <c r="C405" s="218" t="s">
        <v>314</v>
      </c>
      <c r="D405" s="218">
        <v>168</v>
      </c>
      <c r="E405" s="218" t="s">
        <v>315</v>
      </c>
      <c r="F405" s="218">
        <v>22.7</v>
      </c>
      <c r="G405" s="218" t="s">
        <v>316</v>
      </c>
      <c r="H405" s="218">
        <v>348</v>
      </c>
      <c r="I405" s="218">
        <f t="shared" si="21"/>
        <v>335</v>
      </c>
      <c r="J405" s="218">
        <f t="shared" si="22"/>
        <v>2.9850746268656717E-3</v>
      </c>
      <c r="K405" s="218">
        <f t="shared" si="23"/>
        <v>4.6276009116976685E-2</v>
      </c>
      <c r="L405" s="218">
        <f t="shared" si="24"/>
        <v>314.7</v>
      </c>
      <c r="M405" s="218" t="s">
        <v>323</v>
      </c>
      <c r="P405" s="218">
        <v>400</v>
      </c>
      <c r="Q405" s="218">
        <v>353.7</v>
      </c>
      <c r="R405" s="218">
        <v>388</v>
      </c>
      <c r="S405" s="218">
        <v>239</v>
      </c>
      <c r="T405" s="218">
        <v>326.90000000000003</v>
      </c>
      <c r="U405" s="273">
        <v>3.0590394616090543E-3</v>
      </c>
      <c r="V405" s="218">
        <v>3.0590394616090543E-3</v>
      </c>
      <c r="W405" s="250">
        <v>5.2254218333804159E-5</v>
      </c>
      <c r="X405" s="250">
        <v>0.7216335540838853</v>
      </c>
      <c r="Z405" s="218">
        <v>397</v>
      </c>
      <c r="AA405" s="435">
        <v>0.71795437821927888</v>
      </c>
    </row>
    <row r="406" spans="1:27">
      <c r="A406" s="429">
        <v>0.68188657407407405</v>
      </c>
      <c r="B406" s="218">
        <v>335</v>
      </c>
      <c r="C406" s="218" t="s">
        <v>314</v>
      </c>
      <c r="D406" s="218">
        <v>168</v>
      </c>
      <c r="E406" s="218" t="s">
        <v>315</v>
      </c>
      <c r="F406" s="218">
        <v>22.7</v>
      </c>
      <c r="G406" s="218" t="s">
        <v>316</v>
      </c>
      <c r="H406" s="218">
        <v>349</v>
      </c>
      <c r="I406" s="218">
        <f t="shared" si="21"/>
        <v>336</v>
      </c>
      <c r="J406" s="218">
        <f t="shared" si="22"/>
        <v>2.976190476190476E-3</v>
      </c>
      <c r="K406" s="218">
        <f t="shared" si="23"/>
        <v>4.628489326765188E-2</v>
      </c>
      <c r="L406" s="218">
        <f t="shared" si="24"/>
        <v>315.7</v>
      </c>
      <c r="M406" s="218" t="s">
        <v>323</v>
      </c>
      <c r="P406" s="218">
        <v>401</v>
      </c>
      <c r="Q406" s="218">
        <v>354.7</v>
      </c>
      <c r="R406" s="218">
        <v>388</v>
      </c>
      <c r="S406" s="218">
        <v>239</v>
      </c>
      <c r="T406" s="218">
        <v>327.23333333333335</v>
      </c>
      <c r="U406" s="273">
        <v>3.0559233981868185E-3</v>
      </c>
      <c r="V406" s="218">
        <v>3.0574814298979366E-3</v>
      </c>
      <c r="W406" s="250">
        <v>5.2227604185727456E-5</v>
      </c>
      <c r="X406" s="250">
        <v>0.72236938925680649</v>
      </c>
      <c r="Z406" s="218">
        <v>398</v>
      </c>
      <c r="AA406" s="435">
        <v>0.71869021339220018</v>
      </c>
    </row>
    <row r="407" spans="1:27">
      <c r="A407" s="429">
        <v>0.6818981481481482</v>
      </c>
      <c r="B407" s="218">
        <v>335</v>
      </c>
      <c r="C407" s="218" t="s">
        <v>314</v>
      </c>
      <c r="D407" s="218">
        <v>168</v>
      </c>
      <c r="E407" s="218" t="s">
        <v>315</v>
      </c>
      <c r="F407" s="218">
        <v>22.7</v>
      </c>
      <c r="G407" s="218" t="s">
        <v>316</v>
      </c>
      <c r="H407" s="218">
        <v>350</v>
      </c>
      <c r="I407" s="218">
        <f t="shared" si="21"/>
        <v>335</v>
      </c>
      <c r="J407" s="218">
        <f t="shared" si="22"/>
        <v>2.9850746268656717E-3</v>
      </c>
      <c r="K407" s="218">
        <f t="shared" si="23"/>
        <v>4.6276009116976685E-2</v>
      </c>
      <c r="L407" s="218">
        <f t="shared" si="24"/>
        <v>314.7</v>
      </c>
      <c r="M407" s="218" t="s">
        <v>323</v>
      </c>
      <c r="P407" s="218">
        <v>402</v>
      </c>
      <c r="Q407" s="218">
        <v>354.7</v>
      </c>
      <c r="R407" s="218">
        <v>389</v>
      </c>
      <c r="S407" s="218">
        <v>239</v>
      </c>
      <c r="T407" s="218">
        <v>327.56666666666666</v>
      </c>
      <c r="U407" s="273">
        <v>3.0528136766052711E-3</v>
      </c>
      <c r="V407" s="218">
        <v>3.0543685373960448E-3</v>
      </c>
      <c r="W407" s="250">
        <v>5.2174430054930868E-5</v>
      </c>
      <c r="X407" s="250">
        <v>0.72310522442972769</v>
      </c>
      <c r="Z407" s="218">
        <v>399</v>
      </c>
      <c r="AA407" s="435">
        <v>0.7216335540838853</v>
      </c>
    </row>
    <row r="408" spans="1:27">
      <c r="A408" s="429">
        <v>0.68190972222222224</v>
      </c>
      <c r="B408" s="218">
        <v>337</v>
      </c>
      <c r="C408" s="218" t="s">
        <v>314</v>
      </c>
      <c r="D408" s="218">
        <v>169</v>
      </c>
      <c r="E408" s="218" t="s">
        <v>315</v>
      </c>
      <c r="F408" s="218">
        <v>22.7</v>
      </c>
      <c r="G408" s="218" t="s">
        <v>316</v>
      </c>
      <c r="H408" s="218">
        <v>351</v>
      </c>
      <c r="I408" s="218">
        <f t="shared" si="21"/>
        <v>335</v>
      </c>
      <c r="J408" s="218">
        <f t="shared" si="22"/>
        <v>2.9850746268656717E-3</v>
      </c>
      <c r="K408" s="218">
        <f t="shared" si="23"/>
        <v>4.6276009116976685E-2</v>
      </c>
      <c r="L408" s="218">
        <f t="shared" si="24"/>
        <v>314.7</v>
      </c>
      <c r="M408" s="218" t="s">
        <v>323</v>
      </c>
      <c r="P408" s="218">
        <v>403</v>
      </c>
      <c r="Q408" s="218">
        <v>354.7</v>
      </c>
      <c r="R408" s="218">
        <v>389</v>
      </c>
      <c r="S408" s="218">
        <v>239</v>
      </c>
      <c r="T408" s="218">
        <v>327.56666666666666</v>
      </c>
      <c r="U408" s="273">
        <v>3.0528136766052711E-3</v>
      </c>
      <c r="V408" s="218">
        <v>3.0528136766052711E-3</v>
      </c>
      <c r="W408" s="250">
        <v>5.2147870072210996E-5</v>
      </c>
      <c r="X408" s="250">
        <v>0.72310522442972769</v>
      </c>
      <c r="Z408" s="218">
        <v>400</v>
      </c>
      <c r="AA408" s="435">
        <v>0.7216335540838853</v>
      </c>
    </row>
    <row r="409" spans="1:27">
      <c r="A409" s="429">
        <v>0.68192129629629628</v>
      </c>
      <c r="B409" s="218">
        <v>338</v>
      </c>
      <c r="C409" s="218" t="s">
        <v>314</v>
      </c>
      <c r="D409" s="218">
        <v>169</v>
      </c>
      <c r="E409" s="218" t="s">
        <v>315</v>
      </c>
      <c r="F409" s="218">
        <v>22.7</v>
      </c>
      <c r="G409" s="218" t="s">
        <v>316</v>
      </c>
      <c r="H409" s="218">
        <v>352</v>
      </c>
      <c r="I409" s="218">
        <f t="shared" si="21"/>
        <v>337</v>
      </c>
      <c r="J409" s="218">
        <f t="shared" si="22"/>
        <v>2.967359050445104E-3</v>
      </c>
      <c r="K409" s="218">
        <f t="shared" si="23"/>
        <v>4.6293724693397258E-2</v>
      </c>
      <c r="L409" s="218">
        <f t="shared" si="24"/>
        <v>316.7</v>
      </c>
      <c r="M409" s="218" t="s">
        <v>323</v>
      </c>
      <c r="P409" s="218">
        <v>404</v>
      </c>
      <c r="Q409" s="218">
        <v>354.7</v>
      </c>
      <c r="R409" s="218">
        <v>389</v>
      </c>
      <c r="S409" s="218">
        <v>239</v>
      </c>
      <c r="T409" s="218">
        <v>327.56666666666666</v>
      </c>
      <c r="U409" s="273">
        <v>3.0528136766052711E-3</v>
      </c>
      <c r="V409" s="218">
        <v>3.0528136766052711E-3</v>
      </c>
      <c r="W409" s="250">
        <v>5.2147870072210996E-5</v>
      </c>
      <c r="X409" s="250">
        <v>0.72310522442972769</v>
      </c>
      <c r="Z409" s="218">
        <v>401</v>
      </c>
      <c r="AA409" s="435">
        <v>0.72236938925680649</v>
      </c>
    </row>
    <row r="410" spans="1:27">
      <c r="A410" s="429">
        <v>0.68193287037037031</v>
      </c>
      <c r="B410" s="218">
        <v>339</v>
      </c>
      <c r="C410" s="218" t="s">
        <v>314</v>
      </c>
      <c r="D410" s="218">
        <v>170</v>
      </c>
      <c r="E410" s="218" t="s">
        <v>315</v>
      </c>
      <c r="F410" s="218">
        <v>22.7</v>
      </c>
      <c r="G410" s="218" t="s">
        <v>316</v>
      </c>
      <c r="H410" s="218">
        <v>353</v>
      </c>
      <c r="I410" s="218">
        <f t="shared" si="21"/>
        <v>338</v>
      </c>
      <c r="J410" s="218">
        <f t="shared" si="22"/>
        <v>2.9585798816568047E-3</v>
      </c>
      <c r="K410" s="218">
        <f t="shared" si="23"/>
        <v>4.6302503862185554E-2</v>
      </c>
      <c r="L410" s="218">
        <f t="shared" si="24"/>
        <v>317.7</v>
      </c>
      <c r="M410" s="218" t="s">
        <v>323</v>
      </c>
      <c r="P410" s="218">
        <v>405</v>
      </c>
      <c r="Q410" s="218">
        <v>353.7</v>
      </c>
      <c r="R410" s="218">
        <v>390</v>
      </c>
      <c r="S410" s="218">
        <v>241</v>
      </c>
      <c r="T410" s="218">
        <v>328.23333333333335</v>
      </c>
      <c r="U410" s="273">
        <v>3.0466131816796992E-3</v>
      </c>
      <c r="V410" s="218">
        <v>3.0497134291424853E-3</v>
      </c>
      <c r="W410" s="250">
        <v>5.2094911942758158E-5</v>
      </c>
      <c r="X410" s="250">
        <v>0.7245768947755703</v>
      </c>
      <c r="Z410" s="218">
        <v>402</v>
      </c>
      <c r="AA410" s="435">
        <v>0.72310522442972769</v>
      </c>
    </row>
    <row r="411" spans="1:27">
      <c r="A411" s="429">
        <v>0.68194444444444446</v>
      </c>
      <c r="B411" s="218">
        <v>341</v>
      </c>
      <c r="C411" s="218" t="s">
        <v>314</v>
      </c>
      <c r="D411" s="218">
        <v>171</v>
      </c>
      <c r="E411" s="218" t="s">
        <v>315</v>
      </c>
      <c r="F411" s="218">
        <v>22.7</v>
      </c>
      <c r="G411" s="218" t="s">
        <v>316</v>
      </c>
      <c r="H411" s="218">
        <v>354</v>
      </c>
      <c r="I411" s="218">
        <f t="shared" si="21"/>
        <v>339</v>
      </c>
      <c r="J411" s="218">
        <f t="shared" si="22"/>
        <v>2.9498525073746312E-3</v>
      </c>
      <c r="K411" s="218">
        <f t="shared" si="23"/>
        <v>4.6311231236467729E-2</v>
      </c>
      <c r="L411" s="218">
        <f t="shared" si="24"/>
        <v>318.7</v>
      </c>
      <c r="M411" s="218" t="s">
        <v>323</v>
      </c>
      <c r="P411" s="218">
        <v>406</v>
      </c>
      <c r="Q411" s="218">
        <v>355.7</v>
      </c>
      <c r="R411" s="218">
        <v>390</v>
      </c>
      <c r="S411" s="218">
        <v>241</v>
      </c>
      <c r="T411" s="218">
        <v>328.90000000000003</v>
      </c>
      <c r="U411" s="273">
        <v>3.0404378230465185E-3</v>
      </c>
      <c r="V411" s="218">
        <v>3.0435255023631086E-3</v>
      </c>
      <c r="W411" s="250">
        <v>5.1989210371718905E-5</v>
      </c>
      <c r="X411" s="250">
        <v>0.72604856512141291</v>
      </c>
      <c r="Z411" s="218">
        <v>403</v>
      </c>
      <c r="AA411" s="435">
        <v>0.72310522442972769</v>
      </c>
    </row>
    <row r="412" spans="1:27">
      <c r="A412" s="429">
        <v>0.68195601851851861</v>
      </c>
      <c r="B412" s="218">
        <v>339</v>
      </c>
      <c r="C412" s="218" t="s">
        <v>314</v>
      </c>
      <c r="D412" s="218">
        <v>170</v>
      </c>
      <c r="E412" s="218" t="s">
        <v>315</v>
      </c>
      <c r="F412" s="218">
        <v>22.7</v>
      </c>
      <c r="G412" s="218" t="s">
        <v>316</v>
      </c>
      <c r="H412" s="218">
        <v>355</v>
      </c>
      <c r="I412" s="218">
        <f t="shared" si="21"/>
        <v>341</v>
      </c>
      <c r="J412" s="218">
        <f t="shared" si="22"/>
        <v>2.9325513196480938E-3</v>
      </c>
      <c r="K412" s="218">
        <f t="shared" si="23"/>
        <v>4.6328532424194269E-2</v>
      </c>
      <c r="L412" s="218">
        <f t="shared" si="24"/>
        <v>320.7</v>
      </c>
      <c r="M412" s="218" t="s">
        <v>323</v>
      </c>
      <c r="P412" s="218">
        <v>407</v>
      </c>
      <c r="Q412" s="218">
        <v>354.7</v>
      </c>
      <c r="R412" s="218">
        <v>390</v>
      </c>
      <c r="S412" s="218">
        <v>243</v>
      </c>
      <c r="T412" s="218">
        <v>329.23333333333335</v>
      </c>
      <c r="U412" s="273">
        <v>3.0373595221221015E-3</v>
      </c>
      <c r="V412" s="218">
        <v>3.0388986725843102E-3</v>
      </c>
      <c r="W412" s="250">
        <v>5.1910175309736572E-5</v>
      </c>
      <c r="X412" s="250">
        <v>0.72678440029433411</v>
      </c>
      <c r="Z412" s="218">
        <v>404</v>
      </c>
      <c r="AA412" s="435">
        <v>0.72310522442972769</v>
      </c>
    </row>
    <row r="413" spans="1:27">
      <c r="A413" s="429">
        <v>0.68196759259259254</v>
      </c>
      <c r="B413" s="218">
        <v>341</v>
      </c>
      <c r="C413" s="218" t="s">
        <v>314</v>
      </c>
      <c r="D413" s="218">
        <v>171</v>
      </c>
      <c r="E413" s="218" t="s">
        <v>315</v>
      </c>
      <c r="F413" s="218">
        <v>22.7</v>
      </c>
      <c r="G413" s="218" t="s">
        <v>316</v>
      </c>
      <c r="H413" s="218">
        <v>356</v>
      </c>
      <c r="I413" s="218">
        <f t="shared" si="21"/>
        <v>339</v>
      </c>
      <c r="J413" s="218">
        <f t="shared" si="22"/>
        <v>2.9498525073746312E-3</v>
      </c>
      <c r="K413" s="218">
        <f t="shared" si="23"/>
        <v>4.6311231236467729E-2</v>
      </c>
      <c r="L413" s="218">
        <f t="shared" si="24"/>
        <v>318.7</v>
      </c>
      <c r="M413" s="218" t="s">
        <v>323</v>
      </c>
      <c r="P413" s="218">
        <v>408</v>
      </c>
      <c r="Q413" s="218">
        <v>355.7</v>
      </c>
      <c r="R413" s="218">
        <v>392</v>
      </c>
      <c r="S413" s="218">
        <v>243</v>
      </c>
      <c r="T413" s="218">
        <v>330.23333333333335</v>
      </c>
      <c r="U413" s="273">
        <v>3.0281619057232257E-3</v>
      </c>
      <c r="V413" s="218">
        <v>3.0327607139226638E-3</v>
      </c>
      <c r="W413" s="250">
        <v>5.1805327289286116E-5</v>
      </c>
      <c r="X413" s="250">
        <v>0.72899190581309792</v>
      </c>
      <c r="Z413" s="218">
        <v>405</v>
      </c>
      <c r="AA413" s="435">
        <v>0.7245768947755703</v>
      </c>
    </row>
    <row r="414" spans="1:27">
      <c r="A414" s="429">
        <v>0.68197916666666669</v>
      </c>
      <c r="B414" s="218">
        <v>342</v>
      </c>
      <c r="C414" s="218" t="s">
        <v>314</v>
      </c>
      <c r="D414" s="218">
        <v>171</v>
      </c>
      <c r="E414" s="218" t="s">
        <v>315</v>
      </c>
      <c r="F414" s="218">
        <v>22.7</v>
      </c>
      <c r="G414" s="218" t="s">
        <v>316</v>
      </c>
      <c r="H414" s="218">
        <v>357</v>
      </c>
      <c r="I414" s="218">
        <f t="shared" si="21"/>
        <v>341</v>
      </c>
      <c r="J414" s="218">
        <f t="shared" si="22"/>
        <v>2.9325513196480938E-3</v>
      </c>
      <c r="K414" s="218">
        <f t="shared" si="23"/>
        <v>4.6328532424194269E-2</v>
      </c>
      <c r="L414" s="218">
        <f t="shared" si="24"/>
        <v>320.7</v>
      </c>
      <c r="M414" s="218" t="s">
        <v>323</v>
      </c>
      <c r="P414" s="218">
        <v>409</v>
      </c>
      <c r="Q414" s="218">
        <v>356.7</v>
      </c>
      <c r="R414" s="218">
        <v>390</v>
      </c>
      <c r="S414" s="218">
        <v>248</v>
      </c>
      <c r="T414" s="218">
        <v>331.56666666666666</v>
      </c>
      <c r="U414" s="273">
        <v>3.0159847190107569E-3</v>
      </c>
      <c r="V414" s="218">
        <v>3.0220733123669913E-3</v>
      </c>
      <c r="W414" s="250">
        <v>5.1622766122187799E-5</v>
      </c>
      <c r="X414" s="250">
        <v>0.73193524650478292</v>
      </c>
      <c r="Z414" s="218">
        <v>406</v>
      </c>
      <c r="AA414" s="435">
        <v>0.72604856512141291</v>
      </c>
    </row>
    <row r="415" spans="1:27">
      <c r="A415" s="429">
        <v>0.68199074074074073</v>
      </c>
      <c r="B415" s="218">
        <v>343</v>
      </c>
      <c r="C415" s="218" t="s">
        <v>314</v>
      </c>
      <c r="D415" s="218">
        <v>172</v>
      </c>
      <c r="E415" s="218" t="s">
        <v>315</v>
      </c>
      <c r="F415" s="218">
        <v>22.7</v>
      </c>
      <c r="G415" s="218" t="s">
        <v>316</v>
      </c>
      <c r="H415" s="218">
        <v>358</v>
      </c>
      <c r="I415" s="218">
        <f t="shared" si="21"/>
        <v>342</v>
      </c>
      <c r="J415" s="218">
        <f t="shared" si="22"/>
        <v>2.9239766081871343E-3</v>
      </c>
      <c r="K415" s="218">
        <f t="shared" si="23"/>
        <v>4.6337107135655226E-2</v>
      </c>
      <c r="L415" s="218">
        <f t="shared" si="24"/>
        <v>321.7</v>
      </c>
      <c r="M415" s="218" t="s">
        <v>323</v>
      </c>
      <c r="P415" s="218">
        <v>410</v>
      </c>
      <c r="Q415" s="218">
        <v>356.7</v>
      </c>
      <c r="R415" s="218">
        <v>392</v>
      </c>
      <c r="S415" s="218">
        <v>248</v>
      </c>
      <c r="T415" s="218">
        <v>332.23333333333335</v>
      </c>
      <c r="U415" s="273">
        <v>3.009932778167954E-3</v>
      </c>
      <c r="V415" s="218">
        <v>3.0129587485893555E-3</v>
      </c>
      <c r="W415" s="250">
        <v>5.1467072018979519E-5</v>
      </c>
      <c r="X415" s="250">
        <v>0.73340691685062553</v>
      </c>
      <c r="Z415" s="218">
        <v>407</v>
      </c>
      <c r="AA415" s="435">
        <v>0.72678440029433411</v>
      </c>
    </row>
    <row r="416" spans="1:27">
      <c r="A416" s="429">
        <v>0.68200231481481488</v>
      </c>
      <c r="B416" s="218">
        <v>343</v>
      </c>
      <c r="C416" s="218" t="s">
        <v>314</v>
      </c>
      <c r="D416" s="218">
        <v>172</v>
      </c>
      <c r="E416" s="218" t="s">
        <v>315</v>
      </c>
      <c r="F416" s="218">
        <v>22.7</v>
      </c>
      <c r="G416" s="218" t="s">
        <v>316</v>
      </c>
      <c r="H416" s="218">
        <v>359</v>
      </c>
      <c r="I416" s="218">
        <f t="shared" si="21"/>
        <v>343</v>
      </c>
      <c r="J416" s="218">
        <f t="shared" si="22"/>
        <v>2.9154518950437317E-3</v>
      </c>
      <c r="K416" s="218">
        <f t="shared" si="23"/>
        <v>4.6345631848798627E-2</v>
      </c>
      <c r="L416" s="218">
        <f t="shared" si="24"/>
        <v>322.7</v>
      </c>
      <c r="M416" s="218" t="s">
        <v>323</v>
      </c>
      <c r="P416" s="218">
        <v>411</v>
      </c>
      <c r="Q416" s="218">
        <v>356.7</v>
      </c>
      <c r="R416" s="218">
        <v>391</v>
      </c>
      <c r="S416" s="218">
        <v>248</v>
      </c>
      <c r="T416" s="218">
        <v>331.90000000000003</v>
      </c>
      <c r="U416" s="273">
        <v>3.0129557095510693E-3</v>
      </c>
      <c r="V416" s="218">
        <v>3.0114442438595119E-3</v>
      </c>
      <c r="W416" s="250">
        <v>5.1441201394617187E-5</v>
      </c>
      <c r="X416" s="250">
        <v>0.73267108167770423</v>
      </c>
      <c r="Z416" s="218">
        <v>408</v>
      </c>
      <c r="AA416" s="435">
        <v>0.72899190581309792</v>
      </c>
    </row>
    <row r="417" spans="1:27">
      <c r="A417" s="429">
        <v>0.68201388888888881</v>
      </c>
      <c r="B417" s="218">
        <v>344</v>
      </c>
      <c r="C417" s="218" t="s">
        <v>314</v>
      </c>
      <c r="D417" s="218">
        <v>172</v>
      </c>
      <c r="E417" s="218" t="s">
        <v>315</v>
      </c>
      <c r="F417" s="218">
        <v>22.7</v>
      </c>
      <c r="G417" s="218" t="s">
        <v>316</v>
      </c>
      <c r="H417" s="218">
        <v>360</v>
      </c>
      <c r="I417" s="218">
        <f t="shared" si="21"/>
        <v>343</v>
      </c>
      <c r="J417" s="218">
        <f t="shared" si="22"/>
        <v>2.9154518950437317E-3</v>
      </c>
      <c r="K417" s="218">
        <f t="shared" si="23"/>
        <v>4.6345631848798627E-2</v>
      </c>
      <c r="L417" s="218">
        <f t="shared" si="24"/>
        <v>322.7</v>
      </c>
      <c r="M417" s="218" t="s">
        <v>323</v>
      </c>
      <c r="P417" s="218">
        <v>412</v>
      </c>
      <c r="Q417" s="218">
        <v>358.7</v>
      </c>
      <c r="R417" s="218">
        <v>392</v>
      </c>
      <c r="S417" s="218">
        <v>248</v>
      </c>
      <c r="T417" s="218">
        <v>332.90000000000003</v>
      </c>
      <c r="U417" s="273">
        <v>3.003905076599579E-3</v>
      </c>
      <c r="V417" s="218">
        <v>3.0084303930753243E-3</v>
      </c>
      <c r="W417" s="250">
        <v>5.1389719084931782E-5</v>
      </c>
      <c r="X417" s="250">
        <v>0.73487858719646804</v>
      </c>
      <c r="Z417" s="218">
        <v>409</v>
      </c>
      <c r="AA417" s="435">
        <v>0.73193524650478292</v>
      </c>
    </row>
    <row r="418" spans="1:27">
      <c r="A418" s="429">
        <v>0.68202546296296296</v>
      </c>
      <c r="B418" s="218">
        <v>344</v>
      </c>
      <c r="C418" s="218" t="s">
        <v>314</v>
      </c>
      <c r="D418" s="218">
        <v>172</v>
      </c>
      <c r="E418" s="218" t="s">
        <v>315</v>
      </c>
      <c r="F418" s="218">
        <v>22.7</v>
      </c>
      <c r="G418" s="218" t="s">
        <v>316</v>
      </c>
      <c r="H418" s="218">
        <v>361</v>
      </c>
      <c r="I418" s="218">
        <f t="shared" si="21"/>
        <v>344</v>
      </c>
      <c r="J418" s="218">
        <f t="shared" si="22"/>
        <v>2.9069767441860465E-3</v>
      </c>
      <c r="K418" s="218">
        <f t="shared" si="23"/>
        <v>4.6354106999656315E-2</v>
      </c>
      <c r="L418" s="218">
        <f t="shared" si="24"/>
        <v>323.7</v>
      </c>
      <c r="M418" s="218" t="s">
        <v>323</v>
      </c>
      <c r="P418" s="218">
        <v>413</v>
      </c>
      <c r="Q418" s="218">
        <v>359.7</v>
      </c>
      <c r="R418" s="218">
        <v>392</v>
      </c>
      <c r="S418" s="218">
        <v>249</v>
      </c>
      <c r="T418" s="218">
        <v>333.56666666666666</v>
      </c>
      <c r="U418" s="273">
        <v>2.9979014689717198E-3</v>
      </c>
      <c r="V418" s="218">
        <v>3.0009032727856492E-3</v>
      </c>
      <c r="W418" s="250">
        <v>5.1261141538947916E-5</v>
      </c>
      <c r="X418" s="250">
        <v>0.73635025754231054</v>
      </c>
      <c r="Z418" s="218">
        <v>410</v>
      </c>
      <c r="AA418" s="435">
        <v>0.73340691685062553</v>
      </c>
    </row>
    <row r="419" spans="1:27">
      <c r="A419" s="429">
        <v>0.68203703703703711</v>
      </c>
      <c r="B419" s="218">
        <v>346</v>
      </c>
      <c r="C419" s="218" t="s">
        <v>314</v>
      </c>
      <c r="D419" s="218">
        <v>173</v>
      </c>
      <c r="E419" s="218" t="s">
        <v>315</v>
      </c>
      <c r="F419" s="218">
        <v>22.7</v>
      </c>
      <c r="G419" s="218" t="s">
        <v>316</v>
      </c>
      <c r="H419" s="218">
        <v>362</v>
      </c>
      <c r="I419" s="218">
        <f t="shared" si="21"/>
        <v>344</v>
      </c>
      <c r="J419" s="218">
        <f t="shared" si="22"/>
        <v>2.9069767441860465E-3</v>
      </c>
      <c r="K419" s="218">
        <f t="shared" si="23"/>
        <v>4.6354106999656315E-2</v>
      </c>
      <c r="L419" s="218">
        <f t="shared" si="24"/>
        <v>323.7</v>
      </c>
      <c r="M419" s="218" t="s">
        <v>323</v>
      </c>
      <c r="P419" s="218">
        <v>414</v>
      </c>
      <c r="Q419" s="218">
        <v>358.7</v>
      </c>
      <c r="R419" s="218">
        <v>393</v>
      </c>
      <c r="S419" s="218">
        <v>249</v>
      </c>
      <c r="T419" s="218">
        <v>333.56666666666666</v>
      </c>
      <c r="U419" s="273">
        <v>2.9979014689717198E-3</v>
      </c>
      <c r="V419" s="218">
        <v>2.9979014689717198E-3</v>
      </c>
      <c r="W419" s="250">
        <v>5.1209865014451626E-5</v>
      </c>
      <c r="X419" s="250">
        <v>0.73635025754231054</v>
      </c>
      <c r="Z419" s="218">
        <v>411</v>
      </c>
      <c r="AA419" s="435">
        <v>0.73267108167770423</v>
      </c>
    </row>
    <row r="420" spans="1:27">
      <c r="A420" s="429">
        <v>0.68204861111111104</v>
      </c>
      <c r="B420" s="218">
        <v>348</v>
      </c>
      <c r="C420" s="218" t="s">
        <v>314</v>
      </c>
      <c r="D420" s="218">
        <v>174</v>
      </c>
      <c r="E420" s="218" t="s">
        <v>315</v>
      </c>
      <c r="F420" s="218">
        <v>22.7</v>
      </c>
      <c r="G420" s="218" t="s">
        <v>316</v>
      </c>
      <c r="H420" s="218">
        <v>363</v>
      </c>
      <c r="I420" s="218">
        <f t="shared" si="21"/>
        <v>346</v>
      </c>
      <c r="J420" s="218">
        <f t="shared" si="22"/>
        <v>2.8901734104046241E-3</v>
      </c>
      <c r="K420" s="218">
        <f t="shared" si="23"/>
        <v>4.6370910333437737E-2</v>
      </c>
      <c r="L420" s="218">
        <f t="shared" si="24"/>
        <v>325.7</v>
      </c>
      <c r="M420" s="218" t="s">
        <v>323</v>
      </c>
      <c r="P420" s="218">
        <v>415</v>
      </c>
      <c r="Q420" s="218">
        <v>360.7</v>
      </c>
      <c r="R420" s="218">
        <v>393</v>
      </c>
      <c r="S420" s="218">
        <v>250</v>
      </c>
      <c r="T420" s="218">
        <v>334.56666666666666</v>
      </c>
      <c r="U420" s="273">
        <v>2.9889409186011759E-3</v>
      </c>
      <c r="V420" s="218">
        <v>2.9934211937864478E-3</v>
      </c>
      <c r="W420" s="250">
        <v>5.1133333383962763E-5</v>
      </c>
      <c r="X420" s="250">
        <v>0.73855776306107435</v>
      </c>
      <c r="Z420" s="218">
        <v>412</v>
      </c>
      <c r="AA420" s="435">
        <v>0.73487858719646804</v>
      </c>
    </row>
    <row r="421" spans="1:27">
      <c r="A421" s="429">
        <v>0.68206018518518519</v>
      </c>
      <c r="B421" s="218">
        <v>347</v>
      </c>
      <c r="C421" s="218" t="s">
        <v>314</v>
      </c>
      <c r="D421" s="218">
        <v>174</v>
      </c>
      <c r="E421" s="218" t="s">
        <v>315</v>
      </c>
      <c r="F421" s="218">
        <v>22.7</v>
      </c>
      <c r="G421" s="218" t="s">
        <v>316</v>
      </c>
      <c r="H421" s="218">
        <v>364</v>
      </c>
      <c r="I421" s="218">
        <f t="shared" si="21"/>
        <v>348</v>
      </c>
      <c r="J421" s="218">
        <f t="shared" si="22"/>
        <v>2.8735632183908046E-3</v>
      </c>
      <c r="K421" s="218">
        <f t="shared" si="23"/>
        <v>4.6387520525451559E-2</v>
      </c>
      <c r="L421" s="218">
        <f t="shared" si="24"/>
        <v>327.7</v>
      </c>
      <c r="M421" s="218" t="s">
        <v>323</v>
      </c>
      <c r="P421" s="218">
        <v>416</v>
      </c>
      <c r="Q421" s="218">
        <v>357.7</v>
      </c>
      <c r="R421" s="218">
        <v>394</v>
      </c>
      <c r="S421" s="218">
        <v>250</v>
      </c>
      <c r="T421" s="218">
        <v>333.90000000000003</v>
      </c>
      <c r="U421" s="273">
        <v>2.9949086552860135E-3</v>
      </c>
      <c r="V421" s="218">
        <v>2.9919247869435945E-3</v>
      </c>
      <c r="W421" s="250">
        <v>5.1107771905968124E-5</v>
      </c>
      <c r="X421" s="250">
        <v>0.73708609271523184</v>
      </c>
      <c r="Z421" s="218">
        <v>413</v>
      </c>
      <c r="AA421" s="435">
        <v>0.73635025754231054</v>
      </c>
    </row>
    <row r="422" spans="1:27">
      <c r="A422" s="429">
        <v>0.68207175925925922</v>
      </c>
      <c r="B422" s="218">
        <v>350</v>
      </c>
      <c r="C422" s="218" t="s">
        <v>314</v>
      </c>
      <c r="D422" s="218">
        <v>175</v>
      </c>
      <c r="E422" s="218" t="s">
        <v>315</v>
      </c>
      <c r="F422" s="218">
        <v>22.7</v>
      </c>
      <c r="G422" s="218" t="s">
        <v>316</v>
      </c>
      <c r="H422" s="218">
        <v>365</v>
      </c>
      <c r="I422" s="218">
        <f t="shared" si="21"/>
        <v>347</v>
      </c>
      <c r="J422" s="218">
        <f t="shared" si="22"/>
        <v>2.881844380403458E-3</v>
      </c>
      <c r="K422" s="218">
        <f t="shared" si="23"/>
        <v>4.63792393634389E-2</v>
      </c>
      <c r="L422" s="218">
        <f t="shared" si="24"/>
        <v>326.7</v>
      </c>
      <c r="M422" s="218" t="s">
        <v>323</v>
      </c>
      <c r="P422" s="218">
        <v>417</v>
      </c>
      <c r="Q422" s="218">
        <v>360.7</v>
      </c>
      <c r="R422" s="218">
        <v>394</v>
      </c>
      <c r="S422" s="218">
        <v>250</v>
      </c>
      <c r="T422" s="218">
        <v>334.90000000000003</v>
      </c>
      <c r="U422" s="273">
        <v>2.9859659599880558E-3</v>
      </c>
      <c r="V422" s="218">
        <v>2.9904373076370346E-3</v>
      </c>
      <c r="W422" s="250">
        <v>5.1082362927291162E-5</v>
      </c>
      <c r="X422" s="250">
        <v>0.73929359823399565</v>
      </c>
      <c r="Z422" s="218">
        <v>414</v>
      </c>
      <c r="AA422" s="435">
        <v>0.73635025754231054</v>
      </c>
    </row>
    <row r="423" spans="1:27">
      <c r="A423" s="429">
        <v>0.68208333333333337</v>
      </c>
      <c r="B423" s="218">
        <v>349</v>
      </c>
      <c r="C423" s="218" t="s">
        <v>314</v>
      </c>
      <c r="D423" s="218">
        <v>175</v>
      </c>
      <c r="E423" s="218" t="s">
        <v>315</v>
      </c>
      <c r="F423" s="218">
        <v>22.7</v>
      </c>
      <c r="G423" s="218" t="s">
        <v>316</v>
      </c>
      <c r="H423" s="218">
        <v>366</v>
      </c>
      <c r="I423" s="218">
        <f t="shared" si="21"/>
        <v>350</v>
      </c>
      <c r="J423" s="218">
        <f t="shared" si="22"/>
        <v>2.8571428571428571E-3</v>
      </c>
      <c r="K423" s="218">
        <f t="shared" si="23"/>
        <v>4.6403940886699503E-2</v>
      </c>
      <c r="L423" s="218">
        <f t="shared" si="24"/>
        <v>329.7</v>
      </c>
      <c r="M423" s="218" t="s">
        <v>323</v>
      </c>
      <c r="P423" s="218">
        <v>418</v>
      </c>
      <c r="Q423" s="218">
        <v>359.7</v>
      </c>
      <c r="R423" s="218">
        <v>393</v>
      </c>
      <c r="S423" s="218">
        <v>250</v>
      </c>
      <c r="T423" s="218">
        <v>334.23333333333335</v>
      </c>
      <c r="U423" s="273">
        <v>2.9919218111100028E-3</v>
      </c>
      <c r="V423" s="218">
        <v>2.9889438855490291E-3</v>
      </c>
      <c r="W423" s="250">
        <v>5.105685243459222E-5</v>
      </c>
      <c r="X423" s="250">
        <v>0.73782192788815304</v>
      </c>
      <c r="Z423" s="218">
        <v>415</v>
      </c>
      <c r="AA423" s="435">
        <v>0.73855776306107435</v>
      </c>
    </row>
    <row r="424" spans="1:27">
      <c r="A424" s="429">
        <v>0.6820949074074073</v>
      </c>
      <c r="B424" s="218">
        <v>350</v>
      </c>
      <c r="C424" s="218" t="s">
        <v>314</v>
      </c>
      <c r="D424" s="218">
        <v>175</v>
      </c>
      <c r="E424" s="218" t="s">
        <v>315</v>
      </c>
      <c r="F424" s="218">
        <v>22.7</v>
      </c>
      <c r="G424" s="218" t="s">
        <v>316</v>
      </c>
      <c r="H424" s="218">
        <v>367</v>
      </c>
      <c r="I424" s="218">
        <f t="shared" si="21"/>
        <v>349</v>
      </c>
      <c r="J424" s="218">
        <f t="shared" si="22"/>
        <v>2.8653295128939827E-3</v>
      </c>
      <c r="K424" s="218">
        <f t="shared" si="23"/>
        <v>4.6395754230948376E-2</v>
      </c>
      <c r="L424" s="218">
        <f t="shared" si="24"/>
        <v>328.7</v>
      </c>
      <c r="M424" s="218" t="s">
        <v>323</v>
      </c>
      <c r="P424" s="218">
        <v>419</v>
      </c>
      <c r="Q424" s="218">
        <v>360.7</v>
      </c>
      <c r="R424" s="218">
        <v>395</v>
      </c>
      <c r="S424" s="218">
        <v>252</v>
      </c>
      <c r="T424" s="218">
        <v>335.90000000000003</v>
      </c>
      <c r="U424" s="273">
        <v>2.9770765108663288E-3</v>
      </c>
      <c r="V424" s="218">
        <v>2.9844991609881658E-3</v>
      </c>
      <c r="W424" s="250">
        <v>5.0980928076455689E-5</v>
      </c>
      <c r="X424" s="250">
        <v>0.74150110375275946</v>
      </c>
      <c r="Z424" s="218">
        <v>416</v>
      </c>
      <c r="AA424" s="435">
        <v>0.73708609271523184</v>
      </c>
    </row>
    <row r="425" spans="1:27">
      <c r="A425" s="429">
        <v>0.68210648148148145</v>
      </c>
      <c r="B425" s="218">
        <v>351</v>
      </c>
      <c r="C425" s="218" t="s">
        <v>314</v>
      </c>
      <c r="D425" s="218">
        <v>176</v>
      </c>
      <c r="E425" s="218" t="s">
        <v>315</v>
      </c>
      <c r="F425" s="218">
        <v>22.7</v>
      </c>
      <c r="G425" s="218" t="s">
        <v>316</v>
      </c>
      <c r="H425" s="218">
        <v>368</v>
      </c>
      <c r="I425" s="218">
        <f t="shared" si="21"/>
        <v>350</v>
      </c>
      <c r="J425" s="218">
        <f t="shared" si="22"/>
        <v>2.8571428571428571E-3</v>
      </c>
      <c r="K425" s="218">
        <f t="shared" si="23"/>
        <v>4.6403940886699503E-2</v>
      </c>
      <c r="L425" s="218">
        <f t="shared" si="24"/>
        <v>329.7</v>
      </c>
      <c r="M425" s="218" t="s">
        <v>323</v>
      </c>
      <c r="P425" s="218">
        <v>420</v>
      </c>
      <c r="Q425" s="218">
        <v>361.7</v>
      </c>
      <c r="R425" s="218">
        <v>395</v>
      </c>
      <c r="S425" s="218">
        <v>252</v>
      </c>
      <c r="T425" s="218">
        <v>336.23333333333335</v>
      </c>
      <c r="U425" s="273">
        <v>2.9741251115296915E-3</v>
      </c>
      <c r="V425" s="218">
        <v>2.9756008111980099E-3</v>
      </c>
      <c r="W425" s="250">
        <v>5.0828927319819228E-5</v>
      </c>
      <c r="X425" s="250">
        <v>0.74223693892568066</v>
      </c>
      <c r="Z425" s="218">
        <v>417</v>
      </c>
      <c r="AA425" s="435">
        <v>0.73929359823399565</v>
      </c>
    </row>
    <row r="426" spans="1:27">
      <c r="A426" s="429">
        <v>0.6821180555555556</v>
      </c>
      <c r="B426" s="218">
        <v>351</v>
      </c>
      <c r="C426" s="218" t="s">
        <v>314</v>
      </c>
      <c r="D426" s="218">
        <v>176</v>
      </c>
      <c r="E426" s="218" t="s">
        <v>315</v>
      </c>
      <c r="F426" s="218">
        <v>22.7</v>
      </c>
      <c r="G426" s="218" t="s">
        <v>316</v>
      </c>
      <c r="H426" s="218">
        <v>369</v>
      </c>
      <c r="I426" s="218">
        <f t="shared" si="21"/>
        <v>351</v>
      </c>
      <c r="J426" s="218">
        <f t="shared" si="22"/>
        <v>2.8490028490028491E-3</v>
      </c>
      <c r="K426" s="218">
        <f t="shared" si="23"/>
        <v>4.6412080894839509E-2</v>
      </c>
      <c r="L426" s="218">
        <f t="shared" si="24"/>
        <v>330.7</v>
      </c>
      <c r="M426" s="218" t="s">
        <v>323</v>
      </c>
      <c r="P426" s="218">
        <v>421</v>
      </c>
      <c r="Q426" s="218">
        <v>362.7</v>
      </c>
      <c r="R426" s="218">
        <v>396</v>
      </c>
      <c r="S426" s="218">
        <v>252</v>
      </c>
      <c r="T426" s="218">
        <v>336.90000000000003</v>
      </c>
      <c r="U426" s="273">
        <v>2.9682398337785689E-3</v>
      </c>
      <c r="V426" s="218">
        <v>2.9711824726541304E-3</v>
      </c>
      <c r="W426" s="250">
        <v>5.0753453685091062E-5</v>
      </c>
      <c r="X426" s="250">
        <v>0.74370860927152327</v>
      </c>
      <c r="Z426" s="218">
        <v>418</v>
      </c>
      <c r="AA426" s="435">
        <v>0.73782192788815304</v>
      </c>
    </row>
    <row r="427" spans="1:27">
      <c r="A427" s="429">
        <v>0.68212962962962964</v>
      </c>
      <c r="B427" s="218">
        <v>351</v>
      </c>
      <c r="C427" s="218" t="s">
        <v>314</v>
      </c>
      <c r="D427" s="218">
        <v>176</v>
      </c>
      <c r="E427" s="218" t="s">
        <v>315</v>
      </c>
      <c r="F427" s="218">
        <v>22.7</v>
      </c>
      <c r="G427" s="218" t="s">
        <v>316</v>
      </c>
      <c r="H427" s="218">
        <v>370</v>
      </c>
      <c r="I427" s="218">
        <f t="shared" si="21"/>
        <v>351</v>
      </c>
      <c r="J427" s="218">
        <f t="shared" si="22"/>
        <v>2.8490028490028491E-3</v>
      </c>
      <c r="K427" s="218">
        <f t="shared" si="23"/>
        <v>4.6412080894839509E-2</v>
      </c>
      <c r="L427" s="218">
        <f t="shared" si="24"/>
        <v>330.7</v>
      </c>
      <c r="M427" s="218" t="s">
        <v>323</v>
      </c>
      <c r="P427" s="218">
        <v>422</v>
      </c>
      <c r="Q427" s="218">
        <v>361.7</v>
      </c>
      <c r="R427" s="218">
        <v>397</v>
      </c>
      <c r="S427" s="218">
        <v>252</v>
      </c>
      <c r="T427" s="218">
        <v>336.90000000000003</v>
      </c>
      <c r="U427" s="273">
        <v>2.9682398337785689E-3</v>
      </c>
      <c r="V427" s="218">
        <v>2.9682398337785689E-3</v>
      </c>
      <c r="W427" s="250">
        <v>5.0703187810390557E-5</v>
      </c>
      <c r="X427" s="250">
        <v>0.74370860927152327</v>
      </c>
      <c r="Z427" s="218">
        <v>419</v>
      </c>
      <c r="AA427" s="435">
        <v>0.74150110375275946</v>
      </c>
    </row>
    <row r="428" spans="1:27">
      <c r="A428" s="429">
        <v>0.68214120370370368</v>
      </c>
      <c r="B428" s="218">
        <v>352</v>
      </c>
      <c r="C428" s="218" t="s">
        <v>314</v>
      </c>
      <c r="D428" s="218">
        <v>176</v>
      </c>
      <c r="E428" s="218" t="s">
        <v>315</v>
      </c>
      <c r="F428" s="218">
        <v>22.7</v>
      </c>
      <c r="G428" s="218" t="s">
        <v>316</v>
      </c>
      <c r="H428" s="218">
        <v>371</v>
      </c>
      <c r="I428" s="218">
        <f t="shared" si="21"/>
        <v>351</v>
      </c>
      <c r="J428" s="218">
        <f t="shared" si="22"/>
        <v>2.8490028490028491E-3</v>
      </c>
      <c r="K428" s="218">
        <f t="shared" si="23"/>
        <v>4.6412080894839509E-2</v>
      </c>
      <c r="L428" s="218">
        <f t="shared" si="24"/>
        <v>330.7</v>
      </c>
      <c r="M428" s="218" t="s">
        <v>323</v>
      </c>
      <c r="P428" s="218">
        <v>423</v>
      </c>
      <c r="Q428" s="218">
        <v>362.7</v>
      </c>
      <c r="R428" s="218">
        <v>397</v>
      </c>
      <c r="S428" s="218">
        <v>257</v>
      </c>
      <c r="T428" s="218">
        <v>338.90000000000003</v>
      </c>
      <c r="U428" s="273">
        <v>2.9507229271171433E-3</v>
      </c>
      <c r="V428" s="218">
        <v>2.9594813804478563E-3</v>
      </c>
      <c r="W428" s="250">
        <v>5.0553576751640514E-5</v>
      </c>
      <c r="X428" s="250">
        <v>0.74812362030905089</v>
      </c>
      <c r="Z428" s="218">
        <v>420</v>
      </c>
      <c r="AA428" s="435">
        <v>0.74223693892568066</v>
      </c>
    </row>
    <row r="429" spans="1:27">
      <c r="A429" s="429">
        <v>0.68215277777777772</v>
      </c>
      <c r="B429" s="218">
        <v>353</v>
      </c>
      <c r="C429" s="218" t="s">
        <v>314</v>
      </c>
      <c r="D429" s="218">
        <v>177</v>
      </c>
      <c r="E429" s="218" t="s">
        <v>315</v>
      </c>
      <c r="F429" s="218">
        <v>22.7</v>
      </c>
      <c r="G429" s="218" t="s">
        <v>316</v>
      </c>
      <c r="H429" s="218">
        <v>372</v>
      </c>
      <c r="I429" s="218">
        <f t="shared" si="21"/>
        <v>352</v>
      </c>
      <c r="J429" s="218">
        <f t="shared" si="22"/>
        <v>2.840909090909091E-3</v>
      </c>
      <c r="K429" s="218">
        <f t="shared" si="23"/>
        <v>4.6420174652933271E-2</v>
      </c>
      <c r="L429" s="218">
        <f t="shared" si="24"/>
        <v>331.7</v>
      </c>
      <c r="M429" s="218" t="s">
        <v>323</v>
      </c>
      <c r="P429" s="218">
        <v>424</v>
      </c>
      <c r="Q429" s="218">
        <v>363.7</v>
      </c>
      <c r="R429" s="218">
        <v>396</v>
      </c>
      <c r="S429" s="218">
        <v>257</v>
      </c>
      <c r="T429" s="218">
        <v>338.90000000000003</v>
      </c>
      <c r="U429" s="273">
        <v>2.9507229271171433E-3</v>
      </c>
      <c r="V429" s="218">
        <v>2.9507229271171433E-3</v>
      </c>
      <c r="W429" s="250">
        <v>5.0403965692890466E-5</v>
      </c>
      <c r="X429" s="250">
        <v>0.74812362030905089</v>
      </c>
      <c r="Z429" s="218">
        <v>421</v>
      </c>
      <c r="AA429" s="435">
        <v>0.74370860927152327</v>
      </c>
    </row>
    <row r="430" spans="1:27">
      <c r="A430" s="429">
        <v>0.68216435185185187</v>
      </c>
      <c r="B430" s="218">
        <v>352</v>
      </c>
      <c r="C430" s="218" t="s">
        <v>314</v>
      </c>
      <c r="D430" s="218">
        <v>176</v>
      </c>
      <c r="E430" s="218" t="s">
        <v>315</v>
      </c>
      <c r="F430" s="218">
        <v>22.7</v>
      </c>
      <c r="G430" s="218" t="s">
        <v>316</v>
      </c>
      <c r="H430" s="218">
        <v>373</v>
      </c>
      <c r="I430" s="218">
        <f t="shared" si="21"/>
        <v>353</v>
      </c>
      <c r="J430" s="218">
        <f t="shared" si="22"/>
        <v>2.8328611898016999E-3</v>
      </c>
      <c r="K430" s="218">
        <f t="shared" si="23"/>
        <v>4.6428222554040659E-2</v>
      </c>
      <c r="L430" s="218">
        <f t="shared" si="24"/>
        <v>332.7</v>
      </c>
      <c r="M430" s="218" t="s">
        <v>323</v>
      </c>
      <c r="P430" s="218">
        <v>425</v>
      </c>
      <c r="Q430" s="218">
        <v>363.7</v>
      </c>
      <c r="R430" s="218">
        <v>398</v>
      </c>
      <c r="S430" s="218">
        <v>258</v>
      </c>
      <c r="T430" s="218">
        <v>339.90000000000003</v>
      </c>
      <c r="U430" s="273">
        <v>2.942041776993233E-3</v>
      </c>
      <c r="V430" s="218">
        <v>2.9463823520551879E-3</v>
      </c>
      <c r="W430" s="250">
        <v>5.0329820406493153E-5</v>
      </c>
      <c r="X430" s="250">
        <v>0.75033112582781469</v>
      </c>
      <c r="Z430" s="218">
        <v>422</v>
      </c>
      <c r="AA430" s="435">
        <v>0.74370860927152327</v>
      </c>
    </row>
    <row r="431" spans="1:27">
      <c r="A431" s="429">
        <v>0.68217592592592602</v>
      </c>
      <c r="B431" s="218">
        <v>355</v>
      </c>
      <c r="C431" s="218" t="s">
        <v>314</v>
      </c>
      <c r="D431" s="218">
        <v>178</v>
      </c>
      <c r="E431" s="218" t="s">
        <v>315</v>
      </c>
      <c r="F431" s="218">
        <v>22.7</v>
      </c>
      <c r="G431" s="218" t="s">
        <v>316</v>
      </c>
      <c r="H431" s="218">
        <v>374</v>
      </c>
      <c r="I431" s="218">
        <f t="shared" si="21"/>
        <v>352</v>
      </c>
      <c r="J431" s="218">
        <f t="shared" si="22"/>
        <v>2.840909090909091E-3</v>
      </c>
      <c r="K431" s="218">
        <f t="shared" si="23"/>
        <v>4.6420174652933271E-2</v>
      </c>
      <c r="L431" s="218">
        <f t="shared" si="24"/>
        <v>331.7</v>
      </c>
      <c r="M431" s="218" t="s">
        <v>323</v>
      </c>
      <c r="P431" s="218">
        <v>426</v>
      </c>
      <c r="Q431" s="218">
        <v>365.7</v>
      </c>
      <c r="R431" s="218">
        <v>396</v>
      </c>
      <c r="S431" s="218">
        <v>258</v>
      </c>
      <c r="T431" s="218">
        <v>339.90000000000003</v>
      </c>
      <c r="U431" s="273">
        <v>2.942041776993233E-3</v>
      </c>
      <c r="V431" s="218">
        <v>2.942041776993233E-3</v>
      </c>
      <c r="W431" s="250">
        <v>5.0255675120095854E-5</v>
      </c>
      <c r="X431" s="250">
        <v>0.75033112582781469</v>
      </c>
      <c r="Z431" s="218">
        <v>423</v>
      </c>
      <c r="AA431" s="435">
        <v>0.74812362030905089</v>
      </c>
    </row>
    <row r="432" spans="1:27">
      <c r="A432" s="429">
        <v>0.68218749999999995</v>
      </c>
      <c r="B432" s="218">
        <v>354</v>
      </c>
      <c r="C432" s="218" t="s">
        <v>314</v>
      </c>
      <c r="D432" s="218">
        <v>177</v>
      </c>
      <c r="E432" s="218" t="s">
        <v>315</v>
      </c>
      <c r="F432" s="218">
        <v>22.7</v>
      </c>
      <c r="G432" s="218" t="s">
        <v>316</v>
      </c>
      <c r="H432" s="218">
        <v>375</v>
      </c>
      <c r="I432" s="218">
        <f t="shared" si="21"/>
        <v>355</v>
      </c>
      <c r="J432" s="218">
        <f t="shared" si="22"/>
        <v>2.8169014084507044E-3</v>
      </c>
      <c r="K432" s="218">
        <f t="shared" si="23"/>
        <v>4.6444182335391652E-2</v>
      </c>
      <c r="L432" s="218">
        <f t="shared" si="24"/>
        <v>334.7</v>
      </c>
      <c r="M432" s="218" t="s">
        <v>323</v>
      </c>
      <c r="P432" s="218">
        <v>427</v>
      </c>
      <c r="Q432" s="218">
        <v>363.7</v>
      </c>
      <c r="R432" s="218">
        <v>398</v>
      </c>
      <c r="S432" s="218">
        <v>261</v>
      </c>
      <c r="T432" s="218">
        <v>340.90000000000003</v>
      </c>
      <c r="U432" s="273">
        <v>2.9334115576415366E-3</v>
      </c>
      <c r="V432" s="218">
        <v>2.9377266673173848E-3</v>
      </c>
      <c r="W432" s="250">
        <v>5.0181964830978667E-5</v>
      </c>
      <c r="X432" s="250">
        <v>0.75253863134657839</v>
      </c>
      <c r="Z432" s="218">
        <v>424</v>
      </c>
      <c r="AA432" s="435">
        <v>0.74812362030905089</v>
      </c>
    </row>
    <row r="433" spans="1:27">
      <c r="A433" s="429">
        <v>0.6821990740740741</v>
      </c>
      <c r="B433" s="218">
        <v>355</v>
      </c>
      <c r="C433" s="218" t="s">
        <v>314</v>
      </c>
      <c r="D433" s="218">
        <v>178</v>
      </c>
      <c r="E433" s="218" t="s">
        <v>315</v>
      </c>
      <c r="F433" s="218">
        <v>22.7</v>
      </c>
      <c r="G433" s="218" t="s">
        <v>316</v>
      </c>
      <c r="H433" s="218">
        <v>376</v>
      </c>
      <c r="I433" s="218">
        <f t="shared" si="21"/>
        <v>354</v>
      </c>
      <c r="J433" s="218">
        <f t="shared" si="22"/>
        <v>2.8248587570621469E-3</v>
      </c>
      <c r="K433" s="218">
        <f t="shared" si="23"/>
        <v>4.6436224986780211E-2</v>
      </c>
      <c r="L433" s="218">
        <f t="shared" si="24"/>
        <v>333.7</v>
      </c>
      <c r="M433" s="218" t="s">
        <v>323</v>
      </c>
      <c r="P433" s="218">
        <v>428</v>
      </c>
      <c r="Q433" s="218">
        <v>366.7</v>
      </c>
      <c r="R433" s="218">
        <v>397</v>
      </c>
      <c r="S433" s="218">
        <v>261</v>
      </c>
      <c r="T433" s="218">
        <v>341.56666666666666</v>
      </c>
      <c r="U433" s="273">
        <v>2.9276861520445008E-3</v>
      </c>
      <c r="V433" s="218">
        <v>2.9305488548430187E-3</v>
      </c>
      <c r="W433" s="250">
        <v>5.0059354127553043E-5</v>
      </c>
      <c r="X433" s="250">
        <v>0.75401030169242089</v>
      </c>
      <c r="Z433" s="218">
        <v>425</v>
      </c>
      <c r="AA433" s="435">
        <v>0.75033112582781469</v>
      </c>
    </row>
    <row r="434" spans="1:27">
      <c r="A434" s="429">
        <v>0.68221064814814814</v>
      </c>
      <c r="B434" s="218">
        <v>356</v>
      </c>
      <c r="C434" s="218" t="s">
        <v>314</v>
      </c>
      <c r="D434" s="218">
        <v>178</v>
      </c>
      <c r="E434" s="218" t="s">
        <v>315</v>
      </c>
      <c r="F434" s="218">
        <v>22.7</v>
      </c>
      <c r="G434" s="218" t="s">
        <v>316</v>
      </c>
      <c r="H434" s="218">
        <v>377</v>
      </c>
      <c r="I434" s="218">
        <f t="shared" si="21"/>
        <v>355</v>
      </c>
      <c r="J434" s="218">
        <f t="shared" si="22"/>
        <v>2.8169014084507044E-3</v>
      </c>
      <c r="K434" s="218">
        <f t="shared" si="23"/>
        <v>4.6444182335391652E-2</v>
      </c>
      <c r="L434" s="218">
        <f t="shared" si="24"/>
        <v>334.7</v>
      </c>
      <c r="M434" s="218" t="s">
        <v>323</v>
      </c>
      <c r="P434" s="218">
        <v>429</v>
      </c>
      <c r="Q434" s="218">
        <v>366.7</v>
      </c>
      <c r="R434" s="218">
        <v>398</v>
      </c>
      <c r="S434" s="218">
        <v>261</v>
      </c>
      <c r="T434" s="218">
        <v>341.90000000000003</v>
      </c>
      <c r="U434" s="273">
        <v>2.9248318221702248E-3</v>
      </c>
      <c r="V434" s="218">
        <v>2.926258987107363E-3</v>
      </c>
      <c r="W434" s="250">
        <v>4.9986075018834324E-5</v>
      </c>
      <c r="X434" s="250">
        <v>0.7547461368653422</v>
      </c>
      <c r="Z434" s="218">
        <v>426</v>
      </c>
      <c r="AA434" s="435">
        <v>0.75033112582781469</v>
      </c>
    </row>
    <row r="435" spans="1:27">
      <c r="A435" s="429">
        <v>0.68222222222222229</v>
      </c>
      <c r="B435" s="218">
        <v>357</v>
      </c>
      <c r="C435" s="218" t="s">
        <v>314</v>
      </c>
      <c r="D435" s="218">
        <v>179</v>
      </c>
      <c r="E435" s="218" t="s">
        <v>315</v>
      </c>
      <c r="F435" s="218">
        <v>22.7</v>
      </c>
      <c r="G435" s="218" t="s">
        <v>316</v>
      </c>
      <c r="H435" s="218">
        <v>378</v>
      </c>
      <c r="I435" s="218">
        <f t="shared" si="21"/>
        <v>356</v>
      </c>
      <c r="J435" s="218">
        <f t="shared" si="22"/>
        <v>2.8089887640449437E-3</v>
      </c>
      <c r="K435" s="218">
        <f t="shared" si="23"/>
        <v>4.6452094979797416E-2</v>
      </c>
      <c r="L435" s="218">
        <f t="shared" si="24"/>
        <v>335.7</v>
      </c>
      <c r="M435" s="218" t="s">
        <v>323</v>
      </c>
      <c r="P435" s="218">
        <v>430</v>
      </c>
      <c r="Q435" s="218">
        <v>366.7</v>
      </c>
      <c r="R435" s="218">
        <v>398</v>
      </c>
      <c r="S435" s="218">
        <v>261</v>
      </c>
      <c r="T435" s="218">
        <v>341.90000000000003</v>
      </c>
      <c r="U435" s="273">
        <v>2.9248318221702248E-3</v>
      </c>
      <c r="V435" s="218">
        <v>2.9248318221702248E-3</v>
      </c>
      <c r="W435" s="250">
        <v>4.9961696324424043E-5</v>
      </c>
      <c r="X435" s="250">
        <v>0.7547461368653422</v>
      </c>
      <c r="Z435" s="218">
        <v>427</v>
      </c>
      <c r="AA435" s="435">
        <v>0.75253863134657839</v>
      </c>
    </row>
    <row r="436" spans="1:27">
      <c r="A436" s="429">
        <v>0.68223379629629621</v>
      </c>
      <c r="B436" s="218">
        <v>358</v>
      </c>
      <c r="C436" s="218" t="s">
        <v>314</v>
      </c>
      <c r="D436" s="218">
        <v>179</v>
      </c>
      <c r="E436" s="218" t="s">
        <v>315</v>
      </c>
      <c r="F436" s="218">
        <v>22.7</v>
      </c>
      <c r="G436" s="218" t="s">
        <v>316</v>
      </c>
      <c r="H436" s="218">
        <v>379</v>
      </c>
      <c r="I436" s="218">
        <f t="shared" si="21"/>
        <v>357</v>
      </c>
      <c r="J436" s="218">
        <f t="shared" si="22"/>
        <v>2.8011204481792717E-3</v>
      </c>
      <c r="K436" s="218">
        <f t="shared" si="23"/>
        <v>4.6459963295663091E-2</v>
      </c>
      <c r="L436" s="218">
        <f t="shared" si="24"/>
        <v>336.7</v>
      </c>
      <c r="M436" s="218" t="s">
        <v>323</v>
      </c>
      <c r="P436" s="218">
        <v>431</v>
      </c>
      <c r="Q436" s="218">
        <v>367.7</v>
      </c>
      <c r="R436" s="218">
        <v>399</v>
      </c>
      <c r="S436" s="218">
        <v>261</v>
      </c>
      <c r="T436" s="218">
        <v>342.56666666666666</v>
      </c>
      <c r="U436" s="273">
        <v>2.9191398267977035E-3</v>
      </c>
      <c r="V436" s="218">
        <v>2.9219858244839639E-3</v>
      </c>
      <c r="W436" s="250">
        <v>4.9913081265239039E-5</v>
      </c>
      <c r="X436" s="250">
        <v>0.7562178072111847</v>
      </c>
      <c r="Z436" s="218">
        <v>428</v>
      </c>
      <c r="AA436" s="435">
        <v>0.75401030169242089</v>
      </c>
    </row>
    <row r="437" spans="1:27">
      <c r="A437" s="429">
        <v>0.68224537037037036</v>
      </c>
      <c r="B437" s="218">
        <v>360</v>
      </c>
      <c r="C437" s="218" t="s">
        <v>314</v>
      </c>
      <c r="D437" s="218">
        <v>180</v>
      </c>
      <c r="E437" s="218" t="s">
        <v>315</v>
      </c>
      <c r="F437" s="218">
        <v>22.7</v>
      </c>
      <c r="G437" s="218" t="s">
        <v>316</v>
      </c>
      <c r="H437" s="218">
        <v>380</v>
      </c>
      <c r="I437" s="218">
        <f t="shared" si="21"/>
        <v>358</v>
      </c>
      <c r="J437" s="218">
        <f t="shared" si="22"/>
        <v>2.7932960893854749E-3</v>
      </c>
      <c r="K437" s="218">
        <f t="shared" si="23"/>
        <v>4.6467787654456888E-2</v>
      </c>
      <c r="L437" s="218">
        <f t="shared" si="24"/>
        <v>337.7</v>
      </c>
      <c r="M437" s="218" t="s">
        <v>323</v>
      </c>
      <c r="P437" s="218">
        <v>432</v>
      </c>
      <c r="Q437" s="218">
        <v>368.7</v>
      </c>
      <c r="R437" s="218">
        <v>400</v>
      </c>
      <c r="S437" s="218">
        <v>261</v>
      </c>
      <c r="T437" s="218">
        <v>343.23333333333335</v>
      </c>
      <c r="U437" s="273">
        <v>2.9134699427017575E-3</v>
      </c>
      <c r="V437" s="218">
        <v>2.9163048847497307E-3</v>
      </c>
      <c r="W437" s="250">
        <v>4.9816039998220643E-5</v>
      </c>
      <c r="X437" s="250">
        <v>0.75768947755702731</v>
      </c>
      <c r="Z437" s="218">
        <v>429</v>
      </c>
      <c r="AA437" s="435">
        <v>0.7547461368653422</v>
      </c>
    </row>
    <row r="438" spans="1:27">
      <c r="A438" s="429">
        <v>0.68225694444444451</v>
      </c>
      <c r="B438" s="218">
        <v>361</v>
      </c>
      <c r="C438" s="218" t="s">
        <v>314</v>
      </c>
      <c r="D438" s="218">
        <v>181</v>
      </c>
      <c r="E438" s="218" t="s">
        <v>315</v>
      </c>
      <c r="F438" s="218">
        <v>22.7</v>
      </c>
      <c r="G438" s="218" t="s">
        <v>316</v>
      </c>
      <c r="H438" s="218">
        <v>381</v>
      </c>
      <c r="I438" s="218">
        <f t="shared" si="21"/>
        <v>360</v>
      </c>
      <c r="J438" s="218">
        <f t="shared" si="22"/>
        <v>2.7777777777777779E-3</v>
      </c>
      <c r="K438" s="218">
        <f t="shared" si="23"/>
        <v>4.6483305966064585E-2</v>
      </c>
      <c r="L438" s="218">
        <f t="shared" si="24"/>
        <v>339.7</v>
      </c>
      <c r="M438" s="218" t="s">
        <v>323</v>
      </c>
      <c r="P438" s="218">
        <v>433</v>
      </c>
      <c r="Q438" s="218">
        <v>367.7</v>
      </c>
      <c r="R438" s="218">
        <v>400</v>
      </c>
      <c r="S438" s="218">
        <v>263</v>
      </c>
      <c r="T438" s="218">
        <v>343.56666666666666</v>
      </c>
      <c r="U438" s="273">
        <v>2.9106432521587271E-3</v>
      </c>
      <c r="V438" s="218">
        <v>2.9120565974302421E-3</v>
      </c>
      <c r="W438" s="250">
        <v>4.9743471162178068E-5</v>
      </c>
      <c r="X438" s="250">
        <v>0.75842531272994851</v>
      </c>
      <c r="Z438" s="218">
        <v>430</v>
      </c>
      <c r="AA438" s="435">
        <v>0.7547461368653422</v>
      </c>
    </row>
    <row r="439" spans="1:27">
      <c r="A439" s="429">
        <v>0.68226851851851855</v>
      </c>
      <c r="B439" s="218">
        <v>362</v>
      </c>
      <c r="C439" s="218" t="s">
        <v>314</v>
      </c>
      <c r="D439" s="218">
        <v>181</v>
      </c>
      <c r="E439" s="218" t="s">
        <v>315</v>
      </c>
      <c r="F439" s="218">
        <v>22.7</v>
      </c>
      <c r="G439" s="218" t="s">
        <v>316</v>
      </c>
      <c r="H439" s="218">
        <v>382</v>
      </c>
      <c r="I439" s="218">
        <f t="shared" si="21"/>
        <v>361</v>
      </c>
      <c r="J439" s="218">
        <f t="shared" si="22"/>
        <v>2.7700831024930748E-3</v>
      </c>
      <c r="K439" s="218">
        <f t="shared" si="23"/>
        <v>4.6491000641349284E-2</v>
      </c>
      <c r="L439" s="218">
        <f t="shared" si="24"/>
        <v>340.7</v>
      </c>
      <c r="M439" s="218" t="s">
        <v>323</v>
      </c>
      <c r="P439" s="218">
        <v>434</v>
      </c>
      <c r="Q439" s="218">
        <v>368.7</v>
      </c>
      <c r="R439" s="218">
        <v>401</v>
      </c>
      <c r="S439" s="218">
        <v>263</v>
      </c>
      <c r="T439" s="218">
        <v>344.23333333333335</v>
      </c>
      <c r="U439" s="273">
        <v>2.9050062941803037E-3</v>
      </c>
      <c r="V439" s="218">
        <v>2.9078247731695152E-3</v>
      </c>
      <c r="W439" s="250">
        <v>4.967118354652436E-5</v>
      </c>
      <c r="X439" s="250">
        <v>0.75989698307579101</v>
      </c>
      <c r="Z439" s="218">
        <v>431</v>
      </c>
      <c r="AA439" s="435">
        <v>0.7562178072111847</v>
      </c>
    </row>
    <row r="440" spans="1:27">
      <c r="A440" s="429">
        <v>0.68228009259259259</v>
      </c>
      <c r="B440" s="218">
        <v>363</v>
      </c>
      <c r="C440" s="218" t="s">
        <v>314</v>
      </c>
      <c r="D440" s="218">
        <v>182</v>
      </c>
      <c r="E440" s="218" t="s">
        <v>315</v>
      </c>
      <c r="F440" s="218">
        <v>22.7</v>
      </c>
      <c r="G440" s="218" t="s">
        <v>316</v>
      </c>
      <c r="H440" s="218">
        <v>383</v>
      </c>
      <c r="I440" s="218">
        <f t="shared" si="21"/>
        <v>362</v>
      </c>
      <c r="J440" s="218">
        <f t="shared" si="22"/>
        <v>2.7624309392265192E-3</v>
      </c>
      <c r="K440" s="218">
        <f t="shared" si="23"/>
        <v>4.6498652804615841E-2</v>
      </c>
      <c r="L440" s="218">
        <f t="shared" si="24"/>
        <v>341.7</v>
      </c>
      <c r="M440" s="218" t="s">
        <v>323</v>
      </c>
      <c r="P440" s="218">
        <v>435</v>
      </c>
      <c r="Q440" s="218">
        <v>369.7</v>
      </c>
      <c r="R440" s="218">
        <v>401</v>
      </c>
      <c r="S440" s="218">
        <v>263</v>
      </c>
      <c r="T440" s="218">
        <v>344.56666666666666</v>
      </c>
      <c r="U440" s="273">
        <v>2.9021959949695271E-3</v>
      </c>
      <c r="V440" s="218">
        <v>2.9036011445749154E-3</v>
      </c>
      <c r="W440" s="250">
        <v>4.9599035928452437E-5</v>
      </c>
      <c r="X440" s="250">
        <v>0.76063281824871232</v>
      </c>
      <c r="Z440" s="218">
        <v>432</v>
      </c>
      <c r="AA440" s="435">
        <v>0.75768947755702731</v>
      </c>
    </row>
    <row r="441" spans="1:27">
      <c r="A441" s="429">
        <v>0.68229166666666663</v>
      </c>
      <c r="B441" s="218">
        <v>362</v>
      </c>
      <c r="C441" s="218" t="s">
        <v>314</v>
      </c>
      <c r="D441" s="218">
        <v>181</v>
      </c>
      <c r="E441" s="218" t="s">
        <v>315</v>
      </c>
      <c r="F441" s="218">
        <v>22.7</v>
      </c>
      <c r="G441" s="218" t="s">
        <v>316</v>
      </c>
      <c r="H441" s="218">
        <v>384</v>
      </c>
      <c r="I441" s="218">
        <f t="shared" si="21"/>
        <v>363</v>
      </c>
      <c r="J441" s="218">
        <f t="shared" si="22"/>
        <v>2.7548209366391185E-3</v>
      </c>
      <c r="K441" s="218">
        <f t="shared" si="23"/>
        <v>4.6506262807203241E-2</v>
      </c>
      <c r="L441" s="218">
        <f t="shared" si="24"/>
        <v>342.7</v>
      </c>
      <c r="M441" s="218" t="s">
        <v>323</v>
      </c>
      <c r="P441" s="218">
        <v>436</v>
      </c>
      <c r="Q441" s="218">
        <v>369.7</v>
      </c>
      <c r="R441" s="218">
        <v>402</v>
      </c>
      <c r="S441" s="218">
        <v>263</v>
      </c>
      <c r="T441" s="218">
        <v>344.90000000000003</v>
      </c>
      <c r="U441" s="273">
        <v>2.8993911278631483E-3</v>
      </c>
      <c r="V441" s="218">
        <v>2.9007935614163375E-3</v>
      </c>
      <c r="W441" s="250">
        <v>4.9551077062540492E-5</v>
      </c>
      <c r="X441" s="250">
        <v>0.76136865342163362</v>
      </c>
      <c r="Z441" s="218">
        <v>433</v>
      </c>
      <c r="AA441" s="435">
        <v>0.75842531272994851</v>
      </c>
    </row>
    <row r="442" spans="1:27">
      <c r="A442" s="429">
        <v>0.68230324074074078</v>
      </c>
      <c r="B442" s="218">
        <v>365</v>
      </c>
      <c r="C442" s="218" t="s">
        <v>314</v>
      </c>
      <c r="D442" s="218">
        <v>183</v>
      </c>
      <c r="E442" s="218" t="s">
        <v>315</v>
      </c>
      <c r="F442" s="218">
        <v>22.7</v>
      </c>
      <c r="G442" s="218" t="s">
        <v>316</v>
      </c>
      <c r="H442" s="218">
        <v>385</v>
      </c>
      <c r="I442" s="218">
        <f t="shared" ref="I442:I505" si="25">B441</f>
        <v>362</v>
      </c>
      <c r="J442" s="218">
        <f t="shared" ref="J442:J505" si="26">1/I442</f>
        <v>2.7624309392265192E-3</v>
      </c>
      <c r="K442" s="218">
        <f t="shared" ref="K442:K505" si="27">$J$57-J442</f>
        <v>4.6498652804615841E-2</v>
      </c>
      <c r="L442" s="218">
        <f t="shared" ref="L442:L505" si="28">(B441-$J$55)</f>
        <v>341.7</v>
      </c>
      <c r="M442" s="218" t="s">
        <v>323</v>
      </c>
      <c r="P442" s="218">
        <v>437</v>
      </c>
      <c r="Q442" s="218">
        <v>371.7</v>
      </c>
      <c r="R442" s="218">
        <v>402</v>
      </c>
      <c r="S442" s="218">
        <v>267</v>
      </c>
      <c r="T442" s="218">
        <v>346.90000000000003</v>
      </c>
      <c r="U442" s="273">
        <v>2.8826751225136922E-3</v>
      </c>
      <c r="V442" s="218">
        <v>2.8910331251884203E-3</v>
      </c>
      <c r="W442" s="250">
        <v>4.9384350228157497E-5</v>
      </c>
      <c r="X442" s="250">
        <v>0.76578366445916124</v>
      </c>
      <c r="Z442" s="218">
        <v>434</v>
      </c>
      <c r="AA442" s="435">
        <v>0.75989698307579101</v>
      </c>
    </row>
    <row r="443" spans="1:27">
      <c r="A443" s="429">
        <v>0.68231481481481471</v>
      </c>
      <c r="B443" s="218">
        <v>366</v>
      </c>
      <c r="C443" s="218" t="s">
        <v>314</v>
      </c>
      <c r="D443" s="218">
        <v>183</v>
      </c>
      <c r="E443" s="218" t="s">
        <v>315</v>
      </c>
      <c r="F443" s="218">
        <v>22.7</v>
      </c>
      <c r="G443" s="218" t="s">
        <v>316</v>
      </c>
      <c r="H443" s="218">
        <v>386</v>
      </c>
      <c r="I443" s="218">
        <f t="shared" si="25"/>
        <v>365</v>
      </c>
      <c r="J443" s="218">
        <f t="shared" si="26"/>
        <v>2.7397260273972603E-3</v>
      </c>
      <c r="K443" s="218">
        <f t="shared" si="27"/>
        <v>4.6521357716445097E-2</v>
      </c>
      <c r="L443" s="218">
        <f t="shared" si="28"/>
        <v>344.7</v>
      </c>
      <c r="M443" s="218" t="s">
        <v>323</v>
      </c>
      <c r="P443" s="218">
        <v>438</v>
      </c>
      <c r="Q443" s="218">
        <v>369.7</v>
      </c>
      <c r="R443" s="218">
        <v>403</v>
      </c>
      <c r="S443" s="218">
        <v>267</v>
      </c>
      <c r="T443" s="218">
        <v>346.56666666666666</v>
      </c>
      <c r="U443" s="273">
        <v>2.8854477253053767E-3</v>
      </c>
      <c r="V443" s="218">
        <v>2.8840614239095345E-3</v>
      </c>
      <c r="W443" s="250">
        <v>4.9265260296380889E-5</v>
      </c>
      <c r="X443" s="250">
        <v>0.76504782928623982</v>
      </c>
      <c r="Z443" s="218">
        <v>435</v>
      </c>
      <c r="AA443" s="435">
        <v>0.76063281824871232</v>
      </c>
    </row>
    <row r="444" spans="1:27">
      <c r="A444" s="429">
        <v>0.68232638888888886</v>
      </c>
      <c r="B444" s="218">
        <v>366</v>
      </c>
      <c r="C444" s="218" t="s">
        <v>314</v>
      </c>
      <c r="D444" s="218">
        <v>183</v>
      </c>
      <c r="E444" s="218" t="s">
        <v>315</v>
      </c>
      <c r="F444" s="218">
        <v>22.7</v>
      </c>
      <c r="G444" s="218" t="s">
        <v>316</v>
      </c>
      <c r="H444" s="218">
        <v>387</v>
      </c>
      <c r="I444" s="218">
        <f t="shared" si="25"/>
        <v>366</v>
      </c>
      <c r="J444" s="218">
        <f t="shared" si="26"/>
        <v>2.7322404371584699E-3</v>
      </c>
      <c r="K444" s="218">
        <f t="shared" si="27"/>
        <v>4.6528843306683887E-2</v>
      </c>
      <c r="L444" s="218">
        <f t="shared" si="28"/>
        <v>345.7</v>
      </c>
      <c r="M444" s="218" t="s">
        <v>323</v>
      </c>
      <c r="P444" s="218">
        <v>439</v>
      </c>
      <c r="Q444" s="218">
        <v>371.7</v>
      </c>
      <c r="R444" s="218">
        <v>402</v>
      </c>
      <c r="S444" s="218">
        <v>268</v>
      </c>
      <c r="T444" s="218">
        <v>347.23333333333335</v>
      </c>
      <c r="U444" s="273">
        <v>2.8799078429490254E-3</v>
      </c>
      <c r="V444" s="218">
        <v>2.8826777841272008E-3</v>
      </c>
      <c r="W444" s="250">
        <v>4.9241625094485402E-5</v>
      </c>
      <c r="X444" s="250">
        <v>0.76651949963208243</v>
      </c>
      <c r="Z444" s="218">
        <v>436</v>
      </c>
      <c r="AA444" s="435">
        <v>0.76136865342163362</v>
      </c>
    </row>
    <row r="445" spans="1:27">
      <c r="A445" s="429">
        <v>0.68233796296296301</v>
      </c>
      <c r="B445" s="218">
        <v>367</v>
      </c>
      <c r="C445" s="218" t="s">
        <v>314</v>
      </c>
      <c r="D445" s="218">
        <v>184</v>
      </c>
      <c r="E445" s="218" t="s">
        <v>315</v>
      </c>
      <c r="F445" s="218">
        <v>22.7</v>
      </c>
      <c r="G445" s="218" t="s">
        <v>316</v>
      </c>
      <c r="H445" s="218">
        <v>388</v>
      </c>
      <c r="I445" s="218">
        <f t="shared" si="25"/>
        <v>366</v>
      </c>
      <c r="J445" s="218">
        <f t="shared" si="26"/>
        <v>2.7322404371584699E-3</v>
      </c>
      <c r="K445" s="218">
        <f t="shared" si="27"/>
        <v>4.6528843306683887E-2</v>
      </c>
      <c r="L445" s="218">
        <f t="shared" si="28"/>
        <v>345.7</v>
      </c>
      <c r="M445" s="218" t="s">
        <v>323</v>
      </c>
      <c r="P445" s="218">
        <v>440</v>
      </c>
      <c r="Q445" s="218">
        <v>371.7</v>
      </c>
      <c r="R445" s="218">
        <v>403</v>
      </c>
      <c r="S445" s="218">
        <v>268</v>
      </c>
      <c r="T445" s="218">
        <v>347.56666666666666</v>
      </c>
      <c r="U445" s="273">
        <v>2.8771458712956747E-3</v>
      </c>
      <c r="V445" s="218">
        <v>2.8785268571223498E-3</v>
      </c>
      <c r="W445" s="250">
        <v>4.9170719357988276E-5</v>
      </c>
      <c r="X445" s="250">
        <v>0.76725533480500363</v>
      </c>
      <c r="Z445" s="218">
        <v>437</v>
      </c>
      <c r="AA445" s="435">
        <v>0.76578366445916124</v>
      </c>
    </row>
    <row r="446" spans="1:27">
      <c r="A446" s="429">
        <v>0.68234953703703705</v>
      </c>
      <c r="B446" s="218">
        <v>368</v>
      </c>
      <c r="C446" s="218" t="s">
        <v>314</v>
      </c>
      <c r="D446" s="218">
        <v>184</v>
      </c>
      <c r="E446" s="218" t="s">
        <v>315</v>
      </c>
      <c r="F446" s="218">
        <v>22.7</v>
      </c>
      <c r="G446" s="218" t="s">
        <v>316</v>
      </c>
      <c r="H446" s="218">
        <v>389</v>
      </c>
      <c r="I446" s="218">
        <f t="shared" si="25"/>
        <v>367</v>
      </c>
      <c r="J446" s="218">
        <f t="shared" si="26"/>
        <v>2.7247956403269754E-3</v>
      </c>
      <c r="K446" s="218">
        <f t="shared" si="27"/>
        <v>4.6536288103515386E-2</v>
      </c>
      <c r="L446" s="218">
        <f t="shared" si="28"/>
        <v>346.7</v>
      </c>
      <c r="M446" s="218" t="s">
        <v>323</v>
      </c>
      <c r="P446" s="218">
        <v>441</v>
      </c>
      <c r="Q446" s="218">
        <v>371.7</v>
      </c>
      <c r="R446" s="218">
        <v>401</v>
      </c>
      <c r="S446" s="218">
        <v>270</v>
      </c>
      <c r="T446" s="218">
        <v>347.56666666666666</v>
      </c>
      <c r="U446" s="273">
        <v>2.8771458712956747E-3</v>
      </c>
      <c r="V446" s="218">
        <v>2.8771458712956747E-3</v>
      </c>
      <c r="W446" s="250">
        <v>4.9147129490708496E-5</v>
      </c>
      <c r="X446" s="250">
        <v>0.76725533480500363</v>
      </c>
      <c r="Z446" s="218">
        <v>438</v>
      </c>
      <c r="AA446" s="435">
        <v>0.76504782928623982</v>
      </c>
    </row>
    <row r="447" spans="1:27">
      <c r="A447" s="429">
        <v>0.68236111111111108</v>
      </c>
      <c r="B447" s="218">
        <v>368</v>
      </c>
      <c r="C447" s="218" t="s">
        <v>314</v>
      </c>
      <c r="D447" s="218">
        <v>184</v>
      </c>
      <c r="E447" s="218" t="s">
        <v>315</v>
      </c>
      <c r="F447" s="218">
        <v>22.7</v>
      </c>
      <c r="G447" s="218" t="s">
        <v>316</v>
      </c>
      <c r="H447" s="218">
        <v>390</v>
      </c>
      <c r="I447" s="218">
        <f t="shared" si="25"/>
        <v>368</v>
      </c>
      <c r="J447" s="218">
        <f t="shared" si="26"/>
        <v>2.717391304347826E-3</v>
      </c>
      <c r="K447" s="218">
        <f t="shared" si="27"/>
        <v>4.6543692439494536E-2</v>
      </c>
      <c r="L447" s="218">
        <f t="shared" si="28"/>
        <v>347.7</v>
      </c>
      <c r="M447" s="218" t="s">
        <v>323</v>
      </c>
      <c r="P447" s="218">
        <v>442</v>
      </c>
      <c r="Q447" s="218">
        <v>372.7</v>
      </c>
      <c r="R447" s="218">
        <v>404</v>
      </c>
      <c r="S447" s="218">
        <v>270</v>
      </c>
      <c r="T447" s="218">
        <v>348.90000000000003</v>
      </c>
      <c r="U447" s="273">
        <v>2.8661507595299511E-3</v>
      </c>
      <c r="V447" s="218">
        <v>2.8716483154128131E-3</v>
      </c>
      <c r="W447" s="250">
        <v>4.9053220769029488E-5</v>
      </c>
      <c r="X447" s="250">
        <v>0.77019867549668886</v>
      </c>
      <c r="Z447" s="218">
        <v>439</v>
      </c>
      <c r="AA447" s="435">
        <v>0.76651949963208243</v>
      </c>
    </row>
    <row r="448" spans="1:27">
      <c r="A448" s="429">
        <v>0.68237268518518512</v>
      </c>
      <c r="B448" s="218">
        <v>368</v>
      </c>
      <c r="C448" s="218" t="s">
        <v>314</v>
      </c>
      <c r="D448" s="218">
        <v>184</v>
      </c>
      <c r="E448" s="218" t="s">
        <v>315</v>
      </c>
      <c r="F448" s="218">
        <v>22.7</v>
      </c>
      <c r="G448" s="218" t="s">
        <v>316</v>
      </c>
      <c r="H448" s="218">
        <v>391</v>
      </c>
      <c r="I448" s="218">
        <f t="shared" si="25"/>
        <v>368</v>
      </c>
      <c r="J448" s="218">
        <f t="shared" si="26"/>
        <v>2.717391304347826E-3</v>
      </c>
      <c r="K448" s="218">
        <f t="shared" si="27"/>
        <v>4.6543692439494536E-2</v>
      </c>
      <c r="L448" s="218">
        <f t="shared" si="28"/>
        <v>347.7</v>
      </c>
      <c r="M448" s="218" t="s">
        <v>323</v>
      </c>
      <c r="P448" s="218">
        <v>443</v>
      </c>
      <c r="Q448" s="218">
        <v>373.7</v>
      </c>
      <c r="R448" s="218">
        <v>403</v>
      </c>
      <c r="S448" s="218">
        <v>269</v>
      </c>
      <c r="T448" s="218">
        <v>348.56666666666666</v>
      </c>
      <c r="U448" s="273">
        <v>2.8688916515252939E-3</v>
      </c>
      <c r="V448" s="218">
        <v>2.8675212055276223E-3</v>
      </c>
      <c r="W448" s="250">
        <v>4.8982721874283317E-5</v>
      </c>
      <c r="X448" s="250">
        <v>0.76946284032376744</v>
      </c>
      <c r="Z448" s="218">
        <v>440</v>
      </c>
      <c r="AA448" s="435">
        <v>0.76725533480500363</v>
      </c>
    </row>
    <row r="449" spans="1:27">
      <c r="A449" s="429">
        <v>0.68238425925925927</v>
      </c>
      <c r="B449" s="218">
        <v>370</v>
      </c>
      <c r="C449" s="218" t="s">
        <v>314</v>
      </c>
      <c r="D449" s="218">
        <v>185</v>
      </c>
      <c r="E449" s="218" t="s">
        <v>315</v>
      </c>
      <c r="F449" s="218">
        <v>22.7</v>
      </c>
      <c r="G449" s="218" t="s">
        <v>316</v>
      </c>
      <c r="H449" s="218">
        <v>392</v>
      </c>
      <c r="I449" s="218">
        <f t="shared" si="25"/>
        <v>368</v>
      </c>
      <c r="J449" s="218">
        <f t="shared" si="26"/>
        <v>2.717391304347826E-3</v>
      </c>
      <c r="K449" s="218">
        <f t="shared" si="27"/>
        <v>4.6543692439494536E-2</v>
      </c>
      <c r="L449" s="218">
        <f t="shared" si="28"/>
        <v>347.7</v>
      </c>
      <c r="M449" s="218" t="s">
        <v>323</v>
      </c>
      <c r="P449" s="218">
        <v>444</v>
      </c>
      <c r="Q449" s="218">
        <v>372.7</v>
      </c>
      <c r="R449" s="218">
        <v>405</v>
      </c>
      <c r="S449" s="218">
        <v>269</v>
      </c>
      <c r="T449" s="218">
        <v>348.90000000000003</v>
      </c>
      <c r="U449" s="273">
        <v>2.8661507595299511E-3</v>
      </c>
      <c r="V449" s="218">
        <v>2.8675212055276223E-3</v>
      </c>
      <c r="W449" s="250">
        <v>4.8982721874283317E-5</v>
      </c>
      <c r="X449" s="250">
        <v>0.77019867549668886</v>
      </c>
      <c r="Z449" s="218">
        <v>441</v>
      </c>
      <c r="AA449" s="435">
        <v>0.76725533480500363</v>
      </c>
    </row>
    <row r="450" spans="1:27">
      <c r="A450" s="429">
        <v>0.68239583333333342</v>
      </c>
      <c r="B450" s="218">
        <v>369</v>
      </c>
      <c r="C450" s="218" t="s">
        <v>314</v>
      </c>
      <c r="D450" s="218">
        <v>185</v>
      </c>
      <c r="E450" s="218" t="s">
        <v>315</v>
      </c>
      <c r="F450" s="218">
        <v>22.7</v>
      </c>
      <c r="G450" s="218" t="s">
        <v>316</v>
      </c>
      <c r="H450" s="218">
        <v>393</v>
      </c>
      <c r="I450" s="218">
        <f t="shared" si="25"/>
        <v>370</v>
      </c>
      <c r="J450" s="218">
        <f t="shared" si="26"/>
        <v>2.7027027027027029E-3</v>
      </c>
      <c r="K450" s="218">
        <f t="shared" si="27"/>
        <v>4.6558381041139657E-2</v>
      </c>
      <c r="L450" s="218">
        <f t="shared" si="28"/>
        <v>349.7</v>
      </c>
      <c r="M450" s="218" t="s">
        <v>323</v>
      </c>
      <c r="P450" s="218">
        <v>445</v>
      </c>
      <c r="Q450" s="218">
        <v>373.7</v>
      </c>
      <c r="R450" s="218">
        <v>405</v>
      </c>
      <c r="S450" s="218">
        <v>270</v>
      </c>
      <c r="T450" s="218">
        <v>349.56666666666666</v>
      </c>
      <c r="U450" s="273">
        <v>2.8606846571946221E-3</v>
      </c>
      <c r="V450" s="218">
        <v>2.8634177083622864E-3</v>
      </c>
      <c r="W450" s="250">
        <v>4.8912626329750253E-5</v>
      </c>
      <c r="X450" s="250">
        <v>0.77167034584253125</v>
      </c>
      <c r="Z450" s="218">
        <v>442</v>
      </c>
      <c r="AA450" s="435">
        <v>0.77019867549668886</v>
      </c>
    </row>
    <row r="451" spans="1:27">
      <c r="A451" s="429">
        <v>0.68240740740740735</v>
      </c>
      <c r="B451" s="218">
        <v>372</v>
      </c>
      <c r="C451" s="218" t="s">
        <v>314</v>
      </c>
      <c r="D451" s="218">
        <v>186</v>
      </c>
      <c r="E451" s="218" t="s">
        <v>315</v>
      </c>
      <c r="F451" s="218">
        <v>22.7</v>
      </c>
      <c r="G451" s="218" t="s">
        <v>316</v>
      </c>
      <c r="H451" s="218">
        <v>394</v>
      </c>
      <c r="I451" s="218">
        <f t="shared" si="25"/>
        <v>369</v>
      </c>
      <c r="J451" s="218">
        <f t="shared" si="26"/>
        <v>2.7100271002710027E-3</v>
      </c>
      <c r="K451" s="218">
        <f t="shared" si="27"/>
        <v>4.6551056643571356E-2</v>
      </c>
      <c r="L451" s="218">
        <f t="shared" si="28"/>
        <v>348.7</v>
      </c>
      <c r="M451" s="218" t="s">
        <v>323</v>
      </c>
      <c r="P451" s="218">
        <v>446</v>
      </c>
      <c r="Q451" s="218">
        <v>374.7</v>
      </c>
      <c r="R451" s="218">
        <v>406</v>
      </c>
      <c r="S451" s="218">
        <v>269</v>
      </c>
      <c r="T451" s="218">
        <v>349.90000000000003</v>
      </c>
      <c r="U451" s="273">
        <v>2.8579594169762788E-3</v>
      </c>
      <c r="V451" s="218">
        <v>2.8593220370854502E-3</v>
      </c>
      <c r="W451" s="250">
        <v>4.8842664466293054E-5</v>
      </c>
      <c r="X451" s="250">
        <v>0.77240618101545266</v>
      </c>
      <c r="Z451" s="218">
        <v>443</v>
      </c>
      <c r="AA451" s="435">
        <v>0.76946284032376744</v>
      </c>
    </row>
    <row r="452" spans="1:27">
      <c r="A452" s="429">
        <v>0.6824189814814815</v>
      </c>
      <c r="B452" s="218">
        <v>370</v>
      </c>
      <c r="C452" s="218" t="s">
        <v>314</v>
      </c>
      <c r="D452" s="218">
        <v>185</v>
      </c>
      <c r="E452" s="218" t="s">
        <v>315</v>
      </c>
      <c r="F452" s="218">
        <v>22.7</v>
      </c>
      <c r="G452" s="218" t="s">
        <v>316</v>
      </c>
      <c r="H452" s="218">
        <v>395</v>
      </c>
      <c r="I452" s="218">
        <f t="shared" si="25"/>
        <v>372</v>
      </c>
      <c r="J452" s="218">
        <f t="shared" si="26"/>
        <v>2.6881720430107529E-3</v>
      </c>
      <c r="K452" s="218">
        <f t="shared" si="27"/>
        <v>4.657291170083161E-2</v>
      </c>
      <c r="L452" s="218">
        <f t="shared" si="28"/>
        <v>351.7</v>
      </c>
      <c r="M452" s="218" t="s">
        <v>323</v>
      </c>
      <c r="P452" s="218">
        <v>447</v>
      </c>
      <c r="Q452" s="218">
        <v>375.7</v>
      </c>
      <c r="R452" s="218">
        <v>405</v>
      </c>
      <c r="S452" s="218">
        <v>269</v>
      </c>
      <c r="T452" s="218">
        <v>349.90000000000003</v>
      </c>
      <c r="U452" s="273">
        <v>2.8579594169762788E-3</v>
      </c>
      <c r="V452" s="218">
        <v>2.8579594169762788E-3</v>
      </c>
      <c r="W452" s="250">
        <v>4.881938832043607E-5</v>
      </c>
      <c r="X452" s="250">
        <v>0.77240618101545266</v>
      </c>
      <c r="Z452" s="218">
        <v>444</v>
      </c>
      <c r="AA452" s="435">
        <v>0.77019867549668886</v>
      </c>
    </row>
    <row r="453" spans="1:27">
      <c r="A453" s="429">
        <v>0.68243055555555554</v>
      </c>
      <c r="B453" s="218">
        <v>372</v>
      </c>
      <c r="C453" s="218" t="s">
        <v>314</v>
      </c>
      <c r="D453" s="218">
        <v>186</v>
      </c>
      <c r="E453" s="218" t="s">
        <v>315</v>
      </c>
      <c r="F453" s="218">
        <v>22.7</v>
      </c>
      <c r="G453" s="218" t="s">
        <v>316</v>
      </c>
      <c r="H453" s="218">
        <v>396</v>
      </c>
      <c r="I453" s="218">
        <f t="shared" si="25"/>
        <v>370</v>
      </c>
      <c r="J453" s="218">
        <f t="shared" si="26"/>
        <v>2.7027027027027029E-3</v>
      </c>
      <c r="K453" s="218">
        <f t="shared" si="27"/>
        <v>4.6558381041139657E-2</v>
      </c>
      <c r="L453" s="218">
        <f t="shared" si="28"/>
        <v>349.7</v>
      </c>
      <c r="M453" s="218" t="s">
        <v>323</v>
      </c>
      <c r="P453" s="218">
        <v>448</v>
      </c>
      <c r="Q453" s="218">
        <v>377.7</v>
      </c>
      <c r="R453" s="218">
        <v>405</v>
      </c>
      <c r="S453" s="218">
        <v>273</v>
      </c>
      <c r="T453" s="218">
        <v>351.90000000000003</v>
      </c>
      <c r="U453" s="273">
        <v>2.8417163967036085E-3</v>
      </c>
      <c r="V453" s="218">
        <v>2.8498379068399434E-3</v>
      </c>
      <c r="W453" s="250">
        <v>4.8680657464168836E-5</v>
      </c>
      <c r="X453" s="250">
        <v>0.77682119205298017</v>
      </c>
      <c r="Z453" s="218">
        <v>445</v>
      </c>
      <c r="AA453" s="435">
        <v>0.77167034584253125</v>
      </c>
    </row>
    <row r="454" spans="1:27">
      <c r="A454" s="429">
        <v>0.68244212962962969</v>
      </c>
      <c r="B454" s="218">
        <v>373</v>
      </c>
      <c r="C454" s="218" t="s">
        <v>314</v>
      </c>
      <c r="D454" s="218">
        <v>187</v>
      </c>
      <c r="E454" s="218" t="s">
        <v>315</v>
      </c>
      <c r="F454" s="218">
        <v>22.7</v>
      </c>
      <c r="G454" s="218" t="s">
        <v>316</v>
      </c>
      <c r="H454" s="218">
        <v>397</v>
      </c>
      <c r="I454" s="218">
        <f t="shared" si="25"/>
        <v>372</v>
      </c>
      <c r="J454" s="218">
        <f t="shared" si="26"/>
        <v>2.6881720430107529E-3</v>
      </c>
      <c r="K454" s="218">
        <f t="shared" si="27"/>
        <v>4.657291170083161E-2</v>
      </c>
      <c r="L454" s="218">
        <f t="shared" si="28"/>
        <v>351.7</v>
      </c>
      <c r="M454" s="218" t="s">
        <v>323</v>
      </c>
      <c r="P454" s="218">
        <v>449</v>
      </c>
      <c r="Q454" s="218">
        <v>374.7</v>
      </c>
      <c r="R454" s="218">
        <v>405</v>
      </c>
      <c r="S454" s="218">
        <v>273</v>
      </c>
      <c r="T454" s="218">
        <v>350.90000000000003</v>
      </c>
      <c r="U454" s="273">
        <v>2.8498147620404672E-3</v>
      </c>
      <c r="V454" s="218">
        <v>2.8457655793720379E-3</v>
      </c>
      <c r="W454" s="250">
        <v>4.8611094357414161E-5</v>
      </c>
      <c r="X454" s="250">
        <v>0.77461368653421636</v>
      </c>
      <c r="Z454" s="218">
        <v>446</v>
      </c>
      <c r="AA454" s="435">
        <v>0.77240618101545266</v>
      </c>
    </row>
    <row r="455" spans="1:27">
      <c r="A455" s="429">
        <v>0.68245370370370362</v>
      </c>
      <c r="B455" s="218">
        <v>374</v>
      </c>
      <c r="C455" s="218" t="s">
        <v>314</v>
      </c>
      <c r="D455" s="218">
        <v>187</v>
      </c>
      <c r="E455" s="218" t="s">
        <v>315</v>
      </c>
      <c r="F455" s="218">
        <v>22.7</v>
      </c>
      <c r="G455" s="218" t="s">
        <v>316</v>
      </c>
      <c r="H455" s="218">
        <v>398</v>
      </c>
      <c r="I455" s="218">
        <f t="shared" si="25"/>
        <v>373</v>
      </c>
      <c r="J455" s="218">
        <f t="shared" si="26"/>
        <v>2.6809651474530832E-3</v>
      </c>
      <c r="K455" s="218">
        <f t="shared" si="27"/>
        <v>4.6580118596389275E-2</v>
      </c>
      <c r="L455" s="218">
        <f t="shared" si="28"/>
        <v>352.7</v>
      </c>
      <c r="M455" s="218" t="s">
        <v>323</v>
      </c>
      <c r="P455" s="218">
        <v>450</v>
      </c>
      <c r="Q455" s="218">
        <v>376.7</v>
      </c>
      <c r="R455" s="218">
        <v>405</v>
      </c>
      <c r="S455" s="218">
        <v>273</v>
      </c>
      <c r="T455" s="218">
        <v>351.56666666666666</v>
      </c>
      <c r="U455" s="273">
        <v>2.8444107329098321E-3</v>
      </c>
      <c r="V455" s="218">
        <v>2.8471127474751497E-3</v>
      </c>
      <c r="W455" s="250">
        <v>4.8634106553587435E-5</v>
      </c>
      <c r="X455" s="250">
        <v>0.77608535688005886</v>
      </c>
      <c r="Z455" s="218">
        <v>447</v>
      </c>
      <c r="AA455" s="435">
        <v>0.77240618101545266</v>
      </c>
    </row>
    <row r="456" spans="1:27">
      <c r="A456" s="429">
        <v>0.68246527777777777</v>
      </c>
      <c r="B456" s="218">
        <v>374</v>
      </c>
      <c r="C456" s="218" t="s">
        <v>314</v>
      </c>
      <c r="D456" s="218">
        <v>187</v>
      </c>
      <c r="E456" s="218" t="s">
        <v>315</v>
      </c>
      <c r="F456" s="218">
        <v>22.7</v>
      </c>
      <c r="G456" s="218" t="s">
        <v>316</v>
      </c>
      <c r="H456" s="218">
        <v>399</v>
      </c>
      <c r="I456" s="218">
        <f t="shared" si="25"/>
        <v>374</v>
      </c>
      <c r="J456" s="218">
        <f t="shared" si="26"/>
        <v>2.6737967914438501E-3</v>
      </c>
      <c r="K456" s="218">
        <f t="shared" si="27"/>
        <v>4.6587286952398513E-2</v>
      </c>
      <c r="L456" s="218">
        <f t="shared" si="28"/>
        <v>353.7</v>
      </c>
      <c r="M456" s="218" t="s">
        <v>323</v>
      </c>
      <c r="P456" s="218">
        <v>451</v>
      </c>
      <c r="Q456" s="218">
        <v>376.7</v>
      </c>
      <c r="R456" s="218">
        <v>406</v>
      </c>
      <c r="S456" s="218">
        <v>273</v>
      </c>
      <c r="T456" s="218">
        <v>351.90000000000003</v>
      </c>
      <c r="U456" s="273">
        <v>2.8417163967036085E-3</v>
      </c>
      <c r="V456" s="218">
        <v>2.8430635648067203E-3</v>
      </c>
      <c r="W456" s="250">
        <v>4.8564938804074889E-5</v>
      </c>
      <c r="X456" s="250">
        <v>0.77682119205298017</v>
      </c>
      <c r="Z456" s="218">
        <v>448</v>
      </c>
      <c r="AA456" s="435">
        <v>0.77682119205298017</v>
      </c>
    </row>
    <row r="457" spans="1:27">
      <c r="A457" s="429">
        <v>0.68247685185185192</v>
      </c>
      <c r="B457" s="218">
        <v>375</v>
      </c>
      <c r="C457" s="218" t="s">
        <v>314</v>
      </c>
      <c r="D457" s="218">
        <v>188</v>
      </c>
      <c r="E457" s="218" t="s">
        <v>315</v>
      </c>
      <c r="F457" s="218">
        <v>22.7</v>
      </c>
      <c r="G457" s="218" t="s">
        <v>316</v>
      </c>
      <c r="H457" s="218">
        <v>400</v>
      </c>
      <c r="I457" s="218">
        <f t="shared" si="25"/>
        <v>374</v>
      </c>
      <c r="J457" s="218">
        <f t="shared" si="26"/>
        <v>2.6737967914438501E-3</v>
      </c>
      <c r="K457" s="218">
        <f t="shared" si="27"/>
        <v>4.6587286952398513E-2</v>
      </c>
      <c r="L457" s="218">
        <f t="shared" si="28"/>
        <v>353.7</v>
      </c>
      <c r="M457" s="218" t="s">
        <v>323</v>
      </c>
      <c r="P457" s="218">
        <v>452</v>
      </c>
      <c r="Q457" s="218">
        <v>376.7</v>
      </c>
      <c r="R457" s="218">
        <v>406</v>
      </c>
      <c r="S457" s="218">
        <v>275</v>
      </c>
      <c r="T457" s="218">
        <v>352.56666666666666</v>
      </c>
      <c r="U457" s="273">
        <v>2.8363430084144842E-3</v>
      </c>
      <c r="V457" s="218">
        <v>2.8390297025590464E-3</v>
      </c>
      <c r="W457" s="250">
        <v>4.8496032756518524E-5</v>
      </c>
      <c r="X457" s="250">
        <v>0.77829286239882267</v>
      </c>
      <c r="Z457" s="218">
        <v>449</v>
      </c>
      <c r="AA457" s="435">
        <v>0.77461368653421636</v>
      </c>
    </row>
    <row r="458" spans="1:27">
      <c r="A458" s="429">
        <v>0.68248842592592596</v>
      </c>
      <c r="B458" s="218">
        <v>375</v>
      </c>
      <c r="C458" s="218" t="s">
        <v>314</v>
      </c>
      <c r="D458" s="218">
        <v>188</v>
      </c>
      <c r="E458" s="218" t="s">
        <v>315</v>
      </c>
      <c r="F458" s="218">
        <v>22.7</v>
      </c>
      <c r="G458" s="218" t="s">
        <v>316</v>
      </c>
      <c r="H458" s="218">
        <v>401</v>
      </c>
      <c r="I458" s="218">
        <f t="shared" si="25"/>
        <v>375</v>
      </c>
      <c r="J458" s="218">
        <f t="shared" si="26"/>
        <v>2.6666666666666666E-3</v>
      </c>
      <c r="K458" s="218">
        <f t="shared" si="27"/>
        <v>4.6594417077175695E-2</v>
      </c>
      <c r="L458" s="218">
        <f t="shared" si="28"/>
        <v>354.7</v>
      </c>
      <c r="M458" s="218" t="s">
        <v>323</v>
      </c>
      <c r="P458" s="218">
        <v>453</v>
      </c>
      <c r="Q458" s="218">
        <v>377.7</v>
      </c>
      <c r="R458" s="218">
        <v>407</v>
      </c>
      <c r="S458" s="218">
        <v>275</v>
      </c>
      <c r="T458" s="218">
        <v>353.23333333333335</v>
      </c>
      <c r="U458" s="273">
        <v>2.8309899028026797E-3</v>
      </c>
      <c r="V458" s="218">
        <v>2.833666455608582E-3</v>
      </c>
      <c r="W458" s="250">
        <v>4.8404418287125483E-5</v>
      </c>
      <c r="X458" s="250">
        <v>0.77976453274466517</v>
      </c>
      <c r="Z458" s="218">
        <v>450</v>
      </c>
      <c r="AA458" s="435">
        <v>0.77608535688005886</v>
      </c>
    </row>
    <row r="459" spans="1:27">
      <c r="A459" s="429">
        <v>0.6825</v>
      </c>
      <c r="B459" s="218">
        <v>375</v>
      </c>
      <c r="C459" s="218" t="s">
        <v>314</v>
      </c>
      <c r="D459" s="218">
        <v>188</v>
      </c>
      <c r="E459" s="218" t="s">
        <v>315</v>
      </c>
      <c r="F459" s="218">
        <v>22.7</v>
      </c>
      <c r="G459" s="218" t="s">
        <v>316</v>
      </c>
      <c r="H459" s="218">
        <v>402</v>
      </c>
      <c r="I459" s="218">
        <f t="shared" si="25"/>
        <v>375</v>
      </c>
      <c r="J459" s="218">
        <f t="shared" si="26"/>
        <v>2.6666666666666666E-3</v>
      </c>
      <c r="K459" s="218">
        <f t="shared" si="27"/>
        <v>4.6594417077175695E-2</v>
      </c>
      <c r="L459" s="218">
        <f t="shared" si="28"/>
        <v>354.7</v>
      </c>
      <c r="M459" s="218" t="s">
        <v>323</v>
      </c>
      <c r="P459" s="218">
        <v>454</v>
      </c>
      <c r="Q459" s="218">
        <v>377.7</v>
      </c>
      <c r="R459" s="218">
        <v>407</v>
      </c>
      <c r="S459" s="218">
        <v>277</v>
      </c>
      <c r="T459" s="218">
        <v>353.90000000000003</v>
      </c>
      <c r="U459" s="273">
        <v>2.8256569652444189E-3</v>
      </c>
      <c r="V459" s="218">
        <v>2.8283234340235495E-3</v>
      </c>
      <c r="W459" s="250">
        <v>4.8313149305482579E-5</v>
      </c>
      <c r="X459" s="250">
        <v>0.78123620309050779</v>
      </c>
      <c r="Z459" s="218">
        <v>451</v>
      </c>
      <c r="AA459" s="435">
        <v>0.77682119205298017</v>
      </c>
    </row>
    <row r="460" spans="1:27">
      <c r="A460" s="429">
        <v>0.68251157407407403</v>
      </c>
      <c r="B460" s="218">
        <v>375</v>
      </c>
      <c r="C460" s="218" t="s">
        <v>314</v>
      </c>
      <c r="D460" s="218">
        <v>188</v>
      </c>
      <c r="E460" s="218" t="s">
        <v>315</v>
      </c>
      <c r="F460" s="218">
        <v>22.7</v>
      </c>
      <c r="G460" s="218" t="s">
        <v>316</v>
      </c>
      <c r="H460" s="218">
        <v>403</v>
      </c>
      <c r="I460" s="218">
        <f t="shared" si="25"/>
        <v>375</v>
      </c>
      <c r="J460" s="218">
        <f t="shared" si="26"/>
        <v>2.6666666666666666E-3</v>
      </c>
      <c r="K460" s="218">
        <f t="shared" si="27"/>
        <v>4.6594417077175695E-2</v>
      </c>
      <c r="L460" s="218">
        <f t="shared" si="28"/>
        <v>354.7</v>
      </c>
      <c r="M460" s="218" t="s">
        <v>323</v>
      </c>
      <c r="P460" s="218">
        <v>455</v>
      </c>
      <c r="Q460" s="218">
        <v>377.7</v>
      </c>
      <c r="R460" s="218">
        <v>408</v>
      </c>
      <c r="S460" s="218">
        <v>277</v>
      </c>
      <c r="T460" s="218">
        <v>354.23333333333335</v>
      </c>
      <c r="U460" s="273">
        <v>2.8229980239013832E-3</v>
      </c>
      <c r="V460" s="218">
        <v>2.824327494572901E-3</v>
      </c>
      <c r="W460" s="250">
        <v>4.8244891051503403E-5</v>
      </c>
      <c r="X460" s="250">
        <v>0.78197203826342898</v>
      </c>
      <c r="Z460" s="218">
        <v>452</v>
      </c>
      <c r="AA460" s="435">
        <v>0.77829286239882267</v>
      </c>
    </row>
    <row r="461" spans="1:27">
      <c r="A461" s="429">
        <v>0.68252314814814818</v>
      </c>
      <c r="B461" s="218">
        <v>374</v>
      </c>
      <c r="C461" s="218" t="s">
        <v>314</v>
      </c>
      <c r="D461" s="218">
        <v>187</v>
      </c>
      <c r="E461" s="218" t="s">
        <v>315</v>
      </c>
      <c r="F461" s="218">
        <v>22.7</v>
      </c>
      <c r="G461" s="218" t="s">
        <v>316</v>
      </c>
      <c r="H461" s="218">
        <v>404</v>
      </c>
      <c r="I461" s="218">
        <f t="shared" si="25"/>
        <v>375</v>
      </c>
      <c r="J461" s="218">
        <f t="shared" si="26"/>
        <v>2.6666666666666666E-3</v>
      </c>
      <c r="K461" s="218">
        <f t="shared" si="27"/>
        <v>4.6594417077175695E-2</v>
      </c>
      <c r="L461" s="218">
        <f t="shared" si="28"/>
        <v>354.7</v>
      </c>
      <c r="M461" s="218" t="s">
        <v>323</v>
      </c>
      <c r="P461" s="218">
        <v>456</v>
      </c>
      <c r="Q461" s="218">
        <v>379.7</v>
      </c>
      <c r="R461" s="218">
        <v>406</v>
      </c>
      <c r="S461" s="218">
        <v>278</v>
      </c>
      <c r="T461" s="218">
        <v>354.56666666666666</v>
      </c>
      <c r="U461" s="273">
        <v>2.8203440819780014E-3</v>
      </c>
      <c r="V461" s="218">
        <v>2.8216710529396921E-3</v>
      </c>
      <c r="W461" s="250">
        <v>4.8199513970614194E-5</v>
      </c>
      <c r="X461" s="250">
        <v>0.78270787343635029</v>
      </c>
      <c r="Z461" s="218">
        <v>453</v>
      </c>
      <c r="AA461" s="435">
        <v>0.77976453274466517</v>
      </c>
    </row>
    <row r="462" spans="1:27">
      <c r="A462" s="429">
        <v>0.68253472222222233</v>
      </c>
      <c r="B462" s="218">
        <v>376</v>
      </c>
      <c r="C462" s="218" t="s">
        <v>314</v>
      </c>
      <c r="D462" s="218">
        <v>188</v>
      </c>
      <c r="E462" s="218" t="s">
        <v>315</v>
      </c>
      <c r="F462" s="218">
        <v>22.7</v>
      </c>
      <c r="G462" s="218" t="s">
        <v>316</v>
      </c>
      <c r="H462" s="218">
        <v>405</v>
      </c>
      <c r="I462" s="218">
        <f t="shared" si="25"/>
        <v>374</v>
      </c>
      <c r="J462" s="218">
        <f t="shared" si="26"/>
        <v>2.6737967914438501E-3</v>
      </c>
      <c r="K462" s="218">
        <f t="shared" si="27"/>
        <v>4.6587286952398513E-2</v>
      </c>
      <c r="L462" s="218">
        <f t="shared" si="28"/>
        <v>353.7</v>
      </c>
      <c r="M462" s="218" t="s">
        <v>323</v>
      </c>
      <c r="P462" s="218">
        <v>457</v>
      </c>
      <c r="Q462" s="218">
        <v>379.7</v>
      </c>
      <c r="R462" s="218">
        <v>408</v>
      </c>
      <c r="S462" s="218">
        <v>278</v>
      </c>
      <c r="T462" s="218">
        <v>355.23333333333335</v>
      </c>
      <c r="U462" s="273">
        <v>2.8150511400957118E-3</v>
      </c>
      <c r="V462" s="218">
        <v>2.8176976110368566E-3</v>
      </c>
      <c r="W462" s="250">
        <v>4.8131640017586391E-5</v>
      </c>
      <c r="X462" s="250">
        <v>0.78417954378219279</v>
      </c>
      <c r="Z462" s="218">
        <v>454</v>
      </c>
      <c r="AA462" s="435">
        <v>0.78123620309050779</v>
      </c>
    </row>
    <row r="463" spans="1:27">
      <c r="A463" s="429">
        <v>0.68254629629629626</v>
      </c>
      <c r="B463" s="218">
        <v>375</v>
      </c>
      <c r="C463" s="218" t="s">
        <v>314</v>
      </c>
      <c r="D463" s="218">
        <v>188</v>
      </c>
      <c r="E463" s="218" t="s">
        <v>315</v>
      </c>
      <c r="F463" s="218">
        <v>22.7</v>
      </c>
      <c r="G463" s="218" t="s">
        <v>316</v>
      </c>
      <c r="H463" s="218">
        <v>406</v>
      </c>
      <c r="I463" s="218">
        <f t="shared" si="25"/>
        <v>376</v>
      </c>
      <c r="J463" s="218">
        <f t="shared" si="26"/>
        <v>2.6595744680851063E-3</v>
      </c>
      <c r="K463" s="218">
        <f t="shared" si="27"/>
        <v>4.6601509275757257E-2</v>
      </c>
      <c r="L463" s="218">
        <f t="shared" si="28"/>
        <v>355.7</v>
      </c>
      <c r="M463" s="218" t="s">
        <v>323</v>
      </c>
      <c r="P463" s="218">
        <v>458</v>
      </c>
      <c r="Q463" s="218">
        <v>379.7</v>
      </c>
      <c r="R463" s="218">
        <v>406</v>
      </c>
      <c r="S463" s="218">
        <v>282</v>
      </c>
      <c r="T463" s="218">
        <v>355.90000000000003</v>
      </c>
      <c r="U463" s="273">
        <v>2.8097780275358245E-3</v>
      </c>
      <c r="V463" s="218">
        <v>2.8124145838157684E-3</v>
      </c>
      <c r="W463" s="250">
        <v>4.8041395853907321E-5</v>
      </c>
      <c r="X463" s="250">
        <v>0.7856512141280354</v>
      </c>
      <c r="Z463" s="218">
        <v>455</v>
      </c>
      <c r="AA463" s="435">
        <v>0.78197203826342898</v>
      </c>
    </row>
    <row r="464" spans="1:27">
      <c r="A464" s="429">
        <v>0.68255787037037041</v>
      </c>
      <c r="B464" s="218">
        <v>376</v>
      </c>
      <c r="C464" s="218" t="s">
        <v>314</v>
      </c>
      <c r="D464" s="218">
        <v>188</v>
      </c>
      <c r="E464" s="218" t="s">
        <v>315</v>
      </c>
      <c r="F464" s="218">
        <v>22.7</v>
      </c>
      <c r="G464" s="218" t="s">
        <v>316</v>
      </c>
      <c r="H464" s="218">
        <v>407</v>
      </c>
      <c r="I464" s="218">
        <f t="shared" si="25"/>
        <v>375</v>
      </c>
      <c r="J464" s="218">
        <f t="shared" si="26"/>
        <v>2.6666666666666666E-3</v>
      </c>
      <c r="K464" s="218">
        <f t="shared" si="27"/>
        <v>4.6594417077175695E-2</v>
      </c>
      <c r="L464" s="218">
        <f t="shared" si="28"/>
        <v>354.7</v>
      </c>
      <c r="M464" s="218" t="s">
        <v>323</v>
      </c>
      <c r="P464" s="218">
        <v>459</v>
      </c>
      <c r="Q464" s="218">
        <v>380.7</v>
      </c>
      <c r="R464" s="218">
        <v>408</v>
      </c>
      <c r="S464" s="218">
        <v>282</v>
      </c>
      <c r="T464" s="218">
        <v>356.90000000000003</v>
      </c>
      <c r="U464" s="273">
        <v>2.8019052956010084E-3</v>
      </c>
      <c r="V464" s="218">
        <v>2.8058416615684163E-3</v>
      </c>
      <c r="W464" s="250">
        <v>4.792911782725395E-5</v>
      </c>
      <c r="X464" s="250">
        <v>0.78785871964679921</v>
      </c>
      <c r="Z464" s="218">
        <v>456</v>
      </c>
      <c r="AA464" s="435">
        <v>0.78270787343635029</v>
      </c>
    </row>
    <row r="465" spans="1:27">
      <c r="A465" s="429">
        <v>0.68256944444444445</v>
      </c>
      <c r="B465" s="218">
        <v>377</v>
      </c>
      <c r="C465" s="218" t="s">
        <v>314</v>
      </c>
      <c r="D465" s="218">
        <v>189</v>
      </c>
      <c r="E465" s="218" t="s">
        <v>315</v>
      </c>
      <c r="F465" s="218">
        <v>22.7</v>
      </c>
      <c r="G465" s="218" t="s">
        <v>316</v>
      </c>
      <c r="H465" s="218">
        <v>408</v>
      </c>
      <c r="I465" s="218">
        <f t="shared" si="25"/>
        <v>376</v>
      </c>
      <c r="J465" s="218">
        <f t="shared" si="26"/>
        <v>2.6595744680851063E-3</v>
      </c>
      <c r="K465" s="218">
        <f t="shared" si="27"/>
        <v>4.6601509275757257E-2</v>
      </c>
      <c r="L465" s="218">
        <f t="shared" si="28"/>
        <v>355.7</v>
      </c>
      <c r="M465" s="218" t="s">
        <v>323</v>
      </c>
      <c r="P465" s="218">
        <v>460</v>
      </c>
      <c r="Q465" s="218">
        <v>379.7</v>
      </c>
      <c r="R465" s="218">
        <v>407</v>
      </c>
      <c r="S465" s="218">
        <v>281</v>
      </c>
      <c r="T465" s="218">
        <v>355.90000000000003</v>
      </c>
      <c r="U465" s="273">
        <v>2.8097780275358245E-3</v>
      </c>
      <c r="V465" s="218">
        <v>2.8058416615684163E-3</v>
      </c>
      <c r="W465" s="250">
        <v>4.792911782725395E-5</v>
      </c>
      <c r="X465" s="250">
        <v>0.7856512141280354</v>
      </c>
      <c r="Z465" s="218">
        <v>457</v>
      </c>
      <c r="AA465" s="435">
        <v>0.78417954378219279</v>
      </c>
    </row>
    <row r="466" spans="1:27">
      <c r="A466" s="429">
        <v>0.68258101851851849</v>
      </c>
      <c r="B466" s="218">
        <v>377</v>
      </c>
      <c r="C466" s="218" t="s">
        <v>314</v>
      </c>
      <c r="D466" s="218">
        <v>189</v>
      </c>
      <c r="E466" s="218" t="s">
        <v>315</v>
      </c>
      <c r="F466" s="218">
        <v>22.7</v>
      </c>
      <c r="G466" s="218" t="s">
        <v>316</v>
      </c>
      <c r="H466" s="218">
        <v>409</v>
      </c>
      <c r="I466" s="218">
        <f t="shared" si="25"/>
        <v>377</v>
      </c>
      <c r="J466" s="218">
        <f t="shared" si="26"/>
        <v>2.6525198938992041E-3</v>
      </c>
      <c r="K466" s="218">
        <f t="shared" si="27"/>
        <v>4.6608563849943156E-2</v>
      </c>
      <c r="L466" s="218">
        <f t="shared" si="28"/>
        <v>356.7</v>
      </c>
      <c r="M466" s="218" t="s">
        <v>323</v>
      </c>
      <c r="P466" s="218">
        <v>461</v>
      </c>
      <c r="Q466" s="218">
        <v>381.7</v>
      </c>
      <c r="R466" s="218">
        <v>408</v>
      </c>
      <c r="S466" s="218">
        <v>281</v>
      </c>
      <c r="T466" s="218">
        <v>356.90000000000003</v>
      </c>
      <c r="U466" s="273">
        <v>2.8019052956010084E-3</v>
      </c>
      <c r="V466" s="218">
        <v>2.8058416615684163E-3</v>
      </c>
      <c r="W466" s="250">
        <v>4.792911782725395E-5</v>
      </c>
      <c r="X466" s="250">
        <v>0.78785871964679921</v>
      </c>
      <c r="Z466" s="218">
        <v>458</v>
      </c>
      <c r="AA466" s="435">
        <v>0.7856512141280354</v>
      </c>
    </row>
    <row r="467" spans="1:27">
      <c r="A467" s="429">
        <v>0.68259259259259253</v>
      </c>
      <c r="B467" s="218">
        <v>377</v>
      </c>
      <c r="C467" s="218" t="s">
        <v>314</v>
      </c>
      <c r="D467" s="218">
        <v>189</v>
      </c>
      <c r="E467" s="218" t="s">
        <v>315</v>
      </c>
      <c r="F467" s="218">
        <v>22.7</v>
      </c>
      <c r="G467" s="218" t="s">
        <v>316</v>
      </c>
      <c r="H467" s="218">
        <v>410</v>
      </c>
      <c r="I467" s="218">
        <f t="shared" si="25"/>
        <v>377</v>
      </c>
      <c r="J467" s="218">
        <f t="shared" si="26"/>
        <v>2.6525198938992041E-3</v>
      </c>
      <c r="K467" s="218">
        <f t="shared" si="27"/>
        <v>4.6608563849943156E-2</v>
      </c>
      <c r="L467" s="218">
        <f t="shared" si="28"/>
        <v>356.7</v>
      </c>
      <c r="M467" s="218" t="s">
        <v>323</v>
      </c>
      <c r="P467" s="218">
        <v>462</v>
      </c>
      <c r="Q467" s="218">
        <v>380.7</v>
      </c>
      <c r="R467" s="218">
        <v>408</v>
      </c>
      <c r="S467" s="218">
        <v>285</v>
      </c>
      <c r="T467" s="218">
        <v>357.90000000000003</v>
      </c>
      <c r="U467" s="273">
        <v>2.7940765576976805E-3</v>
      </c>
      <c r="V467" s="218">
        <v>2.7979909266493443E-3</v>
      </c>
      <c r="W467" s="250">
        <v>4.7795012327246366E-5</v>
      </c>
      <c r="X467" s="250">
        <v>0.79006622516556302</v>
      </c>
      <c r="Z467" s="218">
        <v>459</v>
      </c>
      <c r="AA467" s="435">
        <v>0.78785871964679921</v>
      </c>
    </row>
    <row r="468" spans="1:27">
      <c r="A468" s="429">
        <v>0.68260416666666668</v>
      </c>
      <c r="B468" s="218">
        <v>379</v>
      </c>
      <c r="C468" s="218" t="s">
        <v>314</v>
      </c>
      <c r="D468" s="218">
        <v>190</v>
      </c>
      <c r="E468" s="218" t="s">
        <v>315</v>
      </c>
      <c r="F468" s="218">
        <v>22.7</v>
      </c>
      <c r="G468" s="218" t="s">
        <v>316</v>
      </c>
      <c r="H468" s="218">
        <v>411</v>
      </c>
      <c r="I468" s="218">
        <f t="shared" si="25"/>
        <v>377</v>
      </c>
      <c r="J468" s="218">
        <f t="shared" si="26"/>
        <v>2.6525198938992041E-3</v>
      </c>
      <c r="K468" s="218">
        <f t="shared" si="27"/>
        <v>4.6608563849943156E-2</v>
      </c>
      <c r="L468" s="218">
        <f t="shared" si="28"/>
        <v>356.7</v>
      </c>
      <c r="M468" s="218" t="s">
        <v>323</v>
      </c>
      <c r="P468" s="218">
        <v>463</v>
      </c>
      <c r="Q468" s="218">
        <v>380.7</v>
      </c>
      <c r="R468" s="218">
        <v>408</v>
      </c>
      <c r="S468" s="218">
        <v>285</v>
      </c>
      <c r="T468" s="218">
        <v>357.90000000000003</v>
      </c>
      <c r="U468" s="273">
        <v>2.7940765576976805E-3</v>
      </c>
      <c r="V468" s="218">
        <v>2.7940765576976805E-3</v>
      </c>
      <c r="W468" s="250">
        <v>4.77281474526979E-5</v>
      </c>
      <c r="X468" s="250">
        <v>0.79006622516556302</v>
      </c>
      <c r="Z468" s="218">
        <v>460</v>
      </c>
      <c r="AA468" s="435">
        <v>0.7856512141280354</v>
      </c>
    </row>
    <row r="469" spans="1:27">
      <c r="A469" s="429">
        <v>0.68261574074074083</v>
      </c>
      <c r="B469" s="218">
        <v>380</v>
      </c>
      <c r="C469" s="218" t="s">
        <v>314</v>
      </c>
      <c r="D469" s="218">
        <v>190</v>
      </c>
      <c r="E469" s="218" t="s">
        <v>315</v>
      </c>
      <c r="F469" s="218">
        <v>22.7</v>
      </c>
      <c r="G469" s="218" t="s">
        <v>316</v>
      </c>
      <c r="H469" s="218">
        <v>412</v>
      </c>
      <c r="I469" s="218">
        <f t="shared" si="25"/>
        <v>379</v>
      </c>
      <c r="J469" s="218">
        <f t="shared" si="26"/>
        <v>2.6385224274406332E-3</v>
      </c>
      <c r="K469" s="218">
        <f t="shared" si="27"/>
        <v>4.6622561316401724E-2</v>
      </c>
      <c r="L469" s="218">
        <f t="shared" si="28"/>
        <v>358.7</v>
      </c>
      <c r="M469" s="218" t="s">
        <v>323</v>
      </c>
      <c r="P469" s="218">
        <v>464</v>
      </c>
      <c r="Q469" s="218">
        <v>381.7</v>
      </c>
      <c r="R469" s="218">
        <v>409</v>
      </c>
      <c r="S469" s="218">
        <v>286</v>
      </c>
      <c r="T469" s="218">
        <v>358.90000000000003</v>
      </c>
      <c r="U469" s="273">
        <v>2.7862914460852601E-3</v>
      </c>
      <c r="V469" s="218">
        <v>2.7901840018914703E-3</v>
      </c>
      <c r="W469" s="250">
        <v>4.766165518820543E-5</v>
      </c>
      <c r="X469" s="250">
        <v>0.79227373068432683</v>
      </c>
      <c r="Z469" s="218">
        <v>461</v>
      </c>
      <c r="AA469" s="435">
        <v>0.78785871964679921</v>
      </c>
    </row>
    <row r="470" spans="1:27">
      <c r="A470" s="429">
        <v>0.68262731481481476</v>
      </c>
      <c r="B470" s="218">
        <v>379</v>
      </c>
      <c r="C470" s="218" t="s">
        <v>314</v>
      </c>
      <c r="D470" s="218">
        <v>190</v>
      </c>
      <c r="E470" s="218" t="s">
        <v>315</v>
      </c>
      <c r="F470" s="218">
        <v>22.7</v>
      </c>
      <c r="G470" s="218" t="s">
        <v>316</v>
      </c>
      <c r="H470" s="218">
        <v>413</v>
      </c>
      <c r="I470" s="218">
        <f t="shared" si="25"/>
        <v>380</v>
      </c>
      <c r="J470" s="218">
        <f t="shared" si="26"/>
        <v>2.631578947368421E-3</v>
      </c>
      <c r="K470" s="218">
        <f t="shared" si="27"/>
        <v>4.6629504796473938E-2</v>
      </c>
      <c r="L470" s="218">
        <f t="shared" si="28"/>
        <v>359.7</v>
      </c>
      <c r="M470" s="218" t="s">
        <v>323</v>
      </c>
      <c r="P470" s="218">
        <v>465</v>
      </c>
      <c r="Q470" s="218">
        <v>382.7</v>
      </c>
      <c r="R470" s="218">
        <v>409</v>
      </c>
      <c r="S470" s="218">
        <v>286</v>
      </c>
      <c r="T470" s="218">
        <v>359.23333333333335</v>
      </c>
      <c r="U470" s="273">
        <v>2.7837060406421081E-3</v>
      </c>
      <c r="V470" s="218">
        <v>2.7849987433636843E-3</v>
      </c>
      <c r="W470" s="250">
        <v>4.7573081099956944E-5</v>
      </c>
      <c r="X470" s="250">
        <v>0.79300956585724802</v>
      </c>
      <c r="Z470" s="218">
        <v>462</v>
      </c>
      <c r="AA470" s="435">
        <v>0.79006622516556302</v>
      </c>
    </row>
    <row r="471" spans="1:27">
      <c r="A471" s="429">
        <v>0.68263888888888891</v>
      </c>
      <c r="B471" s="218">
        <v>381</v>
      </c>
      <c r="C471" s="218" t="s">
        <v>314</v>
      </c>
      <c r="D471" s="218">
        <v>191</v>
      </c>
      <c r="E471" s="218" t="s">
        <v>315</v>
      </c>
      <c r="F471" s="218">
        <v>22.7</v>
      </c>
      <c r="G471" s="218" t="s">
        <v>316</v>
      </c>
      <c r="H471" s="218">
        <v>414</v>
      </c>
      <c r="I471" s="218">
        <f t="shared" si="25"/>
        <v>379</v>
      </c>
      <c r="J471" s="218">
        <f t="shared" si="26"/>
        <v>2.6385224274406332E-3</v>
      </c>
      <c r="K471" s="218">
        <f t="shared" si="27"/>
        <v>4.6622561316401724E-2</v>
      </c>
      <c r="L471" s="218">
        <f t="shared" si="28"/>
        <v>358.7</v>
      </c>
      <c r="M471" s="218" t="s">
        <v>323</v>
      </c>
      <c r="P471" s="218">
        <v>466</v>
      </c>
      <c r="Q471" s="218">
        <v>382.7</v>
      </c>
      <c r="R471" s="218">
        <v>410</v>
      </c>
      <c r="S471" s="218">
        <v>288</v>
      </c>
      <c r="T471" s="218">
        <v>360.23333333333335</v>
      </c>
      <c r="U471" s="273">
        <v>2.7759785324326823E-3</v>
      </c>
      <c r="V471" s="218">
        <v>2.7798422865373952E-3</v>
      </c>
      <c r="W471" s="250">
        <v>4.7484998999607703E-5</v>
      </c>
      <c r="X471" s="250">
        <v>0.79521707137601183</v>
      </c>
      <c r="Z471" s="218">
        <v>463</v>
      </c>
      <c r="AA471" s="435">
        <v>0.79006622516556302</v>
      </c>
    </row>
    <row r="472" spans="1:27">
      <c r="A472" s="429">
        <v>0.68265046296296295</v>
      </c>
      <c r="B472" s="218">
        <v>378</v>
      </c>
      <c r="C472" s="218" t="s">
        <v>314</v>
      </c>
      <c r="D472" s="218">
        <v>189</v>
      </c>
      <c r="E472" s="218" t="s">
        <v>315</v>
      </c>
      <c r="F472" s="218">
        <v>22.7</v>
      </c>
      <c r="G472" s="218" t="s">
        <v>316</v>
      </c>
      <c r="H472" s="218">
        <v>415</v>
      </c>
      <c r="I472" s="218">
        <f t="shared" si="25"/>
        <v>381</v>
      </c>
      <c r="J472" s="218">
        <f t="shared" si="26"/>
        <v>2.6246719160104987E-3</v>
      </c>
      <c r="K472" s="218">
        <f t="shared" si="27"/>
        <v>4.6636411827831861E-2</v>
      </c>
      <c r="L472" s="218">
        <f t="shared" si="28"/>
        <v>360.7</v>
      </c>
      <c r="M472" s="218" t="s">
        <v>323</v>
      </c>
      <c r="P472" s="218">
        <v>467</v>
      </c>
      <c r="Q472" s="218">
        <v>383.7</v>
      </c>
      <c r="R472" s="218">
        <v>410</v>
      </c>
      <c r="S472" s="218">
        <v>288</v>
      </c>
      <c r="T472" s="218">
        <v>360.56666666666666</v>
      </c>
      <c r="U472" s="273">
        <v>2.7734122215031893E-3</v>
      </c>
      <c r="V472" s="218">
        <v>2.7746953769679358E-3</v>
      </c>
      <c r="W472" s="250">
        <v>4.7397079984582834E-5</v>
      </c>
      <c r="X472" s="250">
        <v>0.79595290654893303</v>
      </c>
      <c r="Z472" s="218">
        <v>464</v>
      </c>
      <c r="AA472" s="435">
        <v>0.79227373068432683</v>
      </c>
    </row>
    <row r="473" spans="1:27">
      <c r="A473" s="429">
        <v>0.68266203703703709</v>
      </c>
      <c r="B473" s="218">
        <v>381</v>
      </c>
      <c r="C473" s="218" t="s">
        <v>314</v>
      </c>
      <c r="D473" s="218">
        <v>191</v>
      </c>
      <c r="E473" s="218" t="s">
        <v>315</v>
      </c>
      <c r="F473" s="218">
        <v>22.7</v>
      </c>
      <c r="G473" s="218" t="s">
        <v>316</v>
      </c>
      <c r="H473" s="218">
        <v>416</v>
      </c>
      <c r="I473" s="218">
        <f t="shared" si="25"/>
        <v>378</v>
      </c>
      <c r="J473" s="218">
        <f t="shared" si="26"/>
        <v>2.6455026455026454E-3</v>
      </c>
      <c r="K473" s="218">
        <f t="shared" si="27"/>
        <v>4.6615581098339715E-2</v>
      </c>
      <c r="L473" s="218">
        <f t="shared" si="28"/>
        <v>357.7</v>
      </c>
      <c r="M473" s="218" t="s">
        <v>323</v>
      </c>
      <c r="P473" s="218">
        <v>468</v>
      </c>
      <c r="Q473" s="218">
        <v>382.7</v>
      </c>
      <c r="R473" s="218">
        <v>410</v>
      </c>
      <c r="S473" s="218">
        <v>290</v>
      </c>
      <c r="T473" s="218">
        <v>360.90000000000003</v>
      </c>
      <c r="U473" s="273">
        <v>2.7708506511499027E-3</v>
      </c>
      <c r="V473" s="218">
        <v>2.7721314363265458E-3</v>
      </c>
      <c r="W473" s="250">
        <v>4.7353282996753316E-5</v>
      </c>
      <c r="X473" s="250">
        <v>0.79668874172185433</v>
      </c>
      <c r="Z473" s="218">
        <v>465</v>
      </c>
      <c r="AA473" s="435">
        <v>0.79300956585724802</v>
      </c>
    </row>
    <row r="474" spans="1:27">
      <c r="A474" s="429">
        <v>0.68267361111111102</v>
      </c>
      <c r="B474" s="218">
        <v>380</v>
      </c>
      <c r="C474" s="218" t="s">
        <v>314</v>
      </c>
      <c r="D474" s="218">
        <v>190</v>
      </c>
      <c r="E474" s="218" t="s">
        <v>315</v>
      </c>
      <c r="F474" s="218">
        <v>22.7</v>
      </c>
      <c r="G474" s="218" t="s">
        <v>316</v>
      </c>
      <c r="H474" s="218">
        <v>417</v>
      </c>
      <c r="I474" s="218">
        <f t="shared" si="25"/>
        <v>381</v>
      </c>
      <c r="J474" s="218">
        <f t="shared" si="26"/>
        <v>2.6246719160104987E-3</v>
      </c>
      <c r="K474" s="218">
        <f t="shared" si="27"/>
        <v>4.6636411827831861E-2</v>
      </c>
      <c r="L474" s="218">
        <f t="shared" si="28"/>
        <v>360.7</v>
      </c>
      <c r="M474" s="218" t="s">
        <v>323</v>
      </c>
      <c r="P474" s="218">
        <v>469</v>
      </c>
      <c r="Q474" s="218">
        <v>382.7</v>
      </c>
      <c r="R474" s="218">
        <v>411</v>
      </c>
      <c r="S474" s="218">
        <v>290</v>
      </c>
      <c r="T474" s="218">
        <v>361.23333333333335</v>
      </c>
      <c r="U474" s="273">
        <v>2.7682938082495153E-3</v>
      </c>
      <c r="V474" s="218">
        <v>2.769572229699709E-3</v>
      </c>
      <c r="W474" s="250">
        <v>4.7309566874905798E-5</v>
      </c>
      <c r="X474" s="250">
        <v>0.79742457689477564</v>
      </c>
      <c r="Z474" s="218">
        <v>466</v>
      </c>
      <c r="AA474" s="435">
        <v>0.79521707137601183</v>
      </c>
    </row>
    <row r="475" spans="1:27">
      <c r="A475" s="429">
        <v>0.68268518518518517</v>
      </c>
      <c r="B475" s="218">
        <v>381</v>
      </c>
      <c r="C475" s="218" t="s">
        <v>314</v>
      </c>
      <c r="D475" s="218">
        <v>191</v>
      </c>
      <c r="E475" s="218" t="s">
        <v>315</v>
      </c>
      <c r="F475" s="218">
        <v>22.7</v>
      </c>
      <c r="G475" s="218" t="s">
        <v>316</v>
      </c>
      <c r="H475" s="218">
        <v>418</v>
      </c>
      <c r="I475" s="218">
        <f t="shared" si="25"/>
        <v>380</v>
      </c>
      <c r="J475" s="218">
        <f t="shared" si="26"/>
        <v>2.631578947368421E-3</v>
      </c>
      <c r="K475" s="218">
        <f t="shared" si="27"/>
        <v>4.6629504796473938E-2</v>
      </c>
      <c r="L475" s="218">
        <f t="shared" si="28"/>
        <v>359.7</v>
      </c>
      <c r="M475" s="218" t="s">
        <v>323</v>
      </c>
      <c r="P475" s="218">
        <v>470</v>
      </c>
      <c r="Q475" s="218">
        <v>384.7</v>
      </c>
      <c r="R475" s="218">
        <v>413</v>
      </c>
      <c r="S475" s="218">
        <v>290</v>
      </c>
      <c r="T475" s="218">
        <v>362.56666666666666</v>
      </c>
      <c r="U475" s="273">
        <v>2.7581134503999265E-3</v>
      </c>
      <c r="V475" s="218">
        <v>2.7632036293247209E-3</v>
      </c>
      <c r="W475" s="250">
        <v>4.7200779054855798E-5</v>
      </c>
      <c r="X475" s="250">
        <v>0.80036791758646064</v>
      </c>
      <c r="Z475" s="218">
        <v>467</v>
      </c>
      <c r="AA475" s="435">
        <v>0.79595290654893303</v>
      </c>
    </row>
    <row r="476" spans="1:27">
      <c r="A476" s="429">
        <v>0.68269675925925932</v>
      </c>
      <c r="B476" s="218">
        <v>382</v>
      </c>
      <c r="C476" s="218" t="s">
        <v>314</v>
      </c>
      <c r="D476" s="218">
        <v>191</v>
      </c>
      <c r="E476" s="218" t="s">
        <v>315</v>
      </c>
      <c r="F476" s="218">
        <v>22.7</v>
      </c>
      <c r="G476" s="218" t="s">
        <v>316</v>
      </c>
      <c r="H476" s="218">
        <v>419</v>
      </c>
      <c r="I476" s="218">
        <f t="shared" si="25"/>
        <v>381</v>
      </c>
      <c r="J476" s="218">
        <f t="shared" si="26"/>
        <v>2.6246719160104987E-3</v>
      </c>
      <c r="K476" s="218">
        <f t="shared" si="27"/>
        <v>4.6636411827831861E-2</v>
      </c>
      <c r="L476" s="218">
        <f t="shared" si="28"/>
        <v>360.7</v>
      </c>
      <c r="M476" s="218" t="s">
        <v>323</v>
      </c>
      <c r="P476" s="218">
        <v>471</v>
      </c>
      <c r="Q476" s="218">
        <v>382.7</v>
      </c>
      <c r="R476" s="218">
        <v>411</v>
      </c>
      <c r="S476" s="218">
        <v>290</v>
      </c>
      <c r="T476" s="218">
        <v>361.23333333333335</v>
      </c>
      <c r="U476" s="273">
        <v>2.7682938082495153E-3</v>
      </c>
      <c r="V476" s="218">
        <v>2.7632036293247209E-3</v>
      </c>
      <c r="W476" s="250">
        <v>4.7200779054855798E-5</v>
      </c>
      <c r="X476" s="250">
        <v>0.79742457689477564</v>
      </c>
      <c r="Z476" s="218">
        <v>468</v>
      </c>
      <c r="AA476" s="435">
        <v>0.79668874172185433</v>
      </c>
    </row>
    <row r="477" spans="1:27">
      <c r="A477" s="429">
        <v>0.68270833333333336</v>
      </c>
      <c r="B477" s="218">
        <v>383</v>
      </c>
      <c r="C477" s="218" t="s">
        <v>314</v>
      </c>
      <c r="D477" s="218">
        <v>192</v>
      </c>
      <c r="E477" s="218" t="s">
        <v>315</v>
      </c>
      <c r="F477" s="218">
        <v>22.7</v>
      </c>
      <c r="G477" s="218" t="s">
        <v>316</v>
      </c>
      <c r="H477" s="218">
        <v>420</v>
      </c>
      <c r="I477" s="218">
        <f t="shared" si="25"/>
        <v>382</v>
      </c>
      <c r="J477" s="218">
        <f t="shared" si="26"/>
        <v>2.617801047120419E-3</v>
      </c>
      <c r="K477" s="218">
        <f t="shared" si="27"/>
        <v>4.6643282696721938E-2</v>
      </c>
      <c r="L477" s="218">
        <f t="shared" si="28"/>
        <v>361.7</v>
      </c>
      <c r="M477" s="218" t="s">
        <v>323</v>
      </c>
      <c r="P477" s="218">
        <v>472</v>
      </c>
      <c r="Q477" s="218">
        <v>385.7</v>
      </c>
      <c r="R477" s="218">
        <v>413</v>
      </c>
      <c r="S477" s="218">
        <v>291</v>
      </c>
      <c r="T477" s="218">
        <v>363.23333333333335</v>
      </c>
      <c r="U477" s="273">
        <v>2.753051298522529E-3</v>
      </c>
      <c r="V477" s="218">
        <v>2.7606725533860224E-3</v>
      </c>
      <c r="W477" s="250">
        <v>4.7157543458721773E-5</v>
      </c>
      <c r="X477" s="250">
        <v>0.80183958793230314</v>
      </c>
      <c r="Z477" s="218">
        <v>469</v>
      </c>
      <c r="AA477" s="435">
        <v>0.79742457689477564</v>
      </c>
    </row>
    <row r="478" spans="1:27">
      <c r="A478" s="429">
        <v>0.6827199074074074</v>
      </c>
      <c r="B478" s="218">
        <v>382</v>
      </c>
      <c r="C478" s="218" t="s">
        <v>314</v>
      </c>
      <c r="D478" s="218">
        <v>191</v>
      </c>
      <c r="E478" s="218" t="s">
        <v>315</v>
      </c>
      <c r="F478" s="218">
        <v>22.7</v>
      </c>
      <c r="G478" s="218" t="s">
        <v>316</v>
      </c>
      <c r="H478" s="218">
        <v>421</v>
      </c>
      <c r="I478" s="218">
        <f t="shared" si="25"/>
        <v>383</v>
      </c>
      <c r="J478" s="218">
        <f t="shared" si="26"/>
        <v>2.6109660574412533E-3</v>
      </c>
      <c r="K478" s="218">
        <f t="shared" si="27"/>
        <v>4.6650117686401107E-2</v>
      </c>
      <c r="L478" s="218">
        <f t="shared" si="28"/>
        <v>362.7</v>
      </c>
      <c r="M478" s="218" t="s">
        <v>323</v>
      </c>
      <c r="P478" s="218">
        <v>473</v>
      </c>
      <c r="Q478" s="218">
        <v>383.7</v>
      </c>
      <c r="R478" s="218">
        <v>411</v>
      </c>
      <c r="S478" s="218">
        <v>291</v>
      </c>
      <c r="T478" s="218">
        <v>361.90000000000003</v>
      </c>
      <c r="U478" s="273">
        <v>2.7631942525559545E-3</v>
      </c>
      <c r="V478" s="218">
        <v>2.7581227755392418E-3</v>
      </c>
      <c r="W478" s="250">
        <v>4.7113988398389767E-5</v>
      </c>
      <c r="X478" s="250">
        <v>0.79889624724061814</v>
      </c>
      <c r="Z478" s="218">
        <v>470</v>
      </c>
      <c r="AA478" s="435">
        <v>0.80036791758646064</v>
      </c>
    </row>
    <row r="479" spans="1:27">
      <c r="A479" s="429">
        <v>0.68273148148148144</v>
      </c>
      <c r="B479" s="218">
        <v>383</v>
      </c>
      <c r="C479" s="218" t="s">
        <v>314</v>
      </c>
      <c r="D479" s="218">
        <v>192</v>
      </c>
      <c r="E479" s="218" t="s">
        <v>315</v>
      </c>
      <c r="F479" s="218">
        <v>22.7</v>
      </c>
      <c r="G479" s="218" t="s">
        <v>316</v>
      </c>
      <c r="H479" s="218">
        <v>422</v>
      </c>
      <c r="I479" s="218">
        <f t="shared" si="25"/>
        <v>382</v>
      </c>
      <c r="J479" s="218">
        <f t="shared" si="26"/>
        <v>2.617801047120419E-3</v>
      </c>
      <c r="K479" s="218">
        <f t="shared" si="27"/>
        <v>4.6643282696721938E-2</v>
      </c>
      <c r="L479" s="218">
        <f t="shared" si="28"/>
        <v>361.7</v>
      </c>
      <c r="M479" s="218" t="s">
        <v>323</v>
      </c>
      <c r="P479" s="218">
        <v>474</v>
      </c>
      <c r="Q479" s="218">
        <v>384.7</v>
      </c>
      <c r="R479" s="218">
        <v>413</v>
      </c>
      <c r="S479" s="218">
        <v>288</v>
      </c>
      <c r="T479" s="218">
        <v>361.90000000000003</v>
      </c>
      <c r="U479" s="273">
        <v>2.7631942525559545E-3</v>
      </c>
      <c r="V479" s="218">
        <v>2.7631942525559545E-3</v>
      </c>
      <c r="W479" s="250">
        <v>4.7200618881792156E-5</v>
      </c>
      <c r="X479" s="250">
        <v>0.79889624724061814</v>
      </c>
      <c r="Z479" s="218">
        <v>471</v>
      </c>
      <c r="AA479" s="435">
        <v>0.79742457689477564</v>
      </c>
    </row>
    <row r="480" spans="1:27">
      <c r="A480" s="429">
        <v>0.68274305555555559</v>
      </c>
      <c r="B480" s="218">
        <v>384</v>
      </c>
      <c r="C480" s="218" t="s">
        <v>314</v>
      </c>
      <c r="D480" s="218">
        <v>192</v>
      </c>
      <c r="E480" s="218" t="s">
        <v>315</v>
      </c>
      <c r="F480" s="218">
        <v>22.7</v>
      </c>
      <c r="G480" s="218" t="s">
        <v>316</v>
      </c>
      <c r="H480" s="218">
        <v>423</v>
      </c>
      <c r="I480" s="218">
        <f t="shared" si="25"/>
        <v>383</v>
      </c>
      <c r="J480" s="218">
        <f t="shared" si="26"/>
        <v>2.6109660574412533E-3</v>
      </c>
      <c r="K480" s="218">
        <f t="shared" si="27"/>
        <v>4.6650117686401107E-2</v>
      </c>
      <c r="L480" s="218">
        <f t="shared" si="28"/>
        <v>362.7</v>
      </c>
      <c r="M480" s="218" t="s">
        <v>323</v>
      </c>
      <c r="P480" s="218">
        <v>475</v>
      </c>
      <c r="Q480" s="218">
        <v>385.7</v>
      </c>
      <c r="R480" s="218">
        <v>413</v>
      </c>
      <c r="S480" s="218">
        <v>288</v>
      </c>
      <c r="T480" s="218">
        <v>362.23333333333335</v>
      </c>
      <c r="U480" s="273">
        <v>2.7606515137572466E-3</v>
      </c>
      <c r="V480" s="218">
        <v>2.7619228831566008E-3</v>
      </c>
      <c r="W480" s="250">
        <v>4.7178901471797778E-5</v>
      </c>
      <c r="X480" s="250">
        <v>0.79963208241353945</v>
      </c>
      <c r="Z480" s="218">
        <v>472</v>
      </c>
      <c r="AA480" s="435">
        <v>0.80183958793230314</v>
      </c>
    </row>
    <row r="481" spans="1:27">
      <c r="A481" s="429">
        <v>0.68275462962962974</v>
      </c>
      <c r="B481" s="218">
        <v>384</v>
      </c>
      <c r="C481" s="218" t="s">
        <v>314</v>
      </c>
      <c r="D481" s="218">
        <v>192</v>
      </c>
      <c r="E481" s="218" t="s">
        <v>315</v>
      </c>
      <c r="F481" s="218">
        <v>22.7</v>
      </c>
      <c r="G481" s="218" t="s">
        <v>316</v>
      </c>
      <c r="H481" s="218">
        <v>424</v>
      </c>
      <c r="I481" s="218">
        <f t="shared" si="25"/>
        <v>384</v>
      </c>
      <c r="J481" s="218">
        <f t="shared" si="26"/>
        <v>2.6041666666666665E-3</v>
      </c>
      <c r="K481" s="218">
        <f t="shared" si="27"/>
        <v>4.6656917077175696E-2</v>
      </c>
      <c r="L481" s="218">
        <f t="shared" si="28"/>
        <v>363.7</v>
      </c>
      <c r="M481" s="218" t="s">
        <v>323</v>
      </c>
      <c r="P481" s="218">
        <v>476</v>
      </c>
      <c r="Q481" s="218">
        <v>386.7</v>
      </c>
      <c r="R481" s="218">
        <v>414</v>
      </c>
      <c r="S481" s="218">
        <v>289</v>
      </c>
      <c r="T481" s="218">
        <v>363.23333333333335</v>
      </c>
      <c r="U481" s="273">
        <v>2.753051298522529E-3</v>
      </c>
      <c r="V481" s="218">
        <v>2.7568514061398876E-3</v>
      </c>
      <c r="W481" s="250">
        <v>4.7092270988395381E-5</v>
      </c>
      <c r="X481" s="250">
        <v>0.80183958793230314</v>
      </c>
      <c r="Z481" s="218">
        <v>473</v>
      </c>
      <c r="AA481" s="435">
        <v>0.79889624724061814</v>
      </c>
    </row>
    <row r="482" spans="1:27">
      <c r="A482" s="429">
        <v>0.68276620370370367</v>
      </c>
      <c r="B482" s="218">
        <v>386</v>
      </c>
      <c r="C482" s="218" t="s">
        <v>314</v>
      </c>
      <c r="D482" s="218">
        <v>193</v>
      </c>
      <c r="E482" s="218" t="s">
        <v>315</v>
      </c>
      <c r="F482" s="218">
        <v>22.7</v>
      </c>
      <c r="G482" s="218" t="s">
        <v>316</v>
      </c>
      <c r="H482" s="218">
        <v>425</v>
      </c>
      <c r="I482" s="218">
        <f t="shared" si="25"/>
        <v>384</v>
      </c>
      <c r="J482" s="218">
        <f t="shared" si="26"/>
        <v>2.6041666666666665E-3</v>
      </c>
      <c r="K482" s="218">
        <f t="shared" si="27"/>
        <v>4.6656917077175696E-2</v>
      </c>
      <c r="L482" s="218">
        <f t="shared" si="28"/>
        <v>363.7</v>
      </c>
      <c r="M482" s="218" t="s">
        <v>323</v>
      </c>
      <c r="P482" s="218">
        <v>477</v>
      </c>
      <c r="Q482" s="218">
        <v>387.7</v>
      </c>
      <c r="R482" s="218">
        <v>413</v>
      </c>
      <c r="S482" s="218">
        <v>289</v>
      </c>
      <c r="T482" s="218">
        <v>363.23333333333335</v>
      </c>
      <c r="U482" s="273">
        <v>2.753051298522529E-3</v>
      </c>
      <c r="V482" s="218">
        <v>2.753051298522529E-3</v>
      </c>
      <c r="W482" s="250">
        <v>4.7027357914987377E-5</v>
      </c>
      <c r="X482" s="250">
        <v>0.80183958793230314</v>
      </c>
      <c r="Z482" s="218">
        <v>474</v>
      </c>
      <c r="AA482" s="435">
        <v>0.79889624724061814</v>
      </c>
    </row>
    <row r="483" spans="1:27">
      <c r="A483" s="429">
        <v>0.68277777777777782</v>
      </c>
      <c r="B483" s="218">
        <v>384</v>
      </c>
      <c r="C483" s="218" t="s">
        <v>314</v>
      </c>
      <c r="D483" s="218">
        <v>192</v>
      </c>
      <c r="E483" s="218" t="s">
        <v>315</v>
      </c>
      <c r="F483" s="218">
        <v>22.7</v>
      </c>
      <c r="G483" s="218" t="s">
        <v>316</v>
      </c>
      <c r="H483" s="218">
        <v>426</v>
      </c>
      <c r="I483" s="218">
        <f t="shared" si="25"/>
        <v>386</v>
      </c>
      <c r="J483" s="218">
        <f t="shared" si="26"/>
        <v>2.5906735751295338E-3</v>
      </c>
      <c r="K483" s="218">
        <f t="shared" si="27"/>
        <v>4.6670410168712824E-2</v>
      </c>
      <c r="L483" s="218">
        <f t="shared" si="28"/>
        <v>365.7</v>
      </c>
      <c r="M483" s="218" t="s">
        <v>323</v>
      </c>
      <c r="P483" s="218">
        <v>478</v>
      </c>
      <c r="Q483" s="218">
        <v>388.7</v>
      </c>
      <c r="R483" s="218">
        <v>413</v>
      </c>
      <c r="S483" s="218">
        <v>291</v>
      </c>
      <c r="T483" s="218">
        <v>364.23333333333335</v>
      </c>
      <c r="U483" s="273">
        <v>2.745492815960465E-3</v>
      </c>
      <c r="V483" s="218">
        <v>2.7492720572414968E-3</v>
      </c>
      <c r="W483" s="250">
        <v>4.696280127833277E-5</v>
      </c>
      <c r="X483" s="250">
        <v>0.80404709345106695</v>
      </c>
      <c r="Z483" s="218">
        <v>475</v>
      </c>
      <c r="AA483" s="435">
        <v>0.79963208241353945</v>
      </c>
    </row>
    <row r="484" spans="1:27">
      <c r="A484" s="429">
        <v>0.68278935185185186</v>
      </c>
      <c r="B484" s="218">
        <v>387</v>
      </c>
      <c r="C484" s="218" t="s">
        <v>314</v>
      </c>
      <c r="D484" s="218">
        <v>194</v>
      </c>
      <c r="E484" s="218" t="s">
        <v>315</v>
      </c>
      <c r="F484" s="218">
        <v>22.7</v>
      </c>
      <c r="G484" s="218" t="s">
        <v>316</v>
      </c>
      <c r="H484" s="218">
        <v>427</v>
      </c>
      <c r="I484" s="218">
        <f t="shared" si="25"/>
        <v>384</v>
      </c>
      <c r="J484" s="218">
        <f t="shared" si="26"/>
        <v>2.6041666666666665E-3</v>
      </c>
      <c r="K484" s="218">
        <f t="shared" si="27"/>
        <v>4.6656917077175696E-2</v>
      </c>
      <c r="L484" s="218">
        <f t="shared" si="28"/>
        <v>363.7</v>
      </c>
      <c r="M484" s="218" t="s">
        <v>323</v>
      </c>
      <c r="P484" s="218">
        <v>479</v>
      </c>
      <c r="Q484" s="218">
        <v>387.7</v>
      </c>
      <c r="R484" s="218">
        <v>414</v>
      </c>
      <c r="S484" s="218">
        <v>291</v>
      </c>
      <c r="T484" s="218">
        <v>364.23333333333335</v>
      </c>
      <c r="U484" s="273">
        <v>2.745492815960465E-3</v>
      </c>
      <c r="V484" s="218">
        <v>2.745492815960465E-3</v>
      </c>
      <c r="W484" s="250">
        <v>4.6898244641678176E-5</v>
      </c>
      <c r="X484" s="250">
        <v>0.80404709345106695</v>
      </c>
      <c r="Z484" s="218">
        <v>476</v>
      </c>
      <c r="AA484" s="435">
        <v>0.80183958793230314</v>
      </c>
    </row>
    <row r="485" spans="1:27">
      <c r="A485" s="429">
        <v>0.68280092592592589</v>
      </c>
      <c r="B485" s="218">
        <v>387</v>
      </c>
      <c r="C485" s="218" t="s">
        <v>314</v>
      </c>
      <c r="D485" s="218">
        <v>194</v>
      </c>
      <c r="E485" s="218" t="s">
        <v>315</v>
      </c>
      <c r="F485" s="218">
        <v>22.7</v>
      </c>
      <c r="G485" s="218" t="s">
        <v>316</v>
      </c>
      <c r="H485" s="218">
        <v>428</v>
      </c>
      <c r="I485" s="218">
        <f t="shared" si="25"/>
        <v>387</v>
      </c>
      <c r="J485" s="218">
        <f t="shared" si="26"/>
        <v>2.5839793281653748E-3</v>
      </c>
      <c r="K485" s="218">
        <f t="shared" si="27"/>
        <v>4.6677104415676983E-2</v>
      </c>
      <c r="L485" s="218">
        <f t="shared" si="28"/>
        <v>366.7</v>
      </c>
      <c r="M485" s="218" t="s">
        <v>323</v>
      </c>
      <c r="P485" s="218">
        <v>480</v>
      </c>
      <c r="Q485" s="218">
        <v>388.7</v>
      </c>
      <c r="R485" s="218">
        <v>414</v>
      </c>
      <c r="S485" s="218">
        <v>292</v>
      </c>
      <c r="T485" s="218">
        <v>364.90000000000003</v>
      </c>
      <c r="U485" s="273">
        <v>2.7404768429706767E-3</v>
      </c>
      <c r="V485" s="218">
        <v>2.7429848294655708E-3</v>
      </c>
      <c r="W485" s="250">
        <v>4.685540345720601E-5</v>
      </c>
      <c r="X485" s="250">
        <v>0.80551876379690956</v>
      </c>
      <c r="Z485" s="218">
        <v>477</v>
      </c>
      <c r="AA485" s="435">
        <v>0.80183958793230314</v>
      </c>
    </row>
    <row r="486" spans="1:27">
      <c r="A486" s="429">
        <v>0.68281249999999993</v>
      </c>
      <c r="B486" s="218">
        <v>387</v>
      </c>
      <c r="C486" s="218" t="s">
        <v>314</v>
      </c>
      <c r="D486" s="218">
        <v>194</v>
      </c>
      <c r="E486" s="218" t="s">
        <v>315</v>
      </c>
      <c r="F486" s="218">
        <v>22.7</v>
      </c>
      <c r="G486" s="218" t="s">
        <v>316</v>
      </c>
      <c r="H486" s="218">
        <v>429</v>
      </c>
      <c r="I486" s="218">
        <f t="shared" si="25"/>
        <v>387</v>
      </c>
      <c r="J486" s="218">
        <f t="shared" si="26"/>
        <v>2.5839793281653748E-3</v>
      </c>
      <c r="K486" s="218">
        <f t="shared" si="27"/>
        <v>4.6677104415676983E-2</v>
      </c>
      <c r="L486" s="218">
        <f t="shared" si="28"/>
        <v>366.7</v>
      </c>
      <c r="M486" s="218" t="s">
        <v>323</v>
      </c>
      <c r="P486" s="218">
        <v>481</v>
      </c>
      <c r="Q486" s="218">
        <v>389.7</v>
      </c>
      <c r="R486" s="218">
        <v>414</v>
      </c>
      <c r="S486" s="218">
        <v>292</v>
      </c>
      <c r="T486" s="218">
        <v>365.23333333333335</v>
      </c>
      <c r="U486" s="273">
        <v>2.7379757232819202E-3</v>
      </c>
      <c r="V486" s="218">
        <v>2.7392262831262984E-3</v>
      </c>
      <c r="W486" s="250">
        <v>4.6791200329559283E-5</v>
      </c>
      <c r="X486" s="250">
        <v>0.80625459896983076</v>
      </c>
      <c r="Z486" s="218">
        <v>478</v>
      </c>
      <c r="AA486" s="435">
        <v>0.80404709345106695</v>
      </c>
    </row>
    <row r="487" spans="1:27">
      <c r="A487" s="429">
        <v>0.68282407407407408</v>
      </c>
      <c r="B487" s="218">
        <v>388</v>
      </c>
      <c r="C487" s="218" t="s">
        <v>314</v>
      </c>
      <c r="D487" s="218">
        <v>194</v>
      </c>
      <c r="E487" s="218" t="s">
        <v>315</v>
      </c>
      <c r="F487" s="218">
        <v>22.7</v>
      </c>
      <c r="G487" s="218" t="s">
        <v>316</v>
      </c>
      <c r="H487" s="218">
        <v>430</v>
      </c>
      <c r="I487" s="218">
        <f t="shared" si="25"/>
        <v>387</v>
      </c>
      <c r="J487" s="218">
        <f t="shared" si="26"/>
        <v>2.5839793281653748E-3</v>
      </c>
      <c r="K487" s="218">
        <f t="shared" si="27"/>
        <v>4.6677104415676983E-2</v>
      </c>
      <c r="L487" s="218">
        <f t="shared" si="28"/>
        <v>366.7</v>
      </c>
      <c r="M487" s="218" t="s">
        <v>323</v>
      </c>
      <c r="P487" s="218">
        <v>482</v>
      </c>
      <c r="Q487" s="218">
        <v>388.7</v>
      </c>
      <c r="R487" s="218">
        <v>415</v>
      </c>
      <c r="S487" s="218">
        <v>294</v>
      </c>
      <c r="T487" s="218">
        <v>365.90000000000003</v>
      </c>
      <c r="U487" s="273">
        <v>2.7329871549603714E-3</v>
      </c>
      <c r="V487" s="218">
        <v>2.7354814391211458E-3</v>
      </c>
      <c r="W487" s="250">
        <v>4.6727231263868205E-5</v>
      </c>
      <c r="X487" s="250">
        <v>0.80772626931567337</v>
      </c>
      <c r="Z487" s="218">
        <v>479</v>
      </c>
      <c r="AA487" s="435">
        <v>0.80404709345106695</v>
      </c>
    </row>
    <row r="488" spans="1:27">
      <c r="A488" s="429">
        <v>0.68283564814814823</v>
      </c>
      <c r="B488" s="218">
        <v>389</v>
      </c>
      <c r="C488" s="218" t="s">
        <v>314</v>
      </c>
      <c r="D488" s="218">
        <v>195</v>
      </c>
      <c r="E488" s="218" t="s">
        <v>315</v>
      </c>
      <c r="F488" s="218">
        <v>22.7</v>
      </c>
      <c r="G488" s="218" t="s">
        <v>316</v>
      </c>
      <c r="H488" s="218">
        <v>431</v>
      </c>
      <c r="I488" s="218">
        <f t="shared" si="25"/>
        <v>388</v>
      </c>
      <c r="J488" s="218">
        <f t="shared" si="26"/>
        <v>2.5773195876288659E-3</v>
      </c>
      <c r="K488" s="218">
        <f t="shared" si="27"/>
        <v>4.6683764156213496E-2</v>
      </c>
      <c r="L488" s="218">
        <f t="shared" si="28"/>
        <v>367.7</v>
      </c>
      <c r="M488" s="218" t="s">
        <v>323</v>
      </c>
      <c r="P488" s="218">
        <v>483</v>
      </c>
      <c r="Q488" s="218">
        <v>391.7</v>
      </c>
      <c r="R488" s="218">
        <v>415</v>
      </c>
      <c r="S488" s="218">
        <v>294</v>
      </c>
      <c r="T488" s="218">
        <v>366.90000000000003</v>
      </c>
      <c r="U488" s="273">
        <v>2.7255382938130277E-3</v>
      </c>
      <c r="V488" s="218">
        <v>2.7292627243866996E-3</v>
      </c>
      <c r="W488" s="250">
        <v>4.662100377593692E-5</v>
      </c>
      <c r="X488" s="250">
        <v>0.80993377483443718</v>
      </c>
      <c r="Z488" s="218">
        <v>480</v>
      </c>
      <c r="AA488" s="435">
        <v>0.80551876379690956</v>
      </c>
    </row>
    <row r="489" spans="1:27">
      <c r="A489" s="429">
        <v>0.68284722222222216</v>
      </c>
      <c r="B489" s="218">
        <v>388</v>
      </c>
      <c r="C489" s="218" t="s">
        <v>314</v>
      </c>
      <c r="D489" s="218">
        <v>194</v>
      </c>
      <c r="E489" s="218" t="s">
        <v>315</v>
      </c>
      <c r="F489" s="218">
        <v>22.7</v>
      </c>
      <c r="G489" s="218" t="s">
        <v>316</v>
      </c>
      <c r="H489" s="218">
        <v>432</v>
      </c>
      <c r="I489" s="218">
        <f t="shared" si="25"/>
        <v>389</v>
      </c>
      <c r="J489" s="218">
        <f t="shared" si="26"/>
        <v>2.5706940874035988E-3</v>
      </c>
      <c r="K489" s="218">
        <f t="shared" si="27"/>
        <v>4.6690389656438763E-2</v>
      </c>
      <c r="L489" s="218">
        <f t="shared" si="28"/>
        <v>368.7</v>
      </c>
      <c r="M489" s="218" t="s">
        <v>323</v>
      </c>
      <c r="P489" s="218">
        <v>484</v>
      </c>
      <c r="Q489" s="218">
        <v>388.7</v>
      </c>
      <c r="R489" s="218">
        <v>415</v>
      </c>
      <c r="S489" s="218">
        <v>296</v>
      </c>
      <c r="T489" s="218">
        <v>366.56666666666666</v>
      </c>
      <c r="U489" s="273">
        <v>2.7280167318359553E-3</v>
      </c>
      <c r="V489" s="218">
        <v>2.7267775128244917E-3</v>
      </c>
      <c r="W489" s="250">
        <v>4.6578551630677897E-5</v>
      </c>
      <c r="X489" s="250">
        <v>0.80919793966151576</v>
      </c>
      <c r="Z489" s="218">
        <v>481</v>
      </c>
      <c r="AA489" s="435">
        <v>0.80625459896983076</v>
      </c>
    </row>
    <row r="490" spans="1:27">
      <c r="A490" s="429">
        <v>0.68285879629629631</v>
      </c>
      <c r="B490" s="218">
        <v>389</v>
      </c>
      <c r="C490" s="218" t="s">
        <v>314</v>
      </c>
      <c r="D490" s="218">
        <v>195</v>
      </c>
      <c r="E490" s="218" t="s">
        <v>315</v>
      </c>
      <c r="F490" s="218">
        <v>22.7</v>
      </c>
      <c r="G490" s="218" t="s">
        <v>316</v>
      </c>
      <c r="H490" s="218">
        <v>433</v>
      </c>
      <c r="I490" s="218">
        <f t="shared" si="25"/>
        <v>388</v>
      </c>
      <c r="J490" s="218">
        <f t="shared" si="26"/>
        <v>2.5773195876288659E-3</v>
      </c>
      <c r="K490" s="218">
        <f t="shared" si="27"/>
        <v>4.6683764156213496E-2</v>
      </c>
      <c r="L490" s="218">
        <f t="shared" si="28"/>
        <v>367.7</v>
      </c>
      <c r="M490" s="218" t="s">
        <v>323</v>
      </c>
      <c r="P490" s="218">
        <v>485</v>
      </c>
      <c r="Q490" s="218">
        <v>390.7</v>
      </c>
      <c r="R490" s="218">
        <v>416</v>
      </c>
      <c r="S490" s="218">
        <v>296</v>
      </c>
      <c r="T490" s="218">
        <v>367.56666666666666</v>
      </c>
      <c r="U490" s="273">
        <v>2.7205949034188812E-3</v>
      </c>
      <c r="V490" s="218">
        <v>2.7243058176274182E-3</v>
      </c>
      <c r="W490" s="250">
        <v>4.6536330370670168E-5</v>
      </c>
      <c r="X490" s="250">
        <v>0.81140544518027957</v>
      </c>
      <c r="Z490" s="218">
        <v>482</v>
      </c>
      <c r="AA490" s="435">
        <v>0.80772626931567337</v>
      </c>
    </row>
    <row r="491" spans="1:27">
      <c r="A491" s="429">
        <v>0.68287037037037035</v>
      </c>
      <c r="B491" s="218">
        <v>390</v>
      </c>
      <c r="C491" s="218" t="s">
        <v>314</v>
      </c>
      <c r="D491" s="218">
        <v>195</v>
      </c>
      <c r="E491" s="218" t="s">
        <v>315</v>
      </c>
      <c r="F491" s="218">
        <v>22.7</v>
      </c>
      <c r="G491" s="218" t="s">
        <v>316</v>
      </c>
      <c r="H491" s="218">
        <v>434</v>
      </c>
      <c r="I491" s="218">
        <f t="shared" si="25"/>
        <v>389</v>
      </c>
      <c r="J491" s="218">
        <f t="shared" si="26"/>
        <v>2.5706940874035988E-3</v>
      </c>
      <c r="K491" s="218">
        <f t="shared" si="27"/>
        <v>4.6690389656438763E-2</v>
      </c>
      <c r="L491" s="218">
        <f t="shared" si="28"/>
        <v>368.7</v>
      </c>
      <c r="M491" s="218" t="s">
        <v>323</v>
      </c>
      <c r="P491" s="218">
        <v>486</v>
      </c>
      <c r="Q491" s="218">
        <v>390.7</v>
      </c>
      <c r="R491" s="218">
        <v>414</v>
      </c>
      <c r="S491" s="218">
        <v>300</v>
      </c>
      <c r="T491" s="218">
        <v>368.23333333333335</v>
      </c>
      <c r="U491" s="273">
        <v>2.7156694125101835E-3</v>
      </c>
      <c r="V491" s="218">
        <v>2.7181321579645324E-3</v>
      </c>
      <c r="W491" s="250">
        <v>4.6430872509144789E-5</v>
      </c>
      <c r="X491" s="250">
        <v>0.81287711552612218</v>
      </c>
      <c r="Z491" s="218">
        <v>483</v>
      </c>
      <c r="AA491" s="435">
        <v>0.80993377483443718</v>
      </c>
    </row>
    <row r="492" spans="1:27">
      <c r="A492" s="429">
        <v>0.6828819444444445</v>
      </c>
      <c r="B492" s="218">
        <v>390</v>
      </c>
      <c r="C492" s="218" t="s">
        <v>314</v>
      </c>
      <c r="D492" s="218">
        <v>195</v>
      </c>
      <c r="E492" s="218" t="s">
        <v>315</v>
      </c>
      <c r="F492" s="218">
        <v>22.7</v>
      </c>
      <c r="G492" s="218" t="s">
        <v>316</v>
      </c>
      <c r="H492" s="218">
        <v>435</v>
      </c>
      <c r="I492" s="218">
        <f t="shared" si="25"/>
        <v>390</v>
      </c>
      <c r="J492" s="218">
        <f t="shared" si="26"/>
        <v>2.5641025641025641E-3</v>
      </c>
      <c r="K492" s="218">
        <f t="shared" si="27"/>
        <v>4.6696981179739798E-2</v>
      </c>
      <c r="L492" s="218">
        <f t="shared" si="28"/>
        <v>369.7</v>
      </c>
      <c r="M492" s="218" t="s">
        <v>323</v>
      </c>
      <c r="P492" s="218">
        <v>487</v>
      </c>
      <c r="Q492" s="218">
        <v>391.7</v>
      </c>
      <c r="R492" s="218">
        <v>416</v>
      </c>
      <c r="S492" s="218">
        <v>300</v>
      </c>
      <c r="T492" s="218">
        <v>369.23333333333335</v>
      </c>
      <c r="U492" s="273">
        <v>2.708314525593572E-3</v>
      </c>
      <c r="V492" s="218">
        <v>2.7119919690518778E-3</v>
      </c>
      <c r="W492" s="250">
        <v>4.632598639176078E-5</v>
      </c>
      <c r="X492" s="250">
        <v>0.81508462104488599</v>
      </c>
      <c r="Z492" s="218">
        <v>484</v>
      </c>
      <c r="AA492" s="435">
        <v>0.80919793966151576</v>
      </c>
    </row>
    <row r="493" spans="1:27">
      <c r="A493" s="429">
        <v>0.68289351851851843</v>
      </c>
      <c r="B493" s="218">
        <v>392</v>
      </c>
      <c r="C493" s="218" t="s">
        <v>314</v>
      </c>
      <c r="D493" s="218">
        <v>196</v>
      </c>
      <c r="E493" s="218" t="s">
        <v>315</v>
      </c>
      <c r="F493" s="218">
        <v>22.7</v>
      </c>
      <c r="G493" s="218" t="s">
        <v>316</v>
      </c>
      <c r="H493" s="218">
        <v>436</v>
      </c>
      <c r="I493" s="218">
        <f t="shared" si="25"/>
        <v>390</v>
      </c>
      <c r="J493" s="218">
        <f t="shared" si="26"/>
        <v>2.5641025641025641E-3</v>
      </c>
      <c r="K493" s="218">
        <f t="shared" si="27"/>
        <v>4.6696981179739798E-2</v>
      </c>
      <c r="L493" s="218">
        <f t="shared" si="28"/>
        <v>369.7</v>
      </c>
      <c r="M493" s="218" t="s">
        <v>323</v>
      </c>
      <c r="P493" s="218">
        <v>488</v>
      </c>
      <c r="Q493" s="218">
        <v>391.7</v>
      </c>
      <c r="R493" s="218">
        <v>415</v>
      </c>
      <c r="S493" s="218">
        <v>298</v>
      </c>
      <c r="T493" s="218">
        <v>368.23333333333335</v>
      </c>
      <c r="U493" s="273">
        <v>2.7156694125101835E-3</v>
      </c>
      <c r="V493" s="218">
        <v>2.7119919690518778E-3</v>
      </c>
      <c r="W493" s="250">
        <v>4.632598639176078E-5</v>
      </c>
      <c r="X493" s="250">
        <v>0.81287711552612218</v>
      </c>
      <c r="Z493" s="218">
        <v>485</v>
      </c>
      <c r="AA493" s="435">
        <v>0.81140544518027957</v>
      </c>
    </row>
    <row r="494" spans="1:27">
      <c r="A494" s="429">
        <v>0.68290509259259258</v>
      </c>
      <c r="B494" s="218">
        <v>390</v>
      </c>
      <c r="C494" s="218" t="s">
        <v>314</v>
      </c>
      <c r="D494" s="218">
        <v>195</v>
      </c>
      <c r="E494" s="218" t="s">
        <v>315</v>
      </c>
      <c r="F494" s="218">
        <v>22.7</v>
      </c>
      <c r="G494" s="218" t="s">
        <v>316</v>
      </c>
      <c r="H494" s="218">
        <v>437</v>
      </c>
      <c r="I494" s="218">
        <f t="shared" si="25"/>
        <v>392</v>
      </c>
      <c r="J494" s="218">
        <f t="shared" si="26"/>
        <v>2.5510204081632651E-3</v>
      </c>
      <c r="K494" s="218">
        <f t="shared" si="27"/>
        <v>4.6710063335679092E-2</v>
      </c>
      <c r="L494" s="218">
        <f t="shared" si="28"/>
        <v>371.7</v>
      </c>
      <c r="M494" s="218" t="s">
        <v>323</v>
      </c>
      <c r="P494" s="218">
        <v>489</v>
      </c>
      <c r="Q494" s="218">
        <v>391.7</v>
      </c>
      <c r="R494" s="218">
        <v>416</v>
      </c>
      <c r="S494" s="218">
        <v>298</v>
      </c>
      <c r="T494" s="218">
        <v>368.56666666666666</v>
      </c>
      <c r="U494" s="273">
        <v>2.713213349009677E-3</v>
      </c>
      <c r="V494" s="218">
        <v>2.7144413807599303E-3</v>
      </c>
      <c r="W494" s="250">
        <v>4.6367827007348859E-5</v>
      </c>
      <c r="X494" s="250">
        <v>0.81361295069904338</v>
      </c>
      <c r="Z494" s="218">
        <v>486</v>
      </c>
      <c r="AA494" s="435">
        <v>0.81287711552612218</v>
      </c>
    </row>
    <row r="495" spans="1:27">
      <c r="A495" s="429">
        <v>0.68291666666666673</v>
      </c>
      <c r="B495" s="218">
        <v>392</v>
      </c>
      <c r="C495" s="218" t="s">
        <v>314</v>
      </c>
      <c r="D495" s="218">
        <v>196</v>
      </c>
      <c r="E495" s="218" t="s">
        <v>315</v>
      </c>
      <c r="F495" s="218">
        <v>22.7</v>
      </c>
      <c r="G495" s="218" t="s">
        <v>316</v>
      </c>
      <c r="H495" s="218">
        <v>438</v>
      </c>
      <c r="I495" s="218">
        <f t="shared" si="25"/>
        <v>390</v>
      </c>
      <c r="J495" s="218">
        <f t="shared" si="26"/>
        <v>2.5641025641025641E-3</v>
      </c>
      <c r="K495" s="218">
        <f t="shared" si="27"/>
        <v>4.6696981179739798E-2</v>
      </c>
      <c r="L495" s="218">
        <f t="shared" si="28"/>
        <v>369.7</v>
      </c>
      <c r="M495" s="218" t="s">
        <v>323</v>
      </c>
      <c r="P495" s="218">
        <v>490</v>
      </c>
      <c r="Q495" s="218">
        <v>391.7</v>
      </c>
      <c r="R495" s="218">
        <v>416</v>
      </c>
      <c r="S495" s="218">
        <v>301</v>
      </c>
      <c r="T495" s="218">
        <v>369.56666666666666</v>
      </c>
      <c r="U495" s="273">
        <v>2.7058717416794443E-3</v>
      </c>
      <c r="V495" s="218">
        <v>2.7095425453445609E-3</v>
      </c>
      <c r="W495" s="250">
        <v>4.6284145571202417E-5</v>
      </c>
      <c r="X495" s="250">
        <v>0.81582045621780719</v>
      </c>
      <c r="Z495" s="218">
        <v>487</v>
      </c>
      <c r="AA495" s="435">
        <v>0.81508462104488599</v>
      </c>
    </row>
    <row r="496" spans="1:27">
      <c r="A496" s="429">
        <v>0.68292824074074077</v>
      </c>
      <c r="B496" s="218">
        <v>392</v>
      </c>
      <c r="C496" s="218" t="s">
        <v>314</v>
      </c>
      <c r="D496" s="218">
        <v>196</v>
      </c>
      <c r="E496" s="218" t="s">
        <v>315</v>
      </c>
      <c r="F496" s="218">
        <v>22.7</v>
      </c>
      <c r="G496" s="218" t="s">
        <v>316</v>
      </c>
      <c r="H496" s="218">
        <v>439</v>
      </c>
      <c r="I496" s="218">
        <f t="shared" si="25"/>
        <v>392</v>
      </c>
      <c r="J496" s="218">
        <f t="shared" si="26"/>
        <v>2.5510204081632651E-3</v>
      </c>
      <c r="K496" s="218">
        <f t="shared" si="27"/>
        <v>4.6710063335679092E-2</v>
      </c>
      <c r="L496" s="218">
        <f t="shared" si="28"/>
        <v>371.7</v>
      </c>
      <c r="M496" s="218" t="s">
        <v>323</v>
      </c>
      <c r="P496" s="218">
        <v>491</v>
      </c>
      <c r="Q496" s="218">
        <v>392.7</v>
      </c>
      <c r="R496" s="218">
        <v>417</v>
      </c>
      <c r="S496" s="218">
        <v>301</v>
      </c>
      <c r="T496" s="218">
        <v>370.23333333333335</v>
      </c>
      <c r="U496" s="273">
        <v>2.7009993697668135E-3</v>
      </c>
      <c r="V496" s="218">
        <v>2.7034355557231287E-3</v>
      </c>
      <c r="W496" s="250">
        <v>4.6179826560923045E-5</v>
      </c>
      <c r="X496" s="250">
        <v>0.8172921265636498</v>
      </c>
      <c r="Z496" s="218">
        <v>488</v>
      </c>
      <c r="AA496" s="435">
        <v>0.81287711552612218</v>
      </c>
    </row>
    <row r="497" spans="1:27">
      <c r="A497" s="429">
        <v>0.68293981481481481</v>
      </c>
      <c r="B497" s="218">
        <v>392</v>
      </c>
      <c r="C497" s="218" t="s">
        <v>314</v>
      </c>
      <c r="D497" s="218">
        <v>196</v>
      </c>
      <c r="E497" s="218" t="s">
        <v>315</v>
      </c>
      <c r="F497" s="218">
        <v>22.7</v>
      </c>
      <c r="G497" s="218" t="s">
        <v>316</v>
      </c>
      <c r="H497" s="218">
        <v>440</v>
      </c>
      <c r="I497" s="218">
        <f t="shared" si="25"/>
        <v>392</v>
      </c>
      <c r="J497" s="218">
        <f t="shared" si="26"/>
        <v>2.5510204081632651E-3</v>
      </c>
      <c r="K497" s="218">
        <f t="shared" si="27"/>
        <v>4.6710063335679092E-2</v>
      </c>
      <c r="L497" s="218">
        <f t="shared" si="28"/>
        <v>371.7</v>
      </c>
      <c r="M497" s="218" t="s">
        <v>323</v>
      </c>
      <c r="P497" s="218">
        <v>492</v>
      </c>
      <c r="Q497" s="218">
        <v>392.7</v>
      </c>
      <c r="R497" s="218">
        <v>417</v>
      </c>
      <c r="S497" s="218">
        <v>301</v>
      </c>
      <c r="T497" s="218">
        <v>370.23333333333335</v>
      </c>
      <c r="U497" s="273">
        <v>2.7009993697668135E-3</v>
      </c>
      <c r="V497" s="218">
        <v>2.7009993697668135E-3</v>
      </c>
      <c r="W497" s="250">
        <v>4.6138211866356115E-5</v>
      </c>
      <c r="X497" s="250">
        <v>0.8172921265636498</v>
      </c>
      <c r="Z497" s="218">
        <v>489</v>
      </c>
      <c r="AA497" s="435">
        <v>0.81361295069904338</v>
      </c>
    </row>
    <row r="498" spans="1:27">
      <c r="A498" s="429">
        <v>0.68295138888888884</v>
      </c>
      <c r="B498" s="218">
        <v>393</v>
      </c>
      <c r="C498" s="218" t="s">
        <v>314</v>
      </c>
      <c r="D498" s="218">
        <v>197</v>
      </c>
      <c r="E498" s="218" t="s">
        <v>315</v>
      </c>
      <c r="F498" s="218">
        <v>22.7</v>
      </c>
      <c r="G498" s="218" t="s">
        <v>316</v>
      </c>
      <c r="H498" s="218">
        <v>441</v>
      </c>
      <c r="I498" s="218">
        <f t="shared" si="25"/>
        <v>392</v>
      </c>
      <c r="J498" s="218">
        <f t="shared" si="26"/>
        <v>2.5510204081632651E-3</v>
      </c>
      <c r="K498" s="218">
        <f t="shared" si="27"/>
        <v>4.6710063335679092E-2</v>
      </c>
      <c r="L498" s="218">
        <f t="shared" si="28"/>
        <v>371.7</v>
      </c>
      <c r="M498" s="218" t="s">
        <v>323</v>
      </c>
      <c r="P498" s="218">
        <v>493</v>
      </c>
      <c r="Q498" s="218">
        <v>392.7</v>
      </c>
      <c r="R498" s="218">
        <v>417</v>
      </c>
      <c r="S498" s="218">
        <v>301</v>
      </c>
      <c r="T498" s="218">
        <v>370.23333333333335</v>
      </c>
      <c r="U498" s="273">
        <v>2.7009993697668135E-3</v>
      </c>
      <c r="V498" s="218">
        <v>2.7009993697668135E-3</v>
      </c>
      <c r="W498" s="250">
        <v>4.6138211866356115E-5</v>
      </c>
      <c r="X498" s="250">
        <v>0.8172921265636498</v>
      </c>
      <c r="Z498" s="218">
        <v>490</v>
      </c>
      <c r="AA498" s="435">
        <v>0.81582045621780719</v>
      </c>
    </row>
    <row r="499" spans="1:27">
      <c r="A499" s="429">
        <v>0.68296296296296299</v>
      </c>
      <c r="B499" s="218">
        <v>394</v>
      </c>
      <c r="C499" s="218" t="s">
        <v>314</v>
      </c>
      <c r="D499" s="218">
        <v>197</v>
      </c>
      <c r="E499" s="218" t="s">
        <v>315</v>
      </c>
      <c r="F499" s="218">
        <v>22.7</v>
      </c>
      <c r="G499" s="218" t="s">
        <v>316</v>
      </c>
      <c r="H499" s="218">
        <v>442</v>
      </c>
      <c r="I499" s="218">
        <f t="shared" si="25"/>
        <v>393</v>
      </c>
      <c r="J499" s="218">
        <f t="shared" si="26"/>
        <v>2.5445292620865142E-3</v>
      </c>
      <c r="K499" s="218">
        <f t="shared" si="27"/>
        <v>4.6716554481755844E-2</v>
      </c>
      <c r="L499" s="218">
        <f t="shared" si="28"/>
        <v>372.7</v>
      </c>
      <c r="M499" s="218" t="s">
        <v>323</v>
      </c>
      <c r="P499" s="218">
        <v>494</v>
      </c>
      <c r="Q499" s="218">
        <v>394.7</v>
      </c>
      <c r="R499" s="218">
        <v>418</v>
      </c>
      <c r="S499" s="218">
        <v>301</v>
      </c>
      <c r="T499" s="218">
        <v>371.23333333333335</v>
      </c>
      <c r="U499" s="273">
        <v>2.6937236239561822E-3</v>
      </c>
      <c r="V499" s="218">
        <v>2.6973614968614978E-3</v>
      </c>
      <c r="W499" s="250">
        <v>4.6076070070720369E-5</v>
      </c>
      <c r="X499" s="250">
        <v>0.81949963208241361</v>
      </c>
      <c r="Z499" s="218">
        <v>491</v>
      </c>
      <c r="AA499" s="435">
        <v>0.8172921265636498</v>
      </c>
    </row>
    <row r="500" spans="1:27">
      <c r="A500" s="429">
        <v>0.68297453703703714</v>
      </c>
      <c r="B500" s="218">
        <v>393</v>
      </c>
      <c r="C500" s="218" t="s">
        <v>314</v>
      </c>
      <c r="D500" s="218">
        <v>197</v>
      </c>
      <c r="E500" s="218" t="s">
        <v>315</v>
      </c>
      <c r="F500" s="218">
        <v>22.7</v>
      </c>
      <c r="G500" s="218" t="s">
        <v>316</v>
      </c>
      <c r="H500" s="218">
        <v>443</v>
      </c>
      <c r="I500" s="218">
        <f t="shared" si="25"/>
        <v>394</v>
      </c>
      <c r="J500" s="218">
        <f t="shared" si="26"/>
        <v>2.5380710659898475E-3</v>
      </c>
      <c r="K500" s="218">
        <f t="shared" si="27"/>
        <v>4.6723012677852511E-2</v>
      </c>
      <c r="L500" s="218">
        <f t="shared" si="28"/>
        <v>373.7</v>
      </c>
      <c r="M500" s="218" t="s">
        <v>323</v>
      </c>
      <c r="P500" s="218">
        <v>495</v>
      </c>
      <c r="Q500" s="218">
        <v>393.7</v>
      </c>
      <c r="R500" s="218">
        <v>417</v>
      </c>
      <c r="S500" s="218">
        <v>301</v>
      </c>
      <c r="T500" s="218">
        <v>370.56666666666666</v>
      </c>
      <c r="U500" s="273">
        <v>2.6985697580282453E-3</v>
      </c>
      <c r="V500" s="218">
        <v>2.6961466909922139E-3</v>
      </c>
      <c r="W500" s="250">
        <v>4.6055318873515034E-5</v>
      </c>
      <c r="X500" s="250">
        <v>0.818027961736571</v>
      </c>
      <c r="Z500" s="218">
        <v>492</v>
      </c>
      <c r="AA500" s="435">
        <v>0.8172921265636498</v>
      </c>
    </row>
    <row r="501" spans="1:27">
      <c r="A501" s="429">
        <v>0.68298611111111107</v>
      </c>
      <c r="B501" s="218">
        <v>394</v>
      </c>
      <c r="C501" s="218" t="s">
        <v>314</v>
      </c>
      <c r="D501" s="218">
        <v>197</v>
      </c>
      <c r="E501" s="218" t="s">
        <v>315</v>
      </c>
      <c r="F501" s="218">
        <v>22.7</v>
      </c>
      <c r="G501" s="218" t="s">
        <v>316</v>
      </c>
      <c r="H501" s="218">
        <v>444</v>
      </c>
      <c r="I501" s="218">
        <f t="shared" si="25"/>
        <v>393</v>
      </c>
      <c r="J501" s="218">
        <f t="shared" si="26"/>
        <v>2.5445292620865142E-3</v>
      </c>
      <c r="K501" s="218">
        <f t="shared" si="27"/>
        <v>4.6716554481755844E-2</v>
      </c>
      <c r="L501" s="218">
        <f t="shared" si="28"/>
        <v>372.7</v>
      </c>
      <c r="M501" s="218" t="s">
        <v>323</v>
      </c>
      <c r="P501" s="218">
        <v>496</v>
      </c>
      <c r="Q501" s="218">
        <v>395.7</v>
      </c>
      <c r="R501" s="218">
        <v>418</v>
      </c>
      <c r="S501" s="218">
        <v>303</v>
      </c>
      <c r="T501" s="218">
        <v>372.23333333333335</v>
      </c>
      <c r="U501" s="273">
        <v>2.6864869705381929E-3</v>
      </c>
      <c r="V501" s="218">
        <v>2.6925283642832191E-3</v>
      </c>
      <c r="W501" s="250">
        <v>4.5993510964127886E-5</v>
      </c>
      <c r="X501" s="250">
        <v>0.82170713760117742</v>
      </c>
      <c r="Z501" s="218">
        <v>493</v>
      </c>
      <c r="AA501" s="435">
        <v>0.8172921265636498</v>
      </c>
    </row>
    <row r="502" spans="1:27">
      <c r="A502" s="429">
        <v>0.68299768518518522</v>
      </c>
      <c r="B502" s="218">
        <v>395</v>
      </c>
      <c r="C502" s="218" t="s">
        <v>314</v>
      </c>
      <c r="D502" s="218">
        <v>198</v>
      </c>
      <c r="E502" s="218" t="s">
        <v>315</v>
      </c>
      <c r="F502" s="218">
        <v>22.7</v>
      </c>
      <c r="G502" s="218" t="s">
        <v>316</v>
      </c>
      <c r="H502" s="218">
        <v>445</v>
      </c>
      <c r="I502" s="218">
        <f t="shared" si="25"/>
        <v>394</v>
      </c>
      <c r="J502" s="218">
        <f t="shared" si="26"/>
        <v>2.5380710659898475E-3</v>
      </c>
      <c r="K502" s="218">
        <f t="shared" si="27"/>
        <v>4.6723012677852511E-2</v>
      </c>
      <c r="L502" s="218">
        <f t="shared" si="28"/>
        <v>373.7</v>
      </c>
      <c r="M502" s="218" t="s">
        <v>323</v>
      </c>
      <c r="P502" s="218">
        <v>497</v>
      </c>
      <c r="Q502" s="218">
        <v>394.7</v>
      </c>
      <c r="R502" s="218">
        <v>418</v>
      </c>
      <c r="S502" s="218">
        <v>303</v>
      </c>
      <c r="T502" s="218">
        <v>371.90000000000003</v>
      </c>
      <c r="U502" s="273">
        <v>2.6888948642108091E-3</v>
      </c>
      <c r="V502" s="218">
        <v>2.687690917374501E-3</v>
      </c>
      <c r="W502" s="250">
        <v>4.5910878160557129E-5</v>
      </c>
      <c r="X502" s="250">
        <v>0.82097130242825611</v>
      </c>
      <c r="Z502" s="218">
        <v>494</v>
      </c>
      <c r="AA502" s="435">
        <v>0.81949963208241361</v>
      </c>
    </row>
    <row r="503" spans="1:27">
      <c r="A503" s="429">
        <v>0.68300925925925926</v>
      </c>
      <c r="B503" s="218">
        <v>396</v>
      </c>
      <c r="C503" s="218" t="s">
        <v>314</v>
      </c>
      <c r="D503" s="218">
        <v>198</v>
      </c>
      <c r="E503" s="218" t="s">
        <v>315</v>
      </c>
      <c r="F503" s="218">
        <v>22.7</v>
      </c>
      <c r="G503" s="218" t="s">
        <v>316</v>
      </c>
      <c r="H503" s="218">
        <v>446</v>
      </c>
      <c r="I503" s="218">
        <f t="shared" si="25"/>
        <v>395</v>
      </c>
      <c r="J503" s="218">
        <f t="shared" si="26"/>
        <v>2.5316455696202532E-3</v>
      </c>
      <c r="K503" s="218">
        <f t="shared" si="27"/>
        <v>4.6729438174222107E-2</v>
      </c>
      <c r="L503" s="218">
        <f t="shared" si="28"/>
        <v>374.7</v>
      </c>
      <c r="M503" s="218" t="s">
        <v>323</v>
      </c>
      <c r="P503" s="218">
        <v>498</v>
      </c>
      <c r="Q503" s="218">
        <v>395.7</v>
      </c>
      <c r="R503" s="218">
        <v>419</v>
      </c>
      <c r="S503" s="218">
        <v>303</v>
      </c>
      <c r="T503" s="218">
        <v>372.56666666666666</v>
      </c>
      <c r="U503" s="273">
        <v>2.6840833855238436E-3</v>
      </c>
      <c r="V503" s="218">
        <v>2.6864891248673264E-3</v>
      </c>
      <c r="W503" s="250">
        <v>4.5890349256353712E-5</v>
      </c>
      <c r="X503" s="250">
        <v>0.82244297277409861</v>
      </c>
      <c r="Z503" s="218">
        <v>495</v>
      </c>
      <c r="AA503" s="435">
        <v>0.818027961736571</v>
      </c>
    </row>
    <row r="504" spans="1:27">
      <c r="A504" s="429">
        <v>0.6830208333333333</v>
      </c>
      <c r="B504" s="218">
        <v>398</v>
      </c>
      <c r="C504" s="218" t="s">
        <v>314</v>
      </c>
      <c r="D504" s="218">
        <v>199</v>
      </c>
      <c r="E504" s="218" t="s">
        <v>315</v>
      </c>
      <c r="F504" s="218">
        <v>22.7</v>
      </c>
      <c r="G504" s="218" t="s">
        <v>316</v>
      </c>
      <c r="H504" s="218">
        <v>447</v>
      </c>
      <c r="I504" s="218">
        <f t="shared" si="25"/>
        <v>396</v>
      </c>
      <c r="J504" s="218">
        <f t="shared" si="26"/>
        <v>2.5252525252525255E-3</v>
      </c>
      <c r="K504" s="218">
        <f t="shared" si="27"/>
        <v>4.6735831218589832E-2</v>
      </c>
      <c r="L504" s="218">
        <f t="shared" si="28"/>
        <v>375.7</v>
      </c>
      <c r="M504" s="218" t="s">
        <v>323</v>
      </c>
      <c r="P504" s="218">
        <v>499</v>
      </c>
      <c r="Q504" s="218">
        <v>395.7</v>
      </c>
      <c r="R504" s="218">
        <v>418</v>
      </c>
      <c r="S504" s="218">
        <v>303</v>
      </c>
      <c r="T504" s="218">
        <v>372.23333333333335</v>
      </c>
      <c r="U504" s="273">
        <v>2.6864869705381929E-3</v>
      </c>
      <c r="V504" s="218">
        <v>2.6852851780310182E-3</v>
      </c>
      <c r="W504" s="250">
        <v>4.5869783552106916E-5</v>
      </c>
      <c r="X504" s="250">
        <v>0.82170713760117742</v>
      </c>
      <c r="Z504" s="218">
        <v>496</v>
      </c>
      <c r="AA504" s="435">
        <v>0.82170713760117742</v>
      </c>
    </row>
    <row r="505" spans="1:27">
      <c r="A505" s="429">
        <v>0.68303240740740734</v>
      </c>
      <c r="B505" s="218">
        <v>395</v>
      </c>
      <c r="C505" s="218" t="s">
        <v>314</v>
      </c>
      <c r="D505" s="218">
        <v>198</v>
      </c>
      <c r="E505" s="218" t="s">
        <v>315</v>
      </c>
      <c r="F505" s="218">
        <v>22.7</v>
      </c>
      <c r="G505" s="218" t="s">
        <v>316</v>
      </c>
      <c r="H505" s="218">
        <v>448</v>
      </c>
      <c r="I505" s="218">
        <f t="shared" si="25"/>
        <v>398</v>
      </c>
      <c r="J505" s="218">
        <f t="shared" si="26"/>
        <v>2.5125628140703518E-3</v>
      </c>
      <c r="K505" s="218">
        <f t="shared" si="27"/>
        <v>4.6748520929772011E-2</v>
      </c>
      <c r="L505" s="218">
        <f t="shared" si="28"/>
        <v>377.7</v>
      </c>
      <c r="M505" s="218" t="s">
        <v>323</v>
      </c>
      <c r="P505" s="218">
        <v>500</v>
      </c>
      <c r="Q505" s="218">
        <v>395.7</v>
      </c>
      <c r="R505" s="218">
        <v>420</v>
      </c>
      <c r="S505" s="218">
        <v>304</v>
      </c>
      <c r="T505" s="218">
        <v>373.23333333333335</v>
      </c>
      <c r="U505" s="273">
        <v>2.6792890952933822E-3</v>
      </c>
      <c r="V505" s="218">
        <v>2.6828880329157877E-3</v>
      </c>
      <c r="W505" s="250">
        <v>4.5828835749438434E-5</v>
      </c>
      <c r="X505" s="250">
        <v>0.82391464311994111</v>
      </c>
      <c r="Z505" s="218">
        <v>497</v>
      </c>
      <c r="AA505" s="435">
        <v>0.82097130242825611</v>
      </c>
    </row>
    <row r="506" spans="1:27">
      <c r="A506" s="429">
        <v>0.68304398148148149</v>
      </c>
      <c r="B506" s="218">
        <v>397</v>
      </c>
      <c r="C506" s="218" t="s">
        <v>314</v>
      </c>
      <c r="D506" s="218">
        <v>199</v>
      </c>
      <c r="E506" s="218" t="s">
        <v>315</v>
      </c>
      <c r="F506" s="218">
        <v>22.7</v>
      </c>
      <c r="G506" s="218" t="s">
        <v>316</v>
      </c>
      <c r="H506" s="218">
        <v>449</v>
      </c>
      <c r="I506" s="218">
        <f t="shared" ref="I506:I569" si="29">B505</f>
        <v>395</v>
      </c>
      <c r="J506" s="218">
        <f t="shared" ref="J506:J569" si="30">1/I506</f>
        <v>2.5316455696202532E-3</v>
      </c>
      <c r="K506" s="218">
        <f t="shared" ref="K506:K569" si="31">$J$57-J506</f>
        <v>4.6729438174222107E-2</v>
      </c>
      <c r="L506" s="218">
        <f t="shared" ref="L506:L569" si="32">(B505-$J$55)</f>
        <v>374.7</v>
      </c>
      <c r="M506" s="218" t="s">
        <v>323</v>
      </c>
      <c r="P506" s="218">
        <v>501</v>
      </c>
      <c r="Q506" s="218">
        <v>396.7</v>
      </c>
      <c r="R506" s="218">
        <v>417</v>
      </c>
      <c r="S506" s="218">
        <v>304</v>
      </c>
      <c r="T506" s="218">
        <v>372.56666666666666</v>
      </c>
      <c r="U506" s="273">
        <v>2.6840833855238436E-3</v>
      </c>
      <c r="V506" s="218">
        <v>2.6816862404086131E-3</v>
      </c>
      <c r="W506" s="250">
        <v>4.5808306845235018E-5</v>
      </c>
      <c r="X506" s="250">
        <v>0.82244297277409861</v>
      </c>
      <c r="Z506" s="218">
        <v>498</v>
      </c>
      <c r="AA506" s="435">
        <v>0.82244297277409861</v>
      </c>
    </row>
    <row r="507" spans="1:27">
      <c r="A507" s="429">
        <v>0.68305555555555564</v>
      </c>
      <c r="B507" s="218">
        <v>397</v>
      </c>
      <c r="C507" s="218" t="s">
        <v>314</v>
      </c>
      <c r="D507" s="218">
        <v>199</v>
      </c>
      <c r="E507" s="218" t="s">
        <v>315</v>
      </c>
      <c r="F507" s="218">
        <v>22.7</v>
      </c>
      <c r="G507" s="218" t="s">
        <v>316</v>
      </c>
      <c r="H507" s="218">
        <v>450</v>
      </c>
      <c r="I507" s="218">
        <f t="shared" si="29"/>
        <v>397</v>
      </c>
      <c r="J507" s="218">
        <f t="shared" si="30"/>
        <v>2.5188916876574307E-3</v>
      </c>
      <c r="K507" s="218">
        <f t="shared" si="31"/>
        <v>4.6742192056184927E-2</v>
      </c>
      <c r="L507" s="218">
        <f t="shared" si="32"/>
        <v>376.7</v>
      </c>
      <c r="M507" s="218" t="s">
        <v>323</v>
      </c>
      <c r="P507" s="218">
        <v>502</v>
      </c>
      <c r="Q507" s="218">
        <v>397.7</v>
      </c>
      <c r="R507" s="218">
        <v>419</v>
      </c>
      <c r="S507" s="218">
        <v>305</v>
      </c>
      <c r="T507" s="218">
        <v>373.90000000000003</v>
      </c>
      <c r="U507" s="273">
        <v>2.6745119015779617E-3</v>
      </c>
      <c r="V507" s="218">
        <v>2.6792976435509024E-3</v>
      </c>
      <c r="W507" s="250">
        <v>4.5767505063080629E-5</v>
      </c>
      <c r="X507" s="250">
        <v>0.82538631346578373</v>
      </c>
      <c r="Z507" s="218">
        <v>499</v>
      </c>
      <c r="AA507" s="435">
        <v>0.82170713760117742</v>
      </c>
    </row>
    <row r="508" spans="1:27">
      <c r="A508" s="429">
        <v>0.68306712962962957</v>
      </c>
      <c r="B508" s="218">
        <v>397</v>
      </c>
      <c r="C508" s="218" t="s">
        <v>314</v>
      </c>
      <c r="D508" s="218">
        <v>199</v>
      </c>
      <c r="E508" s="218" t="s">
        <v>315</v>
      </c>
      <c r="F508" s="218">
        <v>22.7</v>
      </c>
      <c r="G508" s="218" t="s">
        <v>316</v>
      </c>
      <c r="H508" s="218">
        <v>451</v>
      </c>
      <c r="I508" s="218">
        <f t="shared" si="29"/>
        <v>397</v>
      </c>
      <c r="J508" s="218">
        <f t="shared" si="30"/>
        <v>2.5188916876574307E-3</v>
      </c>
      <c r="K508" s="218">
        <f t="shared" si="31"/>
        <v>4.6742192056184927E-2</v>
      </c>
      <c r="L508" s="218">
        <f t="shared" si="32"/>
        <v>376.7</v>
      </c>
      <c r="M508" s="218" t="s">
        <v>323</v>
      </c>
      <c r="P508" s="218">
        <v>503</v>
      </c>
      <c r="Q508" s="218">
        <v>396.7</v>
      </c>
      <c r="R508" s="218">
        <v>419</v>
      </c>
      <c r="S508" s="218">
        <v>305</v>
      </c>
      <c r="T508" s="218">
        <v>373.56666666666666</v>
      </c>
      <c r="U508" s="273">
        <v>2.6768983670919962E-3</v>
      </c>
      <c r="V508" s="218">
        <v>2.6757051343349789E-3</v>
      </c>
      <c r="W508" s="250">
        <v>4.5706138165630954E-5</v>
      </c>
      <c r="X508" s="250">
        <v>0.82465047829286242</v>
      </c>
      <c r="Z508" s="218">
        <v>500</v>
      </c>
      <c r="AA508" s="435">
        <v>0.82391464311994111</v>
      </c>
    </row>
    <row r="509" spans="1:27">
      <c r="A509" s="429">
        <v>0.68307870370370372</v>
      </c>
      <c r="B509" s="218">
        <v>398</v>
      </c>
      <c r="C509" s="218" t="s">
        <v>314</v>
      </c>
      <c r="D509" s="218">
        <v>199</v>
      </c>
      <c r="E509" s="218" t="s">
        <v>315</v>
      </c>
      <c r="F509" s="218">
        <v>22.7</v>
      </c>
      <c r="G509" s="218" t="s">
        <v>316</v>
      </c>
      <c r="H509" s="218">
        <v>452</v>
      </c>
      <c r="I509" s="218">
        <f t="shared" si="29"/>
        <v>397</v>
      </c>
      <c r="J509" s="218">
        <f t="shared" si="30"/>
        <v>2.5188916876574307E-3</v>
      </c>
      <c r="K509" s="218">
        <f t="shared" si="31"/>
        <v>4.6742192056184927E-2</v>
      </c>
      <c r="L509" s="218">
        <f t="shared" si="32"/>
        <v>376.7</v>
      </c>
      <c r="M509" s="218" t="s">
        <v>323</v>
      </c>
      <c r="P509" s="218">
        <v>504</v>
      </c>
      <c r="Q509" s="218">
        <v>397.7</v>
      </c>
      <c r="R509" s="218">
        <v>420</v>
      </c>
      <c r="S509" s="218">
        <v>306</v>
      </c>
      <c r="T509" s="218">
        <v>374.56666666666666</v>
      </c>
      <c r="U509" s="273">
        <v>2.6697517130906826E-3</v>
      </c>
      <c r="V509" s="218">
        <v>2.6733250400913394E-3</v>
      </c>
      <c r="W509" s="250">
        <v>4.566548162431365E-5</v>
      </c>
      <c r="X509" s="250">
        <v>0.82685798381162623</v>
      </c>
      <c r="Z509" s="218">
        <v>501</v>
      </c>
      <c r="AA509" s="435">
        <v>0.82244297277409861</v>
      </c>
    </row>
    <row r="510" spans="1:27">
      <c r="A510" s="429">
        <v>0.68309027777777775</v>
      </c>
      <c r="B510" s="218">
        <v>398</v>
      </c>
      <c r="C510" s="218" t="s">
        <v>314</v>
      </c>
      <c r="D510" s="218">
        <v>199</v>
      </c>
      <c r="E510" s="218" t="s">
        <v>315</v>
      </c>
      <c r="F510" s="218">
        <v>22.7</v>
      </c>
      <c r="G510" s="218" t="s">
        <v>316</v>
      </c>
      <c r="H510" s="218">
        <v>453</v>
      </c>
      <c r="I510" s="218">
        <f t="shared" si="29"/>
        <v>398</v>
      </c>
      <c r="J510" s="218">
        <f t="shared" si="30"/>
        <v>2.5125628140703518E-3</v>
      </c>
      <c r="K510" s="218">
        <f t="shared" si="31"/>
        <v>4.6748520929772011E-2</v>
      </c>
      <c r="L510" s="218">
        <f t="shared" si="32"/>
        <v>377.7</v>
      </c>
      <c r="M510" s="218" t="s">
        <v>323</v>
      </c>
      <c r="P510" s="218">
        <v>505</v>
      </c>
      <c r="Q510" s="218">
        <v>398.7</v>
      </c>
      <c r="R510" s="218">
        <v>419</v>
      </c>
      <c r="S510" s="218">
        <v>306</v>
      </c>
      <c r="T510" s="218">
        <v>374.56666666666666</v>
      </c>
      <c r="U510" s="273">
        <v>2.6697517130906826E-3</v>
      </c>
      <c r="V510" s="218">
        <v>2.6697517130906826E-3</v>
      </c>
      <c r="W510" s="250">
        <v>4.5604442395623158E-5</v>
      </c>
      <c r="X510" s="250">
        <v>0.82685798381162623</v>
      </c>
      <c r="Z510" s="218">
        <v>502</v>
      </c>
      <c r="AA510" s="435">
        <v>0.82538631346578373</v>
      </c>
    </row>
    <row r="511" spans="1:27">
      <c r="A511" s="429">
        <v>0.6831018518518519</v>
      </c>
      <c r="B511" s="218">
        <v>398</v>
      </c>
      <c r="C511" s="218" t="s">
        <v>314</v>
      </c>
      <c r="D511" s="218">
        <v>199</v>
      </c>
      <c r="E511" s="218" t="s">
        <v>315</v>
      </c>
      <c r="F511" s="218">
        <v>22.7</v>
      </c>
      <c r="G511" s="218" t="s">
        <v>316</v>
      </c>
      <c r="H511" s="218">
        <v>454</v>
      </c>
      <c r="I511" s="218">
        <f t="shared" si="29"/>
        <v>398</v>
      </c>
      <c r="J511" s="218">
        <f t="shared" si="30"/>
        <v>2.5125628140703518E-3</v>
      </c>
      <c r="K511" s="218">
        <f t="shared" si="31"/>
        <v>4.6748520929772011E-2</v>
      </c>
      <c r="L511" s="218">
        <f t="shared" si="32"/>
        <v>377.7</v>
      </c>
      <c r="M511" s="218" t="s">
        <v>323</v>
      </c>
      <c r="P511" s="218">
        <v>506</v>
      </c>
      <c r="Q511" s="218">
        <v>398.7</v>
      </c>
      <c r="R511" s="218">
        <v>420</v>
      </c>
      <c r="S511" s="218">
        <v>307</v>
      </c>
      <c r="T511" s="218">
        <v>375.23333333333335</v>
      </c>
      <c r="U511" s="273">
        <v>2.6650084391933908E-3</v>
      </c>
      <c r="V511" s="218">
        <v>2.6673800761420367E-3</v>
      </c>
      <c r="W511" s="250">
        <v>4.5563930321006813E-5</v>
      </c>
      <c r="X511" s="250">
        <v>0.82832965415746873</v>
      </c>
      <c r="Z511" s="218">
        <v>503</v>
      </c>
      <c r="AA511" s="435">
        <v>0.82465047829286242</v>
      </c>
    </row>
    <row r="512" spans="1:27">
      <c r="A512" s="429">
        <v>0.68311342592592583</v>
      </c>
      <c r="B512" s="218">
        <v>400</v>
      </c>
      <c r="C512" s="218" t="s">
        <v>314</v>
      </c>
      <c r="D512" s="218">
        <v>200</v>
      </c>
      <c r="E512" s="218" t="s">
        <v>315</v>
      </c>
      <c r="F512" s="218">
        <v>22.7</v>
      </c>
      <c r="G512" s="218" t="s">
        <v>316</v>
      </c>
      <c r="H512" s="218">
        <v>455</v>
      </c>
      <c r="I512" s="218">
        <f t="shared" si="29"/>
        <v>398</v>
      </c>
      <c r="J512" s="218">
        <f t="shared" si="30"/>
        <v>2.5125628140703518E-3</v>
      </c>
      <c r="K512" s="218">
        <f t="shared" si="31"/>
        <v>4.6748520929772011E-2</v>
      </c>
      <c r="L512" s="218">
        <f t="shared" si="32"/>
        <v>377.7</v>
      </c>
      <c r="M512" s="218" t="s">
        <v>323</v>
      </c>
      <c r="P512" s="218">
        <v>507</v>
      </c>
      <c r="Q512" s="218">
        <v>400.7</v>
      </c>
      <c r="R512" s="218">
        <v>421</v>
      </c>
      <c r="S512" s="218">
        <v>307</v>
      </c>
      <c r="T512" s="218">
        <v>376.23333333333335</v>
      </c>
      <c r="U512" s="273">
        <v>2.6579250465136881E-3</v>
      </c>
      <c r="V512" s="218">
        <v>2.6614667428535395E-3</v>
      </c>
      <c r="W512" s="250">
        <v>4.5462919329610464E-5</v>
      </c>
      <c r="X512" s="250">
        <v>0.83053715967623254</v>
      </c>
      <c r="Z512" s="218">
        <v>504</v>
      </c>
      <c r="AA512" s="435">
        <v>0.82685798381162623</v>
      </c>
    </row>
    <row r="513" spans="1:27">
      <c r="A513" s="429">
        <v>0.68312499999999998</v>
      </c>
      <c r="B513" s="218">
        <v>400</v>
      </c>
      <c r="C513" s="218" t="s">
        <v>314</v>
      </c>
      <c r="D513" s="218">
        <v>200</v>
      </c>
      <c r="E513" s="218" t="s">
        <v>315</v>
      </c>
      <c r="F513" s="218">
        <v>22.7</v>
      </c>
      <c r="G513" s="218" t="s">
        <v>316</v>
      </c>
      <c r="H513" s="218">
        <v>456</v>
      </c>
      <c r="I513" s="218">
        <f t="shared" si="29"/>
        <v>400</v>
      </c>
      <c r="J513" s="218">
        <f t="shared" si="30"/>
        <v>2.5000000000000001E-3</v>
      </c>
      <c r="K513" s="218">
        <f t="shared" si="31"/>
        <v>4.6761083743842358E-2</v>
      </c>
      <c r="L513" s="218">
        <f t="shared" si="32"/>
        <v>379.7</v>
      </c>
      <c r="M513" s="218" t="s">
        <v>323</v>
      </c>
      <c r="P513" s="218">
        <v>508</v>
      </c>
      <c r="Q513" s="218">
        <v>397.7</v>
      </c>
      <c r="R513" s="218">
        <v>420</v>
      </c>
      <c r="S513" s="218">
        <v>308</v>
      </c>
      <c r="T513" s="218">
        <v>375.23333333333335</v>
      </c>
      <c r="U513" s="273">
        <v>2.6650084391933908E-3</v>
      </c>
      <c r="V513" s="218">
        <v>2.6614667428535395E-3</v>
      </c>
      <c r="W513" s="250">
        <v>4.5462919329610464E-5</v>
      </c>
      <c r="X513" s="250">
        <v>0.82832965415746873</v>
      </c>
      <c r="Z513" s="218">
        <v>505</v>
      </c>
      <c r="AA513" s="435">
        <v>0.82685798381162623</v>
      </c>
    </row>
    <row r="514" spans="1:27">
      <c r="A514" s="429">
        <v>0.68313657407407413</v>
      </c>
      <c r="B514" s="218">
        <v>400</v>
      </c>
      <c r="C514" s="218" t="s">
        <v>314</v>
      </c>
      <c r="D514" s="218">
        <v>200</v>
      </c>
      <c r="E514" s="218" t="s">
        <v>315</v>
      </c>
      <c r="F514" s="218">
        <v>22.7</v>
      </c>
      <c r="G514" s="218" t="s">
        <v>316</v>
      </c>
      <c r="H514" s="218">
        <v>457</v>
      </c>
      <c r="I514" s="218">
        <f t="shared" si="29"/>
        <v>400</v>
      </c>
      <c r="J514" s="218">
        <f t="shared" si="30"/>
        <v>2.5000000000000001E-3</v>
      </c>
      <c r="K514" s="218">
        <f t="shared" si="31"/>
        <v>4.6761083743842358E-2</v>
      </c>
      <c r="L514" s="218">
        <f t="shared" si="32"/>
        <v>379.7</v>
      </c>
      <c r="M514" s="218" t="s">
        <v>323</v>
      </c>
      <c r="P514" s="218">
        <v>509</v>
      </c>
      <c r="Q514" s="218">
        <v>399.7</v>
      </c>
      <c r="R514" s="218">
        <v>421</v>
      </c>
      <c r="S514" s="218">
        <v>309</v>
      </c>
      <c r="T514" s="218">
        <v>376.56666666666666</v>
      </c>
      <c r="U514" s="273">
        <v>2.6555722758254403E-3</v>
      </c>
      <c r="V514" s="218">
        <v>2.6602903575094154E-3</v>
      </c>
      <c r="W514" s="250">
        <v>4.5442824428126512E-5</v>
      </c>
      <c r="X514" s="250">
        <v>0.83127299484915373</v>
      </c>
      <c r="Z514" s="218">
        <v>506</v>
      </c>
      <c r="AA514" s="435">
        <v>0.82832965415746873</v>
      </c>
    </row>
    <row r="515" spans="1:27">
      <c r="A515" s="429">
        <v>0.68314814814814817</v>
      </c>
      <c r="B515" s="218">
        <v>401</v>
      </c>
      <c r="C515" s="218" t="s">
        <v>314</v>
      </c>
      <c r="D515" s="218">
        <v>201</v>
      </c>
      <c r="E515" s="218" t="s">
        <v>315</v>
      </c>
      <c r="F515" s="218">
        <v>22.7</v>
      </c>
      <c r="G515" s="218" t="s">
        <v>316</v>
      </c>
      <c r="H515" s="218">
        <v>458</v>
      </c>
      <c r="I515" s="218">
        <f t="shared" si="29"/>
        <v>400</v>
      </c>
      <c r="J515" s="218">
        <f t="shared" si="30"/>
        <v>2.5000000000000001E-3</v>
      </c>
      <c r="K515" s="218">
        <f t="shared" si="31"/>
        <v>4.6761083743842358E-2</v>
      </c>
      <c r="L515" s="218">
        <f t="shared" si="32"/>
        <v>379.7</v>
      </c>
      <c r="M515" s="218" t="s">
        <v>323</v>
      </c>
      <c r="P515" s="218">
        <v>510</v>
      </c>
      <c r="Q515" s="218">
        <v>398.7</v>
      </c>
      <c r="R515" s="218">
        <v>421</v>
      </c>
      <c r="S515" s="218">
        <v>309</v>
      </c>
      <c r="T515" s="218">
        <v>376.23333333333335</v>
      </c>
      <c r="U515" s="273">
        <v>2.6579250465136881E-3</v>
      </c>
      <c r="V515" s="218">
        <v>2.656748661169564E-3</v>
      </c>
      <c r="W515" s="250">
        <v>4.5382325511346508E-5</v>
      </c>
      <c r="X515" s="250">
        <v>0.83053715967623254</v>
      </c>
      <c r="Z515" s="218">
        <v>507</v>
      </c>
      <c r="AA515" s="435">
        <v>0.83053715967623254</v>
      </c>
    </row>
    <row r="516" spans="1:27">
      <c r="A516" s="429">
        <v>0.68315972222222221</v>
      </c>
      <c r="B516" s="218">
        <v>400</v>
      </c>
      <c r="C516" s="218" t="s">
        <v>314</v>
      </c>
      <c r="D516" s="218">
        <v>200</v>
      </c>
      <c r="E516" s="218" t="s">
        <v>315</v>
      </c>
      <c r="F516" s="218">
        <v>22.7</v>
      </c>
      <c r="G516" s="218" t="s">
        <v>316</v>
      </c>
      <c r="H516" s="218">
        <v>459</v>
      </c>
      <c r="I516" s="218">
        <f t="shared" si="29"/>
        <v>401</v>
      </c>
      <c r="J516" s="218">
        <f t="shared" si="30"/>
        <v>2.4937655860349127E-3</v>
      </c>
      <c r="K516" s="218">
        <f t="shared" si="31"/>
        <v>4.676731815780745E-2</v>
      </c>
      <c r="L516" s="218">
        <f t="shared" si="32"/>
        <v>380.7</v>
      </c>
      <c r="M516" s="218" t="s">
        <v>323</v>
      </c>
      <c r="P516" s="218">
        <v>511</v>
      </c>
      <c r="Q516" s="218">
        <v>399.7</v>
      </c>
      <c r="R516" s="218">
        <v>421</v>
      </c>
      <c r="S516" s="218">
        <v>307</v>
      </c>
      <c r="T516" s="218">
        <v>375.90000000000003</v>
      </c>
      <c r="U516" s="273">
        <v>2.6602819898909284E-3</v>
      </c>
      <c r="V516" s="218">
        <v>2.6591035182023082E-3</v>
      </c>
      <c r="W516" s="250">
        <v>4.5422550953050746E-5</v>
      </c>
      <c r="X516" s="250">
        <v>0.82980132450331134</v>
      </c>
      <c r="Z516" s="218">
        <v>508</v>
      </c>
      <c r="AA516" s="435">
        <v>0.82832965415746873</v>
      </c>
    </row>
    <row r="517" spans="1:27">
      <c r="A517" s="429">
        <v>0.68317129629629625</v>
      </c>
      <c r="B517" s="218">
        <v>402</v>
      </c>
      <c r="C517" s="218" t="s">
        <v>314</v>
      </c>
      <c r="D517" s="218">
        <v>201</v>
      </c>
      <c r="E517" s="218" t="s">
        <v>315</v>
      </c>
      <c r="F517" s="218">
        <v>22.7</v>
      </c>
      <c r="G517" s="218" t="s">
        <v>316</v>
      </c>
      <c r="H517" s="218">
        <v>460</v>
      </c>
      <c r="I517" s="218">
        <f t="shared" si="29"/>
        <v>400</v>
      </c>
      <c r="J517" s="218">
        <f t="shared" si="30"/>
        <v>2.5000000000000001E-3</v>
      </c>
      <c r="K517" s="218">
        <f t="shared" si="31"/>
        <v>4.6761083743842358E-2</v>
      </c>
      <c r="L517" s="218">
        <f t="shared" si="32"/>
        <v>379.7</v>
      </c>
      <c r="M517" s="218" t="s">
        <v>323</v>
      </c>
      <c r="P517" s="218">
        <v>512</v>
      </c>
      <c r="Q517" s="218">
        <v>400.7</v>
      </c>
      <c r="R517" s="218">
        <v>421</v>
      </c>
      <c r="S517" s="218">
        <v>311</v>
      </c>
      <c r="T517" s="218">
        <v>377.56666666666666</v>
      </c>
      <c r="U517" s="273">
        <v>2.648538889379359E-3</v>
      </c>
      <c r="V517" s="218">
        <v>2.6544104396351437E-3</v>
      </c>
      <c r="W517" s="250">
        <v>4.5342384235627189E-5</v>
      </c>
      <c r="X517" s="250">
        <v>0.83348050036791754</v>
      </c>
      <c r="Z517" s="218">
        <v>509</v>
      </c>
      <c r="AA517" s="435">
        <v>0.83127299484915373</v>
      </c>
    </row>
    <row r="518" spans="1:27">
      <c r="A518" s="429">
        <v>0.6831828703703704</v>
      </c>
      <c r="B518" s="218">
        <v>401</v>
      </c>
      <c r="C518" s="218" t="s">
        <v>314</v>
      </c>
      <c r="D518" s="218">
        <v>201</v>
      </c>
      <c r="E518" s="218" t="s">
        <v>315</v>
      </c>
      <c r="F518" s="218">
        <v>22.7</v>
      </c>
      <c r="G518" s="218" t="s">
        <v>316</v>
      </c>
      <c r="H518" s="218">
        <v>461</v>
      </c>
      <c r="I518" s="218">
        <f t="shared" si="29"/>
        <v>402</v>
      </c>
      <c r="J518" s="218">
        <f t="shared" si="30"/>
        <v>2.4875621890547263E-3</v>
      </c>
      <c r="K518" s="218">
        <f t="shared" si="31"/>
        <v>4.6773521554787631E-2</v>
      </c>
      <c r="L518" s="218">
        <f t="shared" si="32"/>
        <v>381.7</v>
      </c>
      <c r="M518" s="218" t="s">
        <v>323</v>
      </c>
      <c r="P518" s="218">
        <v>513</v>
      </c>
      <c r="Q518" s="218">
        <v>401.7</v>
      </c>
      <c r="R518" s="218">
        <v>422</v>
      </c>
      <c r="S518" s="218">
        <v>311</v>
      </c>
      <c r="T518" s="218">
        <v>378.23333333333335</v>
      </c>
      <c r="U518" s="273">
        <v>2.6438706265973382E-3</v>
      </c>
      <c r="V518" s="218">
        <v>2.6462047579883484E-3</v>
      </c>
      <c r="W518" s="250">
        <v>4.5202215569700998E-5</v>
      </c>
      <c r="X518" s="250">
        <v>0.83495217071376016</v>
      </c>
      <c r="Z518" s="218">
        <v>510</v>
      </c>
      <c r="AA518" s="435">
        <v>0.83053715967623254</v>
      </c>
    </row>
    <row r="519" spans="1:27">
      <c r="A519" s="429">
        <v>0.68319444444444455</v>
      </c>
      <c r="B519" s="218">
        <v>401</v>
      </c>
      <c r="C519" s="218" t="s">
        <v>314</v>
      </c>
      <c r="D519" s="218">
        <v>201</v>
      </c>
      <c r="E519" s="218" t="s">
        <v>315</v>
      </c>
      <c r="F519" s="218">
        <v>22.7</v>
      </c>
      <c r="G519" s="218" t="s">
        <v>316</v>
      </c>
      <c r="H519" s="218">
        <v>462</v>
      </c>
      <c r="I519" s="218">
        <f t="shared" si="29"/>
        <v>401</v>
      </c>
      <c r="J519" s="218">
        <f t="shared" si="30"/>
        <v>2.4937655860349127E-3</v>
      </c>
      <c r="K519" s="218">
        <f t="shared" si="31"/>
        <v>4.676731815780745E-2</v>
      </c>
      <c r="L519" s="218">
        <f t="shared" si="32"/>
        <v>380.7</v>
      </c>
      <c r="M519" s="218" t="s">
        <v>323</v>
      </c>
      <c r="P519" s="218">
        <v>514</v>
      </c>
      <c r="Q519" s="218">
        <v>400.7</v>
      </c>
      <c r="R519" s="218">
        <v>420</v>
      </c>
      <c r="S519" s="218">
        <v>311</v>
      </c>
      <c r="T519" s="218">
        <v>377.23333333333335</v>
      </c>
      <c r="U519" s="273">
        <v>2.6508792082707432E-3</v>
      </c>
      <c r="V519" s="218">
        <v>2.6473749174340407E-3</v>
      </c>
      <c r="W519" s="250">
        <v>4.5222204120985788E-5</v>
      </c>
      <c r="X519" s="250">
        <v>0.83274466519499635</v>
      </c>
      <c r="Z519" s="218">
        <v>511</v>
      </c>
      <c r="AA519" s="435">
        <v>0.82980132450331134</v>
      </c>
    </row>
    <row r="520" spans="1:27">
      <c r="A520" s="429">
        <v>0.68320601851851848</v>
      </c>
      <c r="B520" s="218">
        <v>402</v>
      </c>
      <c r="C520" s="218" t="s">
        <v>314</v>
      </c>
      <c r="D520" s="218">
        <v>201</v>
      </c>
      <c r="E520" s="218" t="s">
        <v>315</v>
      </c>
      <c r="F520" s="218">
        <v>22.7</v>
      </c>
      <c r="G520" s="218" t="s">
        <v>316</v>
      </c>
      <c r="H520" s="218">
        <v>463</v>
      </c>
      <c r="I520" s="218">
        <f t="shared" si="29"/>
        <v>401</v>
      </c>
      <c r="J520" s="218">
        <f t="shared" si="30"/>
        <v>2.4937655860349127E-3</v>
      </c>
      <c r="K520" s="218">
        <f t="shared" si="31"/>
        <v>4.676731815780745E-2</v>
      </c>
      <c r="L520" s="218">
        <f t="shared" si="32"/>
        <v>380.7</v>
      </c>
      <c r="M520" s="218" t="s">
        <v>323</v>
      </c>
      <c r="P520" s="218">
        <v>515</v>
      </c>
      <c r="Q520" s="218">
        <v>401.7</v>
      </c>
      <c r="R520" s="218">
        <v>422</v>
      </c>
      <c r="S520" s="218">
        <v>312</v>
      </c>
      <c r="T520" s="218">
        <v>378.56666666666666</v>
      </c>
      <c r="U520" s="273">
        <v>2.6415426609139739E-3</v>
      </c>
      <c r="V520" s="218">
        <v>2.6462109345923588E-3</v>
      </c>
      <c r="W520" s="250">
        <v>4.5202321077857585E-5</v>
      </c>
      <c r="X520" s="250">
        <v>0.83568800588668135</v>
      </c>
      <c r="Z520" s="218">
        <v>512</v>
      </c>
      <c r="AA520" s="435">
        <v>0.83348050036791754</v>
      </c>
    </row>
    <row r="521" spans="1:27">
      <c r="A521" s="429">
        <v>0.68321759259259263</v>
      </c>
      <c r="B521" s="218">
        <v>403</v>
      </c>
      <c r="C521" s="218" t="s">
        <v>314</v>
      </c>
      <c r="D521" s="218">
        <v>202</v>
      </c>
      <c r="E521" s="218" t="s">
        <v>315</v>
      </c>
      <c r="F521" s="218">
        <v>22.7</v>
      </c>
      <c r="G521" s="218" t="s">
        <v>316</v>
      </c>
      <c r="H521" s="218">
        <v>464</v>
      </c>
      <c r="I521" s="218">
        <f t="shared" si="29"/>
        <v>402</v>
      </c>
      <c r="J521" s="218">
        <f t="shared" si="30"/>
        <v>2.4875621890547263E-3</v>
      </c>
      <c r="K521" s="218">
        <f t="shared" si="31"/>
        <v>4.6773521554787631E-2</v>
      </c>
      <c r="L521" s="218">
        <f t="shared" si="32"/>
        <v>381.7</v>
      </c>
      <c r="M521" s="218" t="s">
        <v>323</v>
      </c>
      <c r="P521" s="218">
        <v>516</v>
      </c>
      <c r="Q521" s="218">
        <v>400.7</v>
      </c>
      <c r="R521" s="218">
        <v>421</v>
      </c>
      <c r="S521" s="218">
        <v>312</v>
      </c>
      <c r="T521" s="218">
        <v>377.90000000000003</v>
      </c>
      <c r="U521" s="273">
        <v>2.6462026991267529E-3</v>
      </c>
      <c r="V521" s="218">
        <v>2.6438726800203632E-3</v>
      </c>
      <c r="W521" s="250">
        <v>4.5162379237793579E-5</v>
      </c>
      <c r="X521" s="250">
        <v>0.83421633554083896</v>
      </c>
      <c r="Z521" s="218">
        <v>513</v>
      </c>
      <c r="AA521" s="435">
        <v>0.83495217071376016</v>
      </c>
    </row>
    <row r="522" spans="1:27">
      <c r="A522" s="429">
        <v>0.68322916666666667</v>
      </c>
      <c r="B522" s="218">
        <v>403</v>
      </c>
      <c r="C522" s="218" t="s">
        <v>314</v>
      </c>
      <c r="D522" s="218">
        <v>202</v>
      </c>
      <c r="E522" s="218" t="s">
        <v>315</v>
      </c>
      <c r="F522" s="218">
        <v>22.7</v>
      </c>
      <c r="G522" s="218" t="s">
        <v>316</v>
      </c>
      <c r="H522" s="218">
        <v>465</v>
      </c>
      <c r="I522" s="218">
        <f t="shared" si="29"/>
        <v>403</v>
      </c>
      <c r="J522" s="218">
        <f t="shared" si="30"/>
        <v>2.4813895781637717E-3</v>
      </c>
      <c r="K522" s="218">
        <f t="shared" si="31"/>
        <v>4.6779694165678586E-2</v>
      </c>
      <c r="L522" s="218">
        <f t="shared" si="32"/>
        <v>382.7</v>
      </c>
      <c r="M522" s="218" t="s">
        <v>323</v>
      </c>
      <c r="P522" s="218">
        <v>517</v>
      </c>
      <c r="Q522" s="218">
        <v>401.7</v>
      </c>
      <c r="R522" s="218">
        <v>422</v>
      </c>
      <c r="S522" s="218">
        <v>314</v>
      </c>
      <c r="T522" s="218">
        <v>379.23333333333335</v>
      </c>
      <c r="U522" s="273">
        <v>2.6368990067680408E-3</v>
      </c>
      <c r="V522" s="218">
        <v>2.6415508529473971E-3</v>
      </c>
      <c r="W522" s="250">
        <v>4.5122718010690515E-5</v>
      </c>
      <c r="X522" s="250">
        <v>0.83715967623252396</v>
      </c>
      <c r="Z522" s="218">
        <v>514</v>
      </c>
      <c r="AA522" s="435">
        <v>0.83274466519499635</v>
      </c>
    </row>
    <row r="523" spans="1:27">
      <c r="A523" s="429">
        <v>0.6832407407407407</v>
      </c>
      <c r="B523" s="218">
        <v>404</v>
      </c>
      <c r="C523" s="218" t="s">
        <v>314</v>
      </c>
      <c r="D523" s="218">
        <v>202</v>
      </c>
      <c r="E523" s="218" t="s">
        <v>315</v>
      </c>
      <c r="F523" s="218">
        <v>22.7</v>
      </c>
      <c r="G523" s="218" t="s">
        <v>316</v>
      </c>
      <c r="H523" s="218">
        <v>466</v>
      </c>
      <c r="I523" s="218">
        <f t="shared" si="29"/>
        <v>403</v>
      </c>
      <c r="J523" s="218">
        <f t="shared" si="30"/>
        <v>2.4813895781637717E-3</v>
      </c>
      <c r="K523" s="218">
        <f t="shared" si="31"/>
        <v>4.6779694165678586E-2</v>
      </c>
      <c r="L523" s="218">
        <f t="shared" si="32"/>
        <v>382.7</v>
      </c>
      <c r="M523" s="218" t="s">
        <v>323</v>
      </c>
      <c r="P523" s="218">
        <v>518</v>
      </c>
      <c r="Q523" s="218">
        <v>402.7</v>
      </c>
      <c r="R523" s="218">
        <v>422</v>
      </c>
      <c r="S523" s="218">
        <v>314</v>
      </c>
      <c r="T523" s="218">
        <v>379.56666666666666</v>
      </c>
      <c r="U523" s="273">
        <v>2.6345832967418987E-3</v>
      </c>
      <c r="V523" s="218">
        <v>2.6357411517549697E-3</v>
      </c>
      <c r="W523" s="250">
        <v>4.5023477252807782E-5</v>
      </c>
      <c r="X523" s="250">
        <v>0.83789551140544516</v>
      </c>
      <c r="Z523" s="218">
        <v>515</v>
      </c>
      <c r="AA523" s="435">
        <v>0.83568800588668135</v>
      </c>
    </row>
    <row r="524" spans="1:27">
      <c r="A524" s="429">
        <v>0.68325231481481474</v>
      </c>
      <c r="B524" s="218">
        <v>403</v>
      </c>
      <c r="C524" s="218" t="s">
        <v>314</v>
      </c>
      <c r="D524" s="218">
        <v>202</v>
      </c>
      <c r="E524" s="218" t="s">
        <v>315</v>
      </c>
      <c r="F524" s="218">
        <v>22.7</v>
      </c>
      <c r="G524" s="218" t="s">
        <v>316</v>
      </c>
      <c r="H524" s="218">
        <v>467</v>
      </c>
      <c r="I524" s="218">
        <f t="shared" si="29"/>
        <v>404</v>
      </c>
      <c r="J524" s="218">
        <f t="shared" si="30"/>
        <v>2.4752475247524753E-3</v>
      </c>
      <c r="K524" s="218">
        <f t="shared" si="31"/>
        <v>4.6785836219089882E-2</v>
      </c>
      <c r="L524" s="218">
        <f t="shared" si="32"/>
        <v>383.7</v>
      </c>
      <c r="M524" s="218" t="s">
        <v>323</v>
      </c>
      <c r="P524" s="218">
        <v>519</v>
      </c>
      <c r="Q524" s="218">
        <v>401.7</v>
      </c>
      <c r="R524" s="218">
        <v>423</v>
      </c>
      <c r="S524" s="218">
        <v>315</v>
      </c>
      <c r="T524" s="218">
        <v>379.90000000000003</v>
      </c>
      <c r="U524" s="273">
        <v>2.6322716504343247E-3</v>
      </c>
      <c r="V524" s="218">
        <v>2.6334274735881117E-3</v>
      </c>
      <c r="W524" s="250">
        <v>4.4983955224536344E-5</v>
      </c>
      <c r="X524" s="250">
        <v>0.83863134657836658</v>
      </c>
      <c r="Z524" s="218">
        <v>516</v>
      </c>
      <c r="AA524" s="435">
        <v>0.83421633554083896</v>
      </c>
    </row>
    <row r="525" spans="1:27">
      <c r="A525" s="429">
        <v>0.68326388888888889</v>
      </c>
      <c r="B525" s="218">
        <v>403</v>
      </c>
      <c r="C525" s="218" t="s">
        <v>314</v>
      </c>
      <c r="D525" s="218">
        <v>202</v>
      </c>
      <c r="E525" s="218" t="s">
        <v>315</v>
      </c>
      <c r="F525" s="218">
        <v>22.7</v>
      </c>
      <c r="G525" s="218" t="s">
        <v>316</v>
      </c>
      <c r="H525" s="218">
        <v>468</v>
      </c>
      <c r="I525" s="218">
        <f t="shared" si="29"/>
        <v>403</v>
      </c>
      <c r="J525" s="218">
        <f t="shared" si="30"/>
        <v>2.4813895781637717E-3</v>
      </c>
      <c r="K525" s="218">
        <f t="shared" si="31"/>
        <v>4.6779694165678586E-2</v>
      </c>
      <c r="L525" s="218">
        <f t="shared" si="32"/>
        <v>382.7</v>
      </c>
      <c r="M525" s="218" t="s">
        <v>323</v>
      </c>
      <c r="P525" s="218">
        <v>520</v>
      </c>
      <c r="Q525" s="218">
        <v>403.7</v>
      </c>
      <c r="R525" s="218">
        <v>423</v>
      </c>
      <c r="S525" s="218">
        <v>315</v>
      </c>
      <c r="T525" s="218">
        <v>380.56666666666666</v>
      </c>
      <c r="U525" s="273">
        <v>2.6276605062625909E-3</v>
      </c>
      <c r="V525" s="218">
        <v>2.629966078348458E-3</v>
      </c>
      <c r="W525" s="250">
        <v>4.492482800343887E-5</v>
      </c>
      <c r="X525" s="250">
        <v>0.84010301692420897</v>
      </c>
      <c r="Z525" s="218">
        <v>517</v>
      </c>
      <c r="AA525" s="435">
        <v>0.83715967623252396</v>
      </c>
    </row>
    <row r="526" spans="1:27">
      <c r="A526" s="429">
        <v>0.68327546296296304</v>
      </c>
      <c r="B526" s="218">
        <v>405</v>
      </c>
      <c r="C526" s="218" t="s">
        <v>314</v>
      </c>
      <c r="D526" s="218">
        <v>203</v>
      </c>
      <c r="E526" s="218" t="s">
        <v>315</v>
      </c>
      <c r="F526" s="218">
        <v>22.7</v>
      </c>
      <c r="G526" s="218" t="s">
        <v>316</v>
      </c>
      <c r="H526" s="218">
        <v>469</v>
      </c>
      <c r="I526" s="218">
        <f t="shared" si="29"/>
        <v>403</v>
      </c>
      <c r="J526" s="218">
        <f t="shared" si="30"/>
        <v>2.4813895781637717E-3</v>
      </c>
      <c r="K526" s="218">
        <f t="shared" si="31"/>
        <v>4.6779694165678586E-2</v>
      </c>
      <c r="L526" s="218">
        <f t="shared" si="32"/>
        <v>382.7</v>
      </c>
      <c r="M526" s="218" t="s">
        <v>323</v>
      </c>
      <c r="P526" s="218">
        <v>521</v>
      </c>
      <c r="Q526" s="218">
        <v>401.7</v>
      </c>
      <c r="R526" s="218">
        <v>423</v>
      </c>
      <c r="S526" s="218">
        <v>317</v>
      </c>
      <c r="T526" s="218">
        <v>380.56666666666666</v>
      </c>
      <c r="U526" s="273">
        <v>2.6276605062625909E-3</v>
      </c>
      <c r="V526" s="218">
        <v>2.6276605062625909E-3</v>
      </c>
      <c r="W526" s="250">
        <v>4.4885444442464522E-5</v>
      </c>
      <c r="X526" s="250">
        <v>0.84010301692420897</v>
      </c>
      <c r="Z526" s="218">
        <v>518</v>
      </c>
      <c r="AA526" s="435">
        <v>0.83789551140544516</v>
      </c>
    </row>
    <row r="527" spans="1:27">
      <c r="A527" s="429">
        <v>0.68328703703703697</v>
      </c>
      <c r="B527" s="218">
        <v>403</v>
      </c>
      <c r="C527" s="218" t="s">
        <v>314</v>
      </c>
      <c r="D527" s="218">
        <v>202</v>
      </c>
      <c r="E527" s="218" t="s">
        <v>315</v>
      </c>
      <c r="F527" s="218">
        <v>22.7</v>
      </c>
      <c r="G527" s="218" t="s">
        <v>316</v>
      </c>
      <c r="H527" s="218">
        <v>470</v>
      </c>
      <c r="I527" s="218">
        <f t="shared" si="29"/>
        <v>405</v>
      </c>
      <c r="J527" s="218">
        <f t="shared" si="30"/>
        <v>2.4691358024691358E-3</v>
      </c>
      <c r="K527" s="218">
        <f t="shared" si="31"/>
        <v>4.6791947941373223E-2</v>
      </c>
      <c r="L527" s="218">
        <f t="shared" si="32"/>
        <v>384.7</v>
      </c>
      <c r="M527" s="218" t="s">
        <v>323</v>
      </c>
      <c r="P527" s="218">
        <v>522</v>
      </c>
      <c r="Q527" s="218">
        <v>403.7</v>
      </c>
      <c r="R527" s="218">
        <v>424</v>
      </c>
      <c r="S527" s="218">
        <v>317</v>
      </c>
      <c r="T527" s="218">
        <v>381.56666666666666</v>
      </c>
      <c r="U527" s="273">
        <v>2.6207740019219008E-3</v>
      </c>
      <c r="V527" s="218">
        <v>2.6242172540922458E-3</v>
      </c>
      <c r="W527" s="250">
        <v>4.4826627139534762E-5</v>
      </c>
      <c r="X527" s="250">
        <v>0.84231052244297278</v>
      </c>
      <c r="Z527" s="218">
        <v>519</v>
      </c>
      <c r="AA527" s="435">
        <v>0.83863134657836658</v>
      </c>
    </row>
    <row r="528" spans="1:27">
      <c r="A528" s="429">
        <v>0.68329861111111112</v>
      </c>
      <c r="B528" s="218">
        <v>406</v>
      </c>
      <c r="C528" s="218" t="s">
        <v>314</v>
      </c>
      <c r="D528" s="218">
        <v>203</v>
      </c>
      <c r="E528" s="218" t="s">
        <v>315</v>
      </c>
      <c r="F528" s="218">
        <v>22.7</v>
      </c>
      <c r="G528" s="218" t="s">
        <v>316</v>
      </c>
      <c r="H528" s="218">
        <v>471</v>
      </c>
      <c r="I528" s="218">
        <f t="shared" si="29"/>
        <v>403</v>
      </c>
      <c r="J528" s="218">
        <f t="shared" si="30"/>
        <v>2.4813895781637717E-3</v>
      </c>
      <c r="K528" s="218">
        <f t="shared" si="31"/>
        <v>4.6779694165678586E-2</v>
      </c>
      <c r="L528" s="218">
        <f t="shared" si="32"/>
        <v>382.7</v>
      </c>
      <c r="M528" s="218" t="s">
        <v>323</v>
      </c>
      <c r="P528" s="218">
        <v>523</v>
      </c>
      <c r="Q528" s="218">
        <v>402.7</v>
      </c>
      <c r="R528" s="218">
        <v>423</v>
      </c>
      <c r="S528" s="218">
        <v>316</v>
      </c>
      <c r="T528" s="218">
        <v>380.56666666666666</v>
      </c>
      <c r="U528" s="273">
        <v>2.6276605062625909E-3</v>
      </c>
      <c r="V528" s="218">
        <v>2.6242172540922458E-3</v>
      </c>
      <c r="W528" s="250">
        <v>4.4826627139534762E-5</v>
      </c>
      <c r="X528" s="250">
        <v>0.84010301692420897</v>
      </c>
      <c r="Z528" s="218">
        <v>520</v>
      </c>
      <c r="AA528" s="435">
        <v>0.84010301692420897</v>
      </c>
    </row>
    <row r="529" spans="1:27">
      <c r="A529" s="429">
        <v>0.68331018518518516</v>
      </c>
      <c r="B529" s="218">
        <v>404</v>
      </c>
      <c r="C529" s="218" t="s">
        <v>314</v>
      </c>
      <c r="D529" s="218">
        <v>202</v>
      </c>
      <c r="E529" s="218" t="s">
        <v>315</v>
      </c>
      <c r="F529" s="218">
        <v>22.7</v>
      </c>
      <c r="G529" s="218" t="s">
        <v>316</v>
      </c>
      <c r="H529" s="218">
        <v>472</v>
      </c>
      <c r="I529" s="218">
        <f t="shared" si="29"/>
        <v>406</v>
      </c>
      <c r="J529" s="218">
        <f t="shared" si="30"/>
        <v>2.4630541871921183E-3</v>
      </c>
      <c r="K529" s="218">
        <f t="shared" si="31"/>
        <v>4.6798029556650245E-2</v>
      </c>
      <c r="L529" s="218">
        <f t="shared" si="32"/>
        <v>385.7</v>
      </c>
      <c r="M529" s="218" t="s">
        <v>323</v>
      </c>
      <c r="P529" s="218">
        <v>524</v>
      </c>
      <c r="Q529" s="218">
        <v>402.7</v>
      </c>
      <c r="R529" s="218">
        <v>424</v>
      </c>
      <c r="S529" s="218">
        <v>316</v>
      </c>
      <c r="T529" s="218">
        <v>380.90000000000003</v>
      </c>
      <c r="U529" s="273">
        <v>2.625360987135731E-3</v>
      </c>
      <c r="V529" s="218">
        <v>2.6265107466991611E-3</v>
      </c>
      <c r="W529" s="250">
        <v>4.4865804360009607E-5</v>
      </c>
      <c r="X529" s="250">
        <v>0.84083885209713027</v>
      </c>
      <c r="Z529" s="218">
        <v>521</v>
      </c>
      <c r="AA529" s="435">
        <v>0.84010301692420897</v>
      </c>
    </row>
    <row r="530" spans="1:27">
      <c r="A530" s="429">
        <v>0.68332175925925931</v>
      </c>
      <c r="B530" s="218">
        <v>405</v>
      </c>
      <c r="C530" s="218" t="s">
        <v>314</v>
      </c>
      <c r="D530" s="218">
        <v>203</v>
      </c>
      <c r="E530" s="218" t="s">
        <v>315</v>
      </c>
      <c r="F530" s="218">
        <v>22.7</v>
      </c>
      <c r="G530" s="218" t="s">
        <v>316</v>
      </c>
      <c r="H530" s="218">
        <v>473</v>
      </c>
      <c r="I530" s="218">
        <f t="shared" si="29"/>
        <v>404</v>
      </c>
      <c r="J530" s="218">
        <f t="shared" si="30"/>
        <v>2.4752475247524753E-3</v>
      </c>
      <c r="K530" s="218">
        <f t="shared" si="31"/>
        <v>4.6785836219089882E-2</v>
      </c>
      <c r="L530" s="218">
        <f t="shared" si="32"/>
        <v>383.7</v>
      </c>
      <c r="M530" s="218" t="s">
        <v>323</v>
      </c>
      <c r="P530" s="218">
        <v>525</v>
      </c>
      <c r="Q530" s="218">
        <v>403.7</v>
      </c>
      <c r="R530" s="218">
        <v>424</v>
      </c>
      <c r="S530" s="218">
        <v>317</v>
      </c>
      <c r="T530" s="218">
        <v>381.56666666666666</v>
      </c>
      <c r="U530" s="273">
        <v>2.6207740019219008E-3</v>
      </c>
      <c r="V530" s="218">
        <v>2.6230674945288161E-3</v>
      </c>
      <c r="W530" s="250">
        <v>4.4806987057079847E-5</v>
      </c>
      <c r="X530" s="250">
        <v>0.84231052244297278</v>
      </c>
      <c r="Z530" s="218">
        <v>522</v>
      </c>
      <c r="AA530" s="435">
        <v>0.84231052244297278</v>
      </c>
    </row>
    <row r="531" spans="1:27">
      <c r="A531" s="429">
        <v>0.68333333333333324</v>
      </c>
      <c r="B531" s="218">
        <v>406</v>
      </c>
      <c r="C531" s="218" t="s">
        <v>314</v>
      </c>
      <c r="D531" s="218">
        <v>203</v>
      </c>
      <c r="E531" s="218" t="s">
        <v>315</v>
      </c>
      <c r="F531" s="218">
        <v>22.7</v>
      </c>
      <c r="G531" s="218" t="s">
        <v>316</v>
      </c>
      <c r="H531" s="218">
        <v>474</v>
      </c>
      <c r="I531" s="218">
        <f t="shared" si="29"/>
        <v>405</v>
      </c>
      <c r="J531" s="218">
        <f t="shared" si="30"/>
        <v>2.4691358024691358E-3</v>
      </c>
      <c r="K531" s="218">
        <f t="shared" si="31"/>
        <v>4.6791947941373223E-2</v>
      </c>
      <c r="L531" s="218">
        <f t="shared" si="32"/>
        <v>384.7</v>
      </c>
      <c r="M531" s="218" t="s">
        <v>323</v>
      </c>
      <c r="P531" s="218">
        <v>526</v>
      </c>
      <c r="Q531" s="218">
        <v>404.7</v>
      </c>
      <c r="R531" s="218">
        <v>425</v>
      </c>
      <c r="S531" s="218">
        <v>317</v>
      </c>
      <c r="T531" s="218">
        <v>382.23333333333335</v>
      </c>
      <c r="U531" s="273">
        <v>2.6162030173541464E-3</v>
      </c>
      <c r="V531" s="218">
        <v>2.6184885096380236E-3</v>
      </c>
      <c r="W531" s="250">
        <v>4.472876927688004E-5</v>
      </c>
      <c r="X531" s="250">
        <v>0.84378219278881539</v>
      </c>
      <c r="Z531" s="218">
        <v>523</v>
      </c>
      <c r="AA531" s="435">
        <v>0.84010301692420897</v>
      </c>
    </row>
    <row r="532" spans="1:27">
      <c r="A532" s="429">
        <v>0.68334490740740739</v>
      </c>
      <c r="B532" s="218">
        <v>407</v>
      </c>
      <c r="C532" s="218" t="s">
        <v>314</v>
      </c>
      <c r="D532" s="218">
        <v>204</v>
      </c>
      <c r="E532" s="218" t="s">
        <v>315</v>
      </c>
      <c r="F532" s="218">
        <v>22.7</v>
      </c>
      <c r="G532" s="218" t="s">
        <v>316</v>
      </c>
      <c r="H532" s="218">
        <v>475</v>
      </c>
      <c r="I532" s="218">
        <f t="shared" si="29"/>
        <v>406</v>
      </c>
      <c r="J532" s="218">
        <f t="shared" si="30"/>
        <v>2.4630541871921183E-3</v>
      </c>
      <c r="K532" s="218">
        <f t="shared" si="31"/>
        <v>4.6798029556650245E-2</v>
      </c>
      <c r="L532" s="218">
        <f t="shared" si="32"/>
        <v>385.7</v>
      </c>
      <c r="M532" s="218" t="s">
        <v>323</v>
      </c>
      <c r="P532" s="218">
        <v>527</v>
      </c>
      <c r="Q532" s="218">
        <v>403.7</v>
      </c>
      <c r="R532" s="218">
        <v>423</v>
      </c>
      <c r="S532" s="218">
        <v>317</v>
      </c>
      <c r="T532" s="218">
        <v>381.23333333333335</v>
      </c>
      <c r="U532" s="273">
        <v>2.6230654892017138E-3</v>
      </c>
      <c r="V532" s="218">
        <v>2.6196342532779299E-3</v>
      </c>
      <c r="W532" s="250">
        <v>4.4748340759714966E-5</v>
      </c>
      <c r="X532" s="250">
        <v>0.84157468727005158</v>
      </c>
      <c r="Z532" s="218">
        <v>524</v>
      </c>
      <c r="AA532" s="435">
        <v>0.84083885209713027</v>
      </c>
    </row>
    <row r="533" spans="1:27">
      <c r="A533" s="429">
        <v>0.68335648148148154</v>
      </c>
      <c r="B533" s="218">
        <v>408</v>
      </c>
      <c r="C533" s="218" t="s">
        <v>314</v>
      </c>
      <c r="D533" s="218">
        <v>204</v>
      </c>
      <c r="E533" s="218" t="s">
        <v>315</v>
      </c>
      <c r="F533" s="218">
        <v>22.7</v>
      </c>
      <c r="G533" s="218" t="s">
        <v>316</v>
      </c>
      <c r="H533" s="218">
        <v>476</v>
      </c>
      <c r="I533" s="218">
        <f t="shared" si="29"/>
        <v>407</v>
      </c>
      <c r="J533" s="218">
        <f t="shared" si="30"/>
        <v>2.4570024570024569E-3</v>
      </c>
      <c r="K533" s="218">
        <f t="shared" si="31"/>
        <v>4.6804081286839903E-2</v>
      </c>
      <c r="L533" s="218">
        <f t="shared" si="32"/>
        <v>386.7</v>
      </c>
      <c r="M533" s="218" t="s">
        <v>323</v>
      </c>
      <c r="P533" s="218">
        <v>528</v>
      </c>
      <c r="Q533" s="218">
        <v>405.7</v>
      </c>
      <c r="R533" s="218">
        <v>426</v>
      </c>
      <c r="S533" s="218">
        <v>317</v>
      </c>
      <c r="T533" s="218">
        <v>382.90000000000003</v>
      </c>
      <c r="U533" s="273">
        <v>2.6116479498563593E-3</v>
      </c>
      <c r="V533" s="218">
        <v>2.6173567195290365E-3</v>
      </c>
      <c r="W533" s="250">
        <v>4.4709436146920373E-5</v>
      </c>
      <c r="X533" s="250">
        <v>0.84525386313465789</v>
      </c>
      <c r="Z533" s="218">
        <v>525</v>
      </c>
      <c r="AA533" s="435">
        <v>0.84231052244297278</v>
      </c>
    </row>
    <row r="534" spans="1:27">
      <c r="A534" s="429">
        <v>0.68336805555555558</v>
      </c>
      <c r="B534" s="218">
        <v>409</v>
      </c>
      <c r="C534" s="218" t="s">
        <v>314</v>
      </c>
      <c r="D534" s="218">
        <v>205</v>
      </c>
      <c r="E534" s="218" t="s">
        <v>315</v>
      </c>
      <c r="F534" s="218">
        <v>22.7</v>
      </c>
      <c r="G534" s="218" t="s">
        <v>316</v>
      </c>
      <c r="H534" s="218">
        <v>477</v>
      </c>
      <c r="I534" s="218">
        <f t="shared" si="29"/>
        <v>408</v>
      </c>
      <c r="J534" s="218">
        <f t="shared" si="30"/>
        <v>2.4509803921568627E-3</v>
      </c>
      <c r="K534" s="218">
        <f t="shared" si="31"/>
        <v>4.6810103351685499E-2</v>
      </c>
      <c r="L534" s="218">
        <f t="shared" si="32"/>
        <v>387.7</v>
      </c>
      <c r="M534" s="218" t="s">
        <v>323</v>
      </c>
      <c r="P534" s="218">
        <v>529</v>
      </c>
      <c r="Q534" s="218">
        <v>405.7</v>
      </c>
      <c r="R534" s="218">
        <v>424</v>
      </c>
      <c r="S534" s="218">
        <v>318</v>
      </c>
      <c r="T534" s="218">
        <v>382.56666666666666</v>
      </c>
      <c r="U534" s="273">
        <v>2.6139234991722575E-3</v>
      </c>
      <c r="V534" s="218">
        <v>2.6127857245143082E-3</v>
      </c>
      <c r="W534" s="250">
        <v>4.4631354849016253E-5</v>
      </c>
      <c r="X534" s="250">
        <v>0.84451802796173658</v>
      </c>
      <c r="Z534" s="218">
        <v>526</v>
      </c>
      <c r="AA534" s="435">
        <v>0.84378219278881539</v>
      </c>
    </row>
    <row r="535" spans="1:27">
      <c r="A535" s="429">
        <v>0.68337962962962961</v>
      </c>
      <c r="B535" s="218">
        <v>408</v>
      </c>
      <c r="C535" s="218" t="s">
        <v>314</v>
      </c>
      <c r="D535" s="218">
        <v>204</v>
      </c>
      <c r="E535" s="218" t="s">
        <v>315</v>
      </c>
      <c r="F535" s="218">
        <v>22.7</v>
      </c>
      <c r="G535" s="218" t="s">
        <v>316</v>
      </c>
      <c r="H535" s="218">
        <v>478</v>
      </c>
      <c r="I535" s="218">
        <f t="shared" si="29"/>
        <v>409</v>
      </c>
      <c r="J535" s="218">
        <f t="shared" si="30"/>
        <v>2.4449877750611247E-3</v>
      </c>
      <c r="K535" s="218">
        <f t="shared" si="31"/>
        <v>4.6816095968781238E-2</v>
      </c>
      <c r="L535" s="218">
        <f t="shared" si="32"/>
        <v>388.7</v>
      </c>
      <c r="M535" s="218" t="s">
        <v>323</v>
      </c>
      <c r="P535" s="218">
        <v>530</v>
      </c>
      <c r="Q535" s="218">
        <v>405.7</v>
      </c>
      <c r="R535" s="218">
        <v>425</v>
      </c>
      <c r="S535" s="218">
        <v>318</v>
      </c>
      <c r="T535" s="218">
        <v>382.90000000000003</v>
      </c>
      <c r="U535" s="273">
        <v>2.6116479498563593E-3</v>
      </c>
      <c r="V535" s="218">
        <v>2.6127857245143082E-3</v>
      </c>
      <c r="W535" s="250">
        <v>4.4631354849016253E-5</v>
      </c>
      <c r="X535" s="250">
        <v>0.84525386313465789</v>
      </c>
      <c r="Z535" s="218">
        <v>527</v>
      </c>
      <c r="AA535" s="435">
        <v>0.84157468727005158</v>
      </c>
    </row>
    <row r="536" spans="1:27">
      <c r="A536" s="429">
        <v>0.68339120370370365</v>
      </c>
      <c r="B536" s="218">
        <v>409</v>
      </c>
      <c r="C536" s="218" t="s">
        <v>314</v>
      </c>
      <c r="D536" s="218">
        <v>205</v>
      </c>
      <c r="E536" s="218" t="s">
        <v>315</v>
      </c>
      <c r="F536" s="218">
        <v>22.7</v>
      </c>
      <c r="G536" s="218" t="s">
        <v>316</v>
      </c>
      <c r="H536" s="218">
        <v>479</v>
      </c>
      <c r="I536" s="218">
        <f t="shared" si="29"/>
        <v>408</v>
      </c>
      <c r="J536" s="218">
        <f t="shared" si="30"/>
        <v>2.4509803921568627E-3</v>
      </c>
      <c r="K536" s="218">
        <f t="shared" si="31"/>
        <v>4.6810103351685499E-2</v>
      </c>
      <c r="L536" s="218">
        <f t="shared" si="32"/>
        <v>387.7</v>
      </c>
      <c r="M536" s="218" t="s">
        <v>323</v>
      </c>
      <c r="P536" s="218">
        <v>531</v>
      </c>
      <c r="Q536" s="218">
        <v>406.7</v>
      </c>
      <c r="R536" s="218">
        <v>425</v>
      </c>
      <c r="S536" s="218">
        <v>320</v>
      </c>
      <c r="T536" s="218">
        <v>383.90000000000003</v>
      </c>
      <c r="U536" s="273">
        <v>2.6048450117218025E-3</v>
      </c>
      <c r="V536" s="218">
        <v>2.6082464807890811E-3</v>
      </c>
      <c r="W536" s="250">
        <v>4.4553815923590429E-5</v>
      </c>
      <c r="X536" s="250">
        <v>0.8474613686534217</v>
      </c>
      <c r="Z536" s="218">
        <v>528</v>
      </c>
      <c r="AA536" s="435">
        <v>0.84525386313465789</v>
      </c>
    </row>
    <row r="537" spans="1:27">
      <c r="A537" s="429">
        <v>0.6834027777777778</v>
      </c>
      <c r="B537" s="218">
        <v>410</v>
      </c>
      <c r="C537" s="218" t="s">
        <v>314</v>
      </c>
      <c r="D537" s="218">
        <v>205</v>
      </c>
      <c r="E537" s="218" t="s">
        <v>315</v>
      </c>
      <c r="F537" s="218">
        <v>22.7</v>
      </c>
      <c r="G537" s="218" t="s">
        <v>316</v>
      </c>
      <c r="H537" s="218">
        <v>480</v>
      </c>
      <c r="I537" s="218">
        <f t="shared" si="29"/>
        <v>409</v>
      </c>
      <c r="J537" s="218">
        <f t="shared" si="30"/>
        <v>2.4449877750611247E-3</v>
      </c>
      <c r="K537" s="218">
        <f t="shared" si="31"/>
        <v>4.6816095968781238E-2</v>
      </c>
      <c r="L537" s="218">
        <f t="shared" si="32"/>
        <v>388.7</v>
      </c>
      <c r="M537" s="218" t="s">
        <v>323</v>
      </c>
      <c r="P537" s="218">
        <v>532</v>
      </c>
      <c r="Q537" s="218">
        <v>406.7</v>
      </c>
      <c r="R537" s="218">
        <v>426</v>
      </c>
      <c r="S537" s="218">
        <v>320</v>
      </c>
      <c r="T537" s="218">
        <v>384.23333333333335</v>
      </c>
      <c r="U537" s="273">
        <v>2.6025852346664353E-3</v>
      </c>
      <c r="V537" s="218">
        <v>2.6037151231941189E-3</v>
      </c>
      <c r="W537" s="250">
        <v>4.4476411708284509E-5</v>
      </c>
      <c r="X537" s="250">
        <v>0.84819720382634289</v>
      </c>
      <c r="Z537" s="218">
        <v>529</v>
      </c>
      <c r="AA537" s="435">
        <v>0.84451802796173658</v>
      </c>
    </row>
    <row r="538" spans="1:27">
      <c r="A538" s="429">
        <v>0.68341435185185195</v>
      </c>
      <c r="B538" s="218">
        <v>409</v>
      </c>
      <c r="C538" s="218" t="s">
        <v>314</v>
      </c>
      <c r="D538" s="218">
        <v>205</v>
      </c>
      <c r="E538" s="218" t="s">
        <v>315</v>
      </c>
      <c r="F538" s="218">
        <v>22.7</v>
      </c>
      <c r="G538" s="218" t="s">
        <v>316</v>
      </c>
      <c r="H538" s="218">
        <v>481</v>
      </c>
      <c r="I538" s="218">
        <f t="shared" si="29"/>
        <v>410</v>
      </c>
      <c r="J538" s="218">
        <f t="shared" si="30"/>
        <v>2.4390243902439024E-3</v>
      </c>
      <c r="K538" s="218">
        <f t="shared" si="31"/>
        <v>4.6822059353598455E-2</v>
      </c>
      <c r="L538" s="218">
        <f t="shared" si="32"/>
        <v>389.7</v>
      </c>
      <c r="M538" s="218" t="s">
        <v>323</v>
      </c>
      <c r="P538" s="218">
        <v>533</v>
      </c>
      <c r="Q538" s="218">
        <v>408.7</v>
      </c>
      <c r="R538" s="218">
        <v>425</v>
      </c>
      <c r="S538" s="218">
        <v>320</v>
      </c>
      <c r="T538" s="218">
        <v>384.56666666666666</v>
      </c>
      <c r="U538" s="273">
        <v>2.6003293750541737E-3</v>
      </c>
      <c r="V538" s="218">
        <v>2.6014573048603043E-3</v>
      </c>
      <c r="W538" s="250">
        <v>4.4437843872317085E-5</v>
      </c>
      <c r="X538" s="250">
        <v>0.8489330389992642</v>
      </c>
      <c r="Z538" s="218">
        <v>530</v>
      </c>
      <c r="AA538" s="435">
        <v>0.84525386313465789</v>
      </c>
    </row>
    <row r="539" spans="1:27">
      <c r="A539" s="429">
        <v>0.68342592592592588</v>
      </c>
      <c r="B539" s="218">
        <v>412</v>
      </c>
      <c r="C539" s="218" t="s">
        <v>314</v>
      </c>
      <c r="D539" s="218">
        <v>206</v>
      </c>
      <c r="E539" s="218" t="s">
        <v>315</v>
      </c>
      <c r="F539" s="218">
        <v>22.7</v>
      </c>
      <c r="G539" s="218" t="s">
        <v>316</v>
      </c>
      <c r="H539" s="218">
        <v>482</v>
      </c>
      <c r="I539" s="218">
        <f t="shared" si="29"/>
        <v>409</v>
      </c>
      <c r="J539" s="218">
        <f t="shared" si="30"/>
        <v>2.4449877750611247E-3</v>
      </c>
      <c r="K539" s="218">
        <f t="shared" si="31"/>
        <v>4.6816095968781238E-2</v>
      </c>
      <c r="L539" s="218">
        <f t="shared" si="32"/>
        <v>388.7</v>
      </c>
      <c r="M539" s="218" t="s">
        <v>323</v>
      </c>
      <c r="P539" s="218">
        <v>534</v>
      </c>
      <c r="Q539" s="218">
        <v>405.7</v>
      </c>
      <c r="R539" s="218">
        <v>426</v>
      </c>
      <c r="S539" s="218">
        <v>320</v>
      </c>
      <c r="T539" s="218">
        <v>383.90000000000003</v>
      </c>
      <c r="U539" s="273">
        <v>2.6048450117218025E-3</v>
      </c>
      <c r="V539" s="218">
        <v>2.6025871933879879E-3</v>
      </c>
      <c r="W539" s="250">
        <v>4.4457144519647529E-5</v>
      </c>
      <c r="X539" s="250">
        <v>0.8474613686534217</v>
      </c>
      <c r="Z539" s="218">
        <v>531</v>
      </c>
      <c r="AA539" s="435">
        <v>0.8474613686534217</v>
      </c>
    </row>
    <row r="540" spans="1:27">
      <c r="A540" s="429">
        <v>0.68343750000000003</v>
      </c>
      <c r="B540" s="218">
        <v>409</v>
      </c>
      <c r="C540" s="218" t="s">
        <v>314</v>
      </c>
      <c r="D540" s="218">
        <v>205</v>
      </c>
      <c r="E540" s="218" t="s">
        <v>315</v>
      </c>
      <c r="F540" s="218">
        <v>22.7</v>
      </c>
      <c r="G540" s="218" t="s">
        <v>316</v>
      </c>
      <c r="H540" s="218">
        <v>483</v>
      </c>
      <c r="I540" s="218">
        <f t="shared" si="29"/>
        <v>412</v>
      </c>
      <c r="J540" s="218">
        <f t="shared" si="30"/>
        <v>2.4271844660194173E-3</v>
      </c>
      <c r="K540" s="218">
        <f t="shared" si="31"/>
        <v>4.6833899277822943E-2</v>
      </c>
      <c r="L540" s="218">
        <f t="shared" si="32"/>
        <v>391.7</v>
      </c>
      <c r="M540" s="218" t="s">
        <v>323</v>
      </c>
      <c r="P540" s="218">
        <v>535</v>
      </c>
      <c r="Q540" s="218">
        <v>407.7</v>
      </c>
      <c r="R540" s="218">
        <v>426</v>
      </c>
      <c r="S540" s="218">
        <v>323</v>
      </c>
      <c r="T540" s="218">
        <v>385.56666666666666</v>
      </c>
      <c r="U540" s="273">
        <v>2.5935851992737961E-3</v>
      </c>
      <c r="V540" s="218">
        <v>2.5992151054977991E-3</v>
      </c>
      <c r="W540" s="250">
        <v>4.4399542838117731E-5</v>
      </c>
      <c r="X540" s="250">
        <v>0.85114054451802801</v>
      </c>
      <c r="Z540" s="218">
        <v>532</v>
      </c>
      <c r="AA540" s="435">
        <v>0.84819720382634289</v>
      </c>
    </row>
    <row r="541" spans="1:27">
      <c r="A541" s="429">
        <v>0.68344907407407407</v>
      </c>
      <c r="B541" s="218">
        <v>411</v>
      </c>
      <c r="C541" s="218" t="s">
        <v>314</v>
      </c>
      <c r="D541" s="218">
        <v>206</v>
      </c>
      <c r="E541" s="218" t="s">
        <v>315</v>
      </c>
      <c r="F541" s="218">
        <v>22.7</v>
      </c>
      <c r="G541" s="218" t="s">
        <v>316</v>
      </c>
      <c r="H541" s="218">
        <v>484</v>
      </c>
      <c r="I541" s="218">
        <f t="shared" si="29"/>
        <v>409</v>
      </c>
      <c r="J541" s="218">
        <f t="shared" si="30"/>
        <v>2.4449877750611247E-3</v>
      </c>
      <c r="K541" s="218">
        <f t="shared" si="31"/>
        <v>4.6816095968781238E-2</v>
      </c>
      <c r="L541" s="218">
        <f t="shared" si="32"/>
        <v>388.7</v>
      </c>
      <c r="M541" s="218" t="s">
        <v>323</v>
      </c>
      <c r="P541" s="218">
        <v>536</v>
      </c>
      <c r="Q541" s="218">
        <v>407.7</v>
      </c>
      <c r="R541" s="218">
        <v>425</v>
      </c>
      <c r="S541" s="218">
        <v>323</v>
      </c>
      <c r="T541" s="218">
        <v>385.23333333333335</v>
      </c>
      <c r="U541" s="273">
        <v>2.5958293674829109E-3</v>
      </c>
      <c r="V541" s="218">
        <v>2.5947072833783537E-3</v>
      </c>
      <c r="W541" s="250">
        <v>4.4322540653544551E-5</v>
      </c>
      <c r="X541" s="250">
        <v>0.8504047093451067</v>
      </c>
      <c r="Z541" s="218">
        <v>533</v>
      </c>
      <c r="AA541" s="435">
        <v>0.8489330389992642</v>
      </c>
    </row>
    <row r="542" spans="1:27">
      <c r="A542" s="429">
        <v>0.68346064814814822</v>
      </c>
      <c r="B542" s="218">
        <v>411</v>
      </c>
      <c r="C542" s="218" t="s">
        <v>314</v>
      </c>
      <c r="D542" s="218">
        <v>206</v>
      </c>
      <c r="E542" s="218" t="s">
        <v>315</v>
      </c>
      <c r="F542" s="218">
        <v>22.7</v>
      </c>
      <c r="G542" s="218" t="s">
        <v>316</v>
      </c>
      <c r="H542" s="218">
        <v>485</v>
      </c>
      <c r="I542" s="218">
        <f t="shared" si="29"/>
        <v>411</v>
      </c>
      <c r="J542" s="218">
        <f t="shared" si="30"/>
        <v>2.4330900243309003E-3</v>
      </c>
      <c r="K542" s="218">
        <f t="shared" si="31"/>
        <v>4.6827993719511463E-2</v>
      </c>
      <c r="L542" s="218">
        <f t="shared" si="32"/>
        <v>390.7</v>
      </c>
      <c r="M542" s="218" t="s">
        <v>323</v>
      </c>
      <c r="P542" s="218">
        <v>537</v>
      </c>
      <c r="Q542" s="218">
        <v>407.7</v>
      </c>
      <c r="R542" s="218">
        <v>426</v>
      </c>
      <c r="S542" s="218">
        <v>320</v>
      </c>
      <c r="T542" s="218">
        <v>384.56666666666666</v>
      </c>
      <c r="U542" s="273">
        <v>2.6003293750541737E-3</v>
      </c>
      <c r="V542" s="218">
        <v>2.5980793712685425E-3</v>
      </c>
      <c r="W542" s="250">
        <v>4.4380142335074356E-5</v>
      </c>
      <c r="X542" s="250">
        <v>0.8489330389992642</v>
      </c>
      <c r="Z542" s="218">
        <v>534</v>
      </c>
      <c r="AA542" s="435">
        <v>0.8474613686534217</v>
      </c>
    </row>
    <row r="543" spans="1:27">
      <c r="A543" s="429">
        <v>0.68347222222222215</v>
      </c>
      <c r="B543" s="218">
        <v>412</v>
      </c>
      <c r="C543" s="218" t="s">
        <v>314</v>
      </c>
      <c r="D543" s="218">
        <v>206</v>
      </c>
      <c r="E543" s="218" t="s">
        <v>315</v>
      </c>
      <c r="F543" s="218">
        <v>22.7</v>
      </c>
      <c r="G543" s="218" t="s">
        <v>316</v>
      </c>
      <c r="H543" s="218">
        <v>486</v>
      </c>
      <c r="I543" s="218">
        <f t="shared" si="29"/>
        <v>411</v>
      </c>
      <c r="J543" s="218">
        <f t="shared" si="30"/>
        <v>2.4330900243309003E-3</v>
      </c>
      <c r="K543" s="218">
        <f t="shared" si="31"/>
        <v>4.6827993719511463E-2</v>
      </c>
      <c r="L543" s="218">
        <f t="shared" si="32"/>
        <v>390.7</v>
      </c>
      <c r="M543" s="218" t="s">
        <v>323</v>
      </c>
      <c r="P543" s="218">
        <v>538</v>
      </c>
      <c r="Q543" s="218">
        <v>408.7</v>
      </c>
      <c r="R543" s="218">
        <v>426</v>
      </c>
      <c r="S543" s="218">
        <v>320</v>
      </c>
      <c r="T543" s="218">
        <v>384.90000000000003</v>
      </c>
      <c r="U543" s="273">
        <v>2.5980774227071964E-3</v>
      </c>
      <c r="V543" s="218">
        <v>2.599203398880685E-3</v>
      </c>
      <c r="W543" s="250">
        <v>4.4399342866808336E-5</v>
      </c>
      <c r="X543" s="250">
        <v>0.84966887417218551</v>
      </c>
      <c r="Z543" s="218">
        <v>535</v>
      </c>
      <c r="AA543" s="435">
        <v>0.85114054451802801</v>
      </c>
    </row>
    <row r="544" spans="1:27">
      <c r="A544" s="429">
        <v>0.6834837962962963</v>
      </c>
      <c r="B544" s="218">
        <v>412</v>
      </c>
      <c r="C544" s="218" t="s">
        <v>314</v>
      </c>
      <c r="D544" s="218">
        <v>206</v>
      </c>
      <c r="E544" s="218" t="s">
        <v>315</v>
      </c>
      <c r="F544" s="218">
        <v>22.7</v>
      </c>
      <c r="G544" s="218" t="s">
        <v>316</v>
      </c>
      <c r="H544" s="218">
        <v>487</v>
      </c>
      <c r="I544" s="218">
        <f t="shared" si="29"/>
        <v>412</v>
      </c>
      <c r="J544" s="218">
        <f t="shared" si="30"/>
        <v>2.4271844660194173E-3</v>
      </c>
      <c r="K544" s="218">
        <f t="shared" si="31"/>
        <v>4.6833899277822943E-2</v>
      </c>
      <c r="L544" s="218">
        <f t="shared" si="32"/>
        <v>391.7</v>
      </c>
      <c r="M544" s="218" t="s">
        <v>323</v>
      </c>
      <c r="P544" s="218">
        <v>539</v>
      </c>
      <c r="Q544" s="218">
        <v>408.7</v>
      </c>
      <c r="R544" s="218">
        <v>427</v>
      </c>
      <c r="S544" s="218">
        <v>323</v>
      </c>
      <c r="T544" s="218">
        <v>386.23333333333335</v>
      </c>
      <c r="U544" s="273">
        <v>2.5891084836454645E-3</v>
      </c>
      <c r="V544" s="218">
        <v>2.5935929531763304E-3</v>
      </c>
      <c r="W544" s="250">
        <v>4.4303505772039022E-5</v>
      </c>
      <c r="X544" s="250">
        <v>0.85261221486387051</v>
      </c>
      <c r="Z544" s="218">
        <v>536</v>
      </c>
      <c r="AA544" s="435">
        <v>0.8504047093451067</v>
      </c>
    </row>
    <row r="545" spans="1:27">
      <c r="A545" s="429">
        <v>0.68349537037037045</v>
      </c>
      <c r="B545" s="218">
        <v>412</v>
      </c>
      <c r="C545" s="218" t="s">
        <v>314</v>
      </c>
      <c r="D545" s="218">
        <v>206</v>
      </c>
      <c r="E545" s="218" t="s">
        <v>315</v>
      </c>
      <c r="F545" s="218">
        <v>22.7</v>
      </c>
      <c r="G545" s="218" t="s">
        <v>316</v>
      </c>
      <c r="H545" s="218">
        <v>488</v>
      </c>
      <c r="I545" s="218">
        <f t="shared" si="29"/>
        <v>412</v>
      </c>
      <c r="J545" s="218">
        <f t="shared" si="30"/>
        <v>2.4271844660194173E-3</v>
      </c>
      <c r="K545" s="218">
        <f t="shared" si="31"/>
        <v>4.6833899277822943E-2</v>
      </c>
      <c r="L545" s="218">
        <f t="shared" si="32"/>
        <v>391.7</v>
      </c>
      <c r="M545" s="218" t="s">
        <v>323</v>
      </c>
      <c r="P545" s="218">
        <v>540</v>
      </c>
      <c r="Q545" s="218">
        <v>408.7</v>
      </c>
      <c r="R545" s="218">
        <v>426</v>
      </c>
      <c r="S545" s="218">
        <v>323</v>
      </c>
      <c r="T545" s="218">
        <v>385.90000000000003</v>
      </c>
      <c r="U545" s="273">
        <v>2.5913449080072555E-3</v>
      </c>
      <c r="V545" s="218">
        <v>2.5902266958263602E-3</v>
      </c>
      <c r="W545" s="250">
        <v>4.4246003687237347E-5</v>
      </c>
      <c r="X545" s="250">
        <v>0.85187637969094931</v>
      </c>
      <c r="Z545" s="218">
        <v>537</v>
      </c>
      <c r="AA545" s="435">
        <v>0.8489330389992642</v>
      </c>
    </row>
    <row r="546" spans="1:27">
      <c r="A546" s="429">
        <v>0.68350694444444438</v>
      </c>
      <c r="B546" s="218">
        <v>412</v>
      </c>
      <c r="C546" s="218" t="s">
        <v>314</v>
      </c>
      <c r="D546" s="218">
        <v>206</v>
      </c>
      <c r="E546" s="218" t="s">
        <v>315</v>
      </c>
      <c r="F546" s="218">
        <v>22.7</v>
      </c>
      <c r="G546" s="218" t="s">
        <v>316</v>
      </c>
      <c r="H546" s="218">
        <v>489</v>
      </c>
      <c r="I546" s="218">
        <f t="shared" si="29"/>
        <v>412</v>
      </c>
      <c r="J546" s="218">
        <f t="shared" si="30"/>
        <v>2.4271844660194173E-3</v>
      </c>
      <c r="K546" s="218">
        <f t="shared" si="31"/>
        <v>4.6833899277822943E-2</v>
      </c>
      <c r="L546" s="218">
        <f t="shared" si="32"/>
        <v>391.7</v>
      </c>
      <c r="M546" s="218" t="s">
        <v>323</v>
      </c>
      <c r="P546" s="218">
        <v>541</v>
      </c>
      <c r="Q546" s="218">
        <v>409.7</v>
      </c>
      <c r="R546" s="218">
        <v>428</v>
      </c>
      <c r="S546" s="218">
        <v>323</v>
      </c>
      <c r="T546" s="218">
        <v>386.90000000000003</v>
      </c>
      <c r="U546" s="273">
        <v>2.5846471956577923E-3</v>
      </c>
      <c r="V546" s="218">
        <v>2.5879960518325239E-3</v>
      </c>
      <c r="W546" s="250">
        <v>4.420790004073597E-5</v>
      </c>
      <c r="X546" s="250">
        <v>0.85408388520971312</v>
      </c>
      <c r="Z546" s="218">
        <v>538</v>
      </c>
      <c r="AA546" s="435">
        <v>0.84966887417218551</v>
      </c>
    </row>
    <row r="547" spans="1:27">
      <c r="A547" s="429">
        <v>0.68351851851851853</v>
      </c>
      <c r="B547" s="218">
        <v>413</v>
      </c>
      <c r="C547" s="218" t="s">
        <v>314</v>
      </c>
      <c r="D547" s="218">
        <v>207</v>
      </c>
      <c r="E547" s="218" t="s">
        <v>315</v>
      </c>
      <c r="F547" s="218">
        <v>22.7</v>
      </c>
      <c r="G547" s="218" t="s">
        <v>316</v>
      </c>
      <c r="H547" s="218">
        <v>490</v>
      </c>
      <c r="I547" s="218">
        <f t="shared" si="29"/>
        <v>412</v>
      </c>
      <c r="J547" s="218">
        <f t="shared" si="30"/>
        <v>2.4271844660194173E-3</v>
      </c>
      <c r="K547" s="218">
        <f t="shared" si="31"/>
        <v>4.6833899277822943E-2</v>
      </c>
      <c r="L547" s="218">
        <f t="shared" si="32"/>
        <v>391.7</v>
      </c>
      <c r="M547" s="218" t="s">
        <v>323</v>
      </c>
      <c r="P547" s="218">
        <v>542</v>
      </c>
      <c r="Q547" s="218">
        <v>409.7</v>
      </c>
      <c r="R547" s="218">
        <v>425</v>
      </c>
      <c r="S547" s="218">
        <v>323</v>
      </c>
      <c r="T547" s="218">
        <v>385.90000000000003</v>
      </c>
      <c r="U547" s="273">
        <v>2.5913449080072555E-3</v>
      </c>
      <c r="V547" s="218">
        <v>2.5879960518325239E-3</v>
      </c>
      <c r="W547" s="250">
        <v>4.420790004073597E-5</v>
      </c>
      <c r="X547" s="250">
        <v>0.85187637969094931</v>
      </c>
      <c r="Z547" s="218">
        <v>539</v>
      </c>
      <c r="AA547" s="435">
        <v>0.85261221486387051</v>
      </c>
    </row>
    <row r="548" spans="1:27">
      <c r="A548" s="429">
        <v>0.68353009259259256</v>
      </c>
      <c r="B548" s="218">
        <v>413</v>
      </c>
      <c r="C548" s="218" t="s">
        <v>314</v>
      </c>
      <c r="D548" s="218">
        <v>207</v>
      </c>
      <c r="E548" s="218" t="s">
        <v>315</v>
      </c>
      <c r="F548" s="218">
        <v>22.7</v>
      </c>
      <c r="G548" s="218" t="s">
        <v>316</v>
      </c>
      <c r="H548" s="218">
        <v>491</v>
      </c>
      <c r="I548" s="218">
        <f t="shared" si="29"/>
        <v>413</v>
      </c>
      <c r="J548" s="218">
        <f t="shared" si="30"/>
        <v>2.4213075060532689E-3</v>
      </c>
      <c r="K548" s="218">
        <f t="shared" si="31"/>
        <v>4.6839776237789094E-2</v>
      </c>
      <c r="L548" s="218">
        <f t="shared" si="32"/>
        <v>392.7</v>
      </c>
      <c r="M548" s="218" t="s">
        <v>323</v>
      </c>
      <c r="P548" s="218">
        <v>543</v>
      </c>
      <c r="Q548" s="218">
        <v>409.7</v>
      </c>
      <c r="R548" s="218">
        <v>427</v>
      </c>
      <c r="S548" s="218">
        <v>324</v>
      </c>
      <c r="T548" s="218">
        <v>386.90000000000003</v>
      </c>
      <c r="U548" s="273">
        <v>2.5846471956577923E-3</v>
      </c>
      <c r="V548" s="218">
        <v>2.5879960518325239E-3</v>
      </c>
      <c r="W548" s="250">
        <v>4.420790004073597E-5</v>
      </c>
      <c r="X548" s="250">
        <v>0.85408388520971312</v>
      </c>
      <c r="Z548" s="218">
        <v>540</v>
      </c>
      <c r="AA548" s="435">
        <v>0.85187637969094931</v>
      </c>
    </row>
    <row r="549" spans="1:27">
      <c r="A549" s="429">
        <v>0.68354166666666671</v>
      </c>
      <c r="B549" s="218">
        <v>413</v>
      </c>
      <c r="C549" s="218" t="s">
        <v>314</v>
      </c>
      <c r="D549" s="218">
        <v>207</v>
      </c>
      <c r="E549" s="218" t="s">
        <v>315</v>
      </c>
      <c r="F549" s="218">
        <v>22.7</v>
      </c>
      <c r="G549" s="218" t="s">
        <v>316</v>
      </c>
      <c r="H549" s="218">
        <v>492</v>
      </c>
      <c r="I549" s="218">
        <f t="shared" si="29"/>
        <v>413</v>
      </c>
      <c r="J549" s="218">
        <f t="shared" si="30"/>
        <v>2.4213075060532689E-3</v>
      </c>
      <c r="K549" s="218">
        <f t="shared" si="31"/>
        <v>4.6839776237789094E-2</v>
      </c>
      <c r="L549" s="218">
        <f t="shared" si="32"/>
        <v>392.7</v>
      </c>
      <c r="M549" s="218" t="s">
        <v>323</v>
      </c>
      <c r="P549" s="218">
        <v>544</v>
      </c>
      <c r="Q549" s="218">
        <v>409.7</v>
      </c>
      <c r="R549" s="218">
        <v>426</v>
      </c>
      <c r="S549" s="218">
        <v>324</v>
      </c>
      <c r="T549" s="218">
        <v>386.56666666666666</v>
      </c>
      <c r="U549" s="273">
        <v>2.5868759161852203E-3</v>
      </c>
      <c r="V549" s="218">
        <v>2.5857615559215065E-3</v>
      </c>
      <c r="W549" s="250">
        <v>4.4169730596155192E-5</v>
      </c>
      <c r="X549" s="250">
        <v>0.85334805003679171</v>
      </c>
      <c r="Z549" s="218">
        <v>541</v>
      </c>
      <c r="AA549" s="435">
        <v>0.85408388520971312</v>
      </c>
    </row>
    <row r="550" spans="1:27">
      <c r="A550" s="429">
        <v>0.68355324074074064</v>
      </c>
      <c r="B550" s="218">
        <v>415</v>
      </c>
      <c r="C550" s="218" t="s">
        <v>314</v>
      </c>
      <c r="D550" s="218">
        <v>208</v>
      </c>
      <c r="E550" s="218" t="s">
        <v>315</v>
      </c>
      <c r="F550" s="218">
        <v>22.7</v>
      </c>
      <c r="G550" s="218" t="s">
        <v>316</v>
      </c>
      <c r="H550" s="218">
        <v>493</v>
      </c>
      <c r="I550" s="218">
        <f t="shared" si="29"/>
        <v>413</v>
      </c>
      <c r="J550" s="218">
        <f t="shared" si="30"/>
        <v>2.4213075060532689E-3</v>
      </c>
      <c r="K550" s="218">
        <f t="shared" si="31"/>
        <v>4.6839776237789094E-2</v>
      </c>
      <c r="L550" s="218">
        <f t="shared" si="32"/>
        <v>392.7</v>
      </c>
      <c r="M550" s="218" t="s">
        <v>323</v>
      </c>
      <c r="P550" s="218">
        <v>545</v>
      </c>
      <c r="Q550" s="218">
        <v>409.7</v>
      </c>
      <c r="R550" s="218">
        <v>427</v>
      </c>
      <c r="S550" s="218">
        <v>327</v>
      </c>
      <c r="T550" s="218">
        <v>387.90000000000003</v>
      </c>
      <c r="U550" s="273">
        <v>2.5779840164990974E-3</v>
      </c>
      <c r="V550" s="218">
        <v>2.5824299663421589E-3</v>
      </c>
      <c r="W550" s="250">
        <v>4.4112820702882262E-5</v>
      </c>
      <c r="X550" s="250">
        <v>0.85629139072847693</v>
      </c>
      <c r="Z550" s="218">
        <v>542</v>
      </c>
      <c r="AA550" s="435">
        <v>0.85187637969094931</v>
      </c>
    </row>
    <row r="551" spans="1:27">
      <c r="A551" s="429">
        <v>0.68356481481481479</v>
      </c>
      <c r="B551" s="218">
        <v>414</v>
      </c>
      <c r="C551" s="218" t="s">
        <v>314</v>
      </c>
      <c r="D551" s="218">
        <v>207</v>
      </c>
      <c r="E551" s="218" t="s">
        <v>315</v>
      </c>
      <c r="F551" s="218">
        <v>22.7</v>
      </c>
      <c r="G551" s="218" t="s">
        <v>316</v>
      </c>
      <c r="H551" s="218">
        <v>494</v>
      </c>
      <c r="I551" s="218">
        <f t="shared" si="29"/>
        <v>415</v>
      </c>
      <c r="J551" s="218">
        <f t="shared" si="30"/>
        <v>2.4096385542168677E-3</v>
      </c>
      <c r="K551" s="218">
        <f t="shared" si="31"/>
        <v>4.6851445189625494E-2</v>
      </c>
      <c r="L551" s="218">
        <f t="shared" si="32"/>
        <v>394.7</v>
      </c>
      <c r="M551" s="218" t="s">
        <v>323</v>
      </c>
      <c r="P551" s="218">
        <v>546</v>
      </c>
      <c r="Q551" s="218">
        <v>411.7</v>
      </c>
      <c r="R551" s="218">
        <v>427</v>
      </c>
      <c r="S551" s="218">
        <v>327</v>
      </c>
      <c r="T551" s="218">
        <v>388.56666666666666</v>
      </c>
      <c r="U551" s="273">
        <v>2.5735609505018442E-3</v>
      </c>
      <c r="V551" s="218">
        <v>2.575772483500471E-3</v>
      </c>
      <c r="W551" s="250">
        <v>4.399909822027652E-5</v>
      </c>
      <c r="X551" s="250">
        <v>0.85776306107431932</v>
      </c>
      <c r="Z551" s="218">
        <v>543</v>
      </c>
      <c r="AA551" s="435">
        <v>0.85408388520971312</v>
      </c>
    </row>
    <row r="552" spans="1:27">
      <c r="A552" s="429">
        <v>0.68357638888888894</v>
      </c>
      <c r="B552" s="218">
        <v>416</v>
      </c>
      <c r="C552" s="218" t="s">
        <v>314</v>
      </c>
      <c r="D552" s="218">
        <v>208</v>
      </c>
      <c r="E552" s="218" t="s">
        <v>315</v>
      </c>
      <c r="F552" s="218">
        <v>22.7</v>
      </c>
      <c r="G552" s="218" t="s">
        <v>316</v>
      </c>
      <c r="H552" s="218">
        <v>495</v>
      </c>
      <c r="I552" s="218">
        <f t="shared" si="29"/>
        <v>414</v>
      </c>
      <c r="J552" s="218">
        <f t="shared" si="30"/>
        <v>2.4154589371980675E-3</v>
      </c>
      <c r="K552" s="218">
        <f t="shared" si="31"/>
        <v>4.6845624806644295E-2</v>
      </c>
      <c r="L552" s="218">
        <f t="shared" si="32"/>
        <v>393.7</v>
      </c>
      <c r="M552" s="218" t="s">
        <v>323</v>
      </c>
      <c r="P552" s="218">
        <v>547</v>
      </c>
      <c r="Q552" s="218">
        <v>408.7</v>
      </c>
      <c r="R552" s="218">
        <v>428</v>
      </c>
      <c r="S552" s="218">
        <v>329</v>
      </c>
      <c r="T552" s="218">
        <v>388.56666666666666</v>
      </c>
      <c r="U552" s="273">
        <v>2.5735609505018442E-3</v>
      </c>
      <c r="V552" s="218">
        <v>2.5735609505018442E-3</v>
      </c>
      <c r="W552" s="250">
        <v>4.3961321025960143E-5</v>
      </c>
      <c r="X552" s="250">
        <v>0.85776306107431932</v>
      </c>
      <c r="Z552" s="218">
        <v>544</v>
      </c>
      <c r="AA552" s="435">
        <v>0.85334805003679171</v>
      </c>
    </row>
    <row r="553" spans="1:27">
      <c r="A553" s="429">
        <v>0.68358796296296298</v>
      </c>
      <c r="B553" s="218">
        <v>415</v>
      </c>
      <c r="C553" s="218" t="s">
        <v>314</v>
      </c>
      <c r="D553" s="218">
        <v>208</v>
      </c>
      <c r="E553" s="218" t="s">
        <v>315</v>
      </c>
      <c r="F553" s="218">
        <v>22.7</v>
      </c>
      <c r="G553" s="218" t="s">
        <v>316</v>
      </c>
      <c r="H553" s="218">
        <v>496</v>
      </c>
      <c r="I553" s="218">
        <f t="shared" si="29"/>
        <v>416</v>
      </c>
      <c r="J553" s="218">
        <f t="shared" si="30"/>
        <v>2.403846153846154E-3</v>
      </c>
      <c r="K553" s="218">
        <f t="shared" si="31"/>
        <v>4.6857237589996208E-2</v>
      </c>
      <c r="L553" s="218">
        <f t="shared" si="32"/>
        <v>395.7</v>
      </c>
      <c r="M553" s="218" t="s">
        <v>323</v>
      </c>
      <c r="P553" s="218">
        <v>548</v>
      </c>
      <c r="Q553" s="218">
        <v>411.7</v>
      </c>
      <c r="R553" s="218">
        <v>429</v>
      </c>
      <c r="S553" s="218">
        <v>329</v>
      </c>
      <c r="T553" s="218">
        <v>389.90000000000003</v>
      </c>
      <c r="U553" s="273">
        <v>2.5647601949217746E-3</v>
      </c>
      <c r="V553" s="218">
        <v>2.5691605727118094E-3</v>
      </c>
      <c r="W553" s="250">
        <v>4.3886154195104438E-5</v>
      </c>
      <c r="X553" s="250">
        <v>0.86070640176600444</v>
      </c>
      <c r="Z553" s="218">
        <v>545</v>
      </c>
      <c r="AA553" s="435">
        <v>0.85629139072847693</v>
      </c>
    </row>
    <row r="554" spans="1:27">
      <c r="A554" s="429">
        <v>0.68359953703703702</v>
      </c>
      <c r="B554" s="218">
        <v>416</v>
      </c>
      <c r="C554" s="218" t="s">
        <v>314</v>
      </c>
      <c r="D554" s="218">
        <v>208</v>
      </c>
      <c r="E554" s="218" t="s">
        <v>315</v>
      </c>
      <c r="F554" s="218">
        <v>22.7</v>
      </c>
      <c r="G554" s="218" t="s">
        <v>316</v>
      </c>
      <c r="H554" s="218">
        <v>497</v>
      </c>
      <c r="I554" s="218">
        <f t="shared" si="29"/>
        <v>415</v>
      </c>
      <c r="J554" s="218">
        <f t="shared" si="30"/>
        <v>2.4096385542168677E-3</v>
      </c>
      <c r="K554" s="218">
        <f t="shared" si="31"/>
        <v>4.6851445189625494E-2</v>
      </c>
      <c r="L554" s="218">
        <f t="shared" si="32"/>
        <v>394.7</v>
      </c>
      <c r="M554" s="218" t="s">
        <v>323</v>
      </c>
      <c r="P554" s="218">
        <v>549</v>
      </c>
      <c r="Q554" s="218">
        <v>410.7</v>
      </c>
      <c r="R554" s="218">
        <v>428</v>
      </c>
      <c r="S554" s="218">
        <v>332</v>
      </c>
      <c r="T554" s="218">
        <v>390.23333333333335</v>
      </c>
      <c r="U554" s="273">
        <v>2.5625694029213289E-3</v>
      </c>
      <c r="V554" s="218">
        <v>2.5636647989215515E-3</v>
      </c>
      <c r="W554" s="250">
        <v>4.3792275914960161E-5</v>
      </c>
      <c r="X554" s="250">
        <v>0.86144223693892574</v>
      </c>
      <c r="Z554" s="218">
        <v>546</v>
      </c>
      <c r="AA554" s="435">
        <v>0.85776306107431932</v>
      </c>
    </row>
    <row r="555" spans="1:27">
      <c r="A555" s="429">
        <v>0.68361111111111106</v>
      </c>
      <c r="B555" s="218">
        <v>416</v>
      </c>
      <c r="C555" s="218" t="s">
        <v>314</v>
      </c>
      <c r="D555" s="218">
        <v>208</v>
      </c>
      <c r="E555" s="218" t="s">
        <v>315</v>
      </c>
      <c r="F555" s="218">
        <v>22.7</v>
      </c>
      <c r="G555" s="218" t="s">
        <v>316</v>
      </c>
      <c r="H555" s="218">
        <v>498</v>
      </c>
      <c r="I555" s="218">
        <f t="shared" si="29"/>
        <v>416</v>
      </c>
      <c r="J555" s="218">
        <f t="shared" si="30"/>
        <v>2.403846153846154E-3</v>
      </c>
      <c r="K555" s="218">
        <f t="shared" si="31"/>
        <v>4.6857237589996208E-2</v>
      </c>
      <c r="L555" s="218">
        <f t="shared" si="32"/>
        <v>395.7</v>
      </c>
      <c r="M555" s="218" t="s">
        <v>323</v>
      </c>
      <c r="P555" s="218">
        <v>550</v>
      </c>
      <c r="Q555" s="218">
        <v>410.7</v>
      </c>
      <c r="R555" s="218">
        <v>429</v>
      </c>
      <c r="S555" s="218">
        <v>332</v>
      </c>
      <c r="T555" s="218">
        <v>390.56666666666666</v>
      </c>
      <c r="U555" s="273">
        <v>2.5603823504309975E-3</v>
      </c>
      <c r="V555" s="218">
        <v>2.5614758766761632E-3</v>
      </c>
      <c r="W555" s="250">
        <v>4.3754884955359374E-5</v>
      </c>
      <c r="X555" s="250">
        <v>0.86217807211184694</v>
      </c>
      <c r="Z555" s="218">
        <v>547</v>
      </c>
      <c r="AA555" s="435">
        <v>0.85776306107431932</v>
      </c>
    </row>
    <row r="556" spans="1:27">
      <c r="A556" s="429">
        <v>0.68362268518518521</v>
      </c>
      <c r="B556" s="218">
        <v>416</v>
      </c>
      <c r="C556" s="218" t="s">
        <v>314</v>
      </c>
      <c r="D556" s="218">
        <v>208</v>
      </c>
      <c r="E556" s="218" t="s">
        <v>315</v>
      </c>
      <c r="F556" s="218">
        <v>22.7</v>
      </c>
      <c r="G556" s="218" t="s">
        <v>316</v>
      </c>
      <c r="H556" s="218">
        <v>499</v>
      </c>
      <c r="I556" s="218">
        <f t="shared" si="29"/>
        <v>416</v>
      </c>
      <c r="J556" s="218">
        <f t="shared" si="30"/>
        <v>2.403846153846154E-3</v>
      </c>
      <c r="K556" s="218">
        <f t="shared" si="31"/>
        <v>4.6857237589996208E-2</v>
      </c>
      <c r="L556" s="218">
        <f t="shared" si="32"/>
        <v>395.7</v>
      </c>
      <c r="M556" s="218" t="s">
        <v>323</v>
      </c>
      <c r="P556" s="218">
        <v>551</v>
      </c>
      <c r="Q556" s="218">
        <v>411.7</v>
      </c>
      <c r="R556" s="218">
        <v>429</v>
      </c>
      <c r="S556" s="218">
        <v>332</v>
      </c>
      <c r="T556" s="218">
        <v>390.90000000000003</v>
      </c>
      <c r="U556" s="273">
        <v>2.558199027884369E-3</v>
      </c>
      <c r="V556" s="218">
        <v>2.5592906891576833E-3</v>
      </c>
      <c r="W556" s="250">
        <v>4.3717557792004997E-5</v>
      </c>
      <c r="X556" s="250">
        <v>0.86291390728476824</v>
      </c>
      <c r="Z556" s="218">
        <v>548</v>
      </c>
      <c r="AA556" s="435">
        <v>0.86070640176600444</v>
      </c>
    </row>
    <row r="557" spans="1:27">
      <c r="A557" s="429">
        <v>0.68363425925925936</v>
      </c>
      <c r="B557" s="218">
        <v>417</v>
      </c>
      <c r="C557" s="218" t="s">
        <v>314</v>
      </c>
      <c r="D557" s="218">
        <v>209</v>
      </c>
      <c r="E557" s="218" t="s">
        <v>315</v>
      </c>
      <c r="F557" s="218">
        <v>22.7</v>
      </c>
      <c r="G557" s="218" t="s">
        <v>316</v>
      </c>
      <c r="H557" s="218">
        <v>500</v>
      </c>
      <c r="I557" s="218">
        <f t="shared" si="29"/>
        <v>416</v>
      </c>
      <c r="J557" s="218">
        <f t="shared" si="30"/>
        <v>2.403846153846154E-3</v>
      </c>
      <c r="K557" s="218">
        <f t="shared" si="31"/>
        <v>4.6857237589996208E-2</v>
      </c>
      <c r="L557" s="218">
        <f t="shared" si="32"/>
        <v>395.7</v>
      </c>
      <c r="M557" s="218" t="s">
        <v>323</v>
      </c>
      <c r="P557" s="218">
        <v>552</v>
      </c>
      <c r="Q557" s="218">
        <v>411.7</v>
      </c>
      <c r="R557" s="218">
        <v>429</v>
      </c>
      <c r="S557" s="218">
        <v>332</v>
      </c>
      <c r="T557" s="218">
        <v>390.90000000000003</v>
      </c>
      <c r="U557" s="273">
        <v>2.558199027884369E-3</v>
      </c>
      <c r="V557" s="218">
        <v>2.558199027884369E-3</v>
      </c>
      <c r="W557" s="250">
        <v>4.3698910138962853E-5</v>
      </c>
      <c r="X557" s="250">
        <v>0.86291390728476824</v>
      </c>
      <c r="Z557" s="218">
        <v>549</v>
      </c>
      <c r="AA557" s="435">
        <v>0.86144223693892574</v>
      </c>
    </row>
    <row r="558" spans="1:27">
      <c r="A558" s="429">
        <v>0.68364583333333329</v>
      </c>
      <c r="B558" s="218">
        <v>418</v>
      </c>
      <c r="C558" s="218" t="s">
        <v>314</v>
      </c>
      <c r="D558" s="218">
        <v>209</v>
      </c>
      <c r="E558" s="218" t="s">
        <v>315</v>
      </c>
      <c r="F558" s="218">
        <v>22.7</v>
      </c>
      <c r="G558" s="218" t="s">
        <v>316</v>
      </c>
      <c r="H558" s="218">
        <v>501</v>
      </c>
      <c r="I558" s="218">
        <f t="shared" si="29"/>
        <v>417</v>
      </c>
      <c r="J558" s="218">
        <f t="shared" si="30"/>
        <v>2.3980815347721821E-3</v>
      </c>
      <c r="K558" s="218">
        <f t="shared" si="31"/>
        <v>4.6863002209070179E-2</v>
      </c>
      <c r="L558" s="218">
        <f t="shared" si="32"/>
        <v>396.7</v>
      </c>
      <c r="M558" s="218" t="s">
        <v>323</v>
      </c>
      <c r="P558" s="218">
        <v>553</v>
      </c>
      <c r="Q558" s="218">
        <v>411.7</v>
      </c>
      <c r="R558" s="218">
        <v>428</v>
      </c>
      <c r="S558" s="218">
        <v>334</v>
      </c>
      <c r="T558" s="218">
        <v>391.23333333333335</v>
      </c>
      <c r="U558" s="273">
        <v>2.5560194257476356E-3</v>
      </c>
      <c r="V558" s="218">
        <v>2.5571092268160023E-3</v>
      </c>
      <c r="W558" s="250">
        <v>4.3680294261762989E-5</v>
      </c>
      <c r="X558" s="250">
        <v>0.86364974245768955</v>
      </c>
      <c r="Z558" s="218">
        <v>550</v>
      </c>
      <c r="AA558" s="435">
        <v>0.86217807211184694</v>
      </c>
    </row>
    <row r="559" spans="1:27">
      <c r="A559" s="429">
        <v>0.68365740740740744</v>
      </c>
      <c r="B559" s="218">
        <v>417</v>
      </c>
      <c r="C559" s="218" t="s">
        <v>314</v>
      </c>
      <c r="D559" s="218">
        <v>209</v>
      </c>
      <c r="E559" s="218" t="s">
        <v>315</v>
      </c>
      <c r="F559" s="218">
        <v>22.7</v>
      </c>
      <c r="G559" s="218" t="s">
        <v>316</v>
      </c>
      <c r="H559" s="218">
        <v>502</v>
      </c>
      <c r="I559" s="218">
        <f t="shared" si="29"/>
        <v>418</v>
      </c>
      <c r="J559" s="218">
        <f t="shared" si="30"/>
        <v>2.3923444976076554E-3</v>
      </c>
      <c r="K559" s="218">
        <f t="shared" si="31"/>
        <v>4.6868739246234706E-2</v>
      </c>
      <c r="L559" s="218">
        <f t="shared" si="32"/>
        <v>397.7</v>
      </c>
      <c r="M559" s="218" t="s">
        <v>323</v>
      </c>
      <c r="P559" s="218">
        <v>554</v>
      </c>
      <c r="Q559" s="218">
        <v>412.7</v>
      </c>
      <c r="R559" s="218">
        <v>430</v>
      </c>
      <c r="S559" s="218">
        <v>334</v>
      </c>
      <c r="T559" s="218">
        <v>392.23333333333335</v>
      </c>
      <c r="U559" s="273">
        <v>2.5495028469448458E-3</v>
      </c>
      <c r="V559" s="218">
        <v>2.5527611363462405E-3</v>
      </c>
      <c r="W559" s="250">
        <v>4.3606020597891206E-5</v>
      </c>
      <c r="X559" s="250">
        <v>0.86585724797645336</v>
      </c>
      <c r="Z559" s="218">
        <v>551</v>
      </c>
      <c r="AA559" s="435">
        <v>0.86291390728476824</v>
      </c>
    </row>
    <row r="560" spans="1:27">
      <c r="A560" s="429">
        <v>0.68366898148148147</v>
      </c>
      <c r="B560" s="218">
        <v>418</v>
      </c>
      <c r="C560" s="218" t="s">
        <v>314</v>
      </c>
      <c r="D560" s="218">
        <v>209</v>
      </c>
      <c r="E560" s="218" t="s">
        <v>315</v>
      </c>
      <c r="F560" s="218">
        <v>22.7</v>
      </c>
      <c r="G560" s="218" t="s">
        <v>316</v>
      </c>
      <c r="H560" s="218">
        <v>503</v>
      </c>
      <c r="I560" s="218">
        <f t="shared" si="29"/>
        <v>417</v>
      </c>
      <c r="J560" s="218">
        <f t="shared" si="30"/>
        <v>2.3980815347721821E-3</v>
      </c>
      <c r="K560" s="218">
        <f t="shared" si="31"/>
        <v>4.6863002209070179E-2</v>
      </c>
      <c r="L560" s="218">
        <f t="shared" si="32"/>
        <v>396.7</v>
      </c>
      <c r="M560" s="218" t="s">
        <v>323</v>
      </c>
      <c r="P560" s="218">
        <v>555</v>
      </c>
      <c r="Q560" s="218">
        <v>411.7</v>
      </c>
      <c r="R560" s="218">
        <v>428</v>
      </c>
      <c r="S560" s="218">
        <v>334</v>
      </c>
      <c r="T560" s="218">
        <v>391.23333333333335</v>
      </c>
      <c r="U560" s="273">
        <v>2.5560194257476356E-3</v>
      </c>
      <c r="V560" s="218">
        <v>2.5527611363462405E-3</v>
      </c>
      <c r="W560" s="250">
        <v>4.3606020597891206E-5</v>
      </c>
      <c r="X560" s="250">
        <v>0.86364974245768955</v>
      </c>
      <c r="Z560" s="218">
        <v>552</v>
      </c>
      <c r="AA560" s="435">
        <v>0.86291390728476824</v>
      </c>
    </row>
    <row r="561" spans="1:27">
      <c r="A561" s="429">
        <v>0.68368055555555562</v>
      </c>
      <c r="B561" s="218">
        <v>419</v>
      </c>
      <c r="C561" s="218" t="s">
        <v>314</v>
      </c>
      <c r="D561" s="218">
        <v>210</v>
      </c>
      <c r="E561" s="218" t="s">
        <v>315</v>
      </c>
      <c r="F561" s="218">
        <v>22.7</v>
      </c>
      <c r="G561" s="218" t="s">
        <v>316</v>
      </c>
      <c r="H561" s="218">
        <v>504</v>
      </c>
      <c r="I561" s="218">
        <f t="shared" si="29"/>
        <v>418</v>
      </c>
      <c r="J561" s="218">
        <f t="shared" si="30"/>
        <v>2.3923444976076554E-3</v>
      </c>
      <c r="K561" s="218">
        <f t="shared" si="31"/>
        <v>4.6868739246234706E-2</v>
      </c>
      <c r="L561" s="218">
        <f t="shared" si="32"/>
        <v>397.7</v>
      </c>
      <c r="M561" s="218" t="s">
        <v>323</v>
      </c>
      <c r="P561" s="218">
        <v>556</v>
      </c>
      <c r="Q561" s="218">
        <v>412.7</v>
      </c>
      <c r="R561" s="218">
        <v>429</v>
      </c>
      <c r="S561" s="218">
        <v>334</v>
      </c>
      <c r="T561" s="218">
        <v>391.90000000000003</v>
      </c>
      <c r="U561" s="273">
        <v>2.5516713447307983E-3</v>
      </c>
      <c r="V561" s="218">
        <v>2.5538453852392172E-3</v>
      </c>
      <c r="W561" s="250">
        <v>4.3624541633364212E-5</v>
      </c>
      <c r="X561" s="250">
        <v>0.86512141280353205</v>
      </c>
      <c r="Z561" s="218">
        <v>553</v>
      </c>
      <c r="AA561" s="435">
        <v>0.86364974245768955</v>
      </c>
    </row>
    <row r="562" spans="1:27">
      <c r="A562" s="429">
        <v>0.68369212962962955</v>
      </c>
      <c r="B562" s="218">
        <v>419</v>
      </c>
      <c r="C562" s="218" t="s">
        <v>314</v>
      </c>
      <c r="D562" s="218">
        <v>210</v>
      </c>
      <c r="E562" s="218" t="s">
        <v>315</v>
      </c>
      <c r="F562" s="218">
        <v>22.7</v>
      </c>
      <c r="G562" s="218" t="s">
        <v>316</v>
      </c>
      <c r="H562" s="218">
        <v>505</v>
      </c>
      <c r="I562" s="218">
        <f t="shared" si="29"/>
        <v>419</v>
      </c>
      <c r="J562" s="218">
        <f t="shared" si="30"/>
        <v>2.3866348448687352E-3</v>
      </c>
      <c r="K562" s="218">
        <f t="shared" si="31"/>
        <v>4.6874448898973624E-2</v>
      </c>
      <c r="L562" s="218">
        <f t="shared" si="32"/>
        <v>398.7</v>
      </c>
      <c r="M562" s="218" t="s">
        <v>323</v>
      </c>
      <c r="P562" s="218">
        <v>557</v>
      </c>
      <c r="Q562" s="218">
        <v>412.7</v>
      </c>
      <c r="R562" s="218">
        <v>428</v>
      </c>
      <c r="S562" s="218">
        <v>334</v>
      </c>
      <c r="T562" s="218">
        <v>391.56666666666666</v>
      </c>
      <c r="U562" s="273">
        <v>2.5538435345194518E-3</v>
      </c>
      <c r="V562" s="218">
        <v>2.552757439625125E-3</v>
      </c>
      <c r="W562" s="250">
        <v>4.36059574508561E-5</v>
      </c>
      <c r="X562" s="250">
        <v>0.86438557763061075</v>
      </c>
      <c r="Z562" s="218">
        <v>554</v>
      </c>
      <c r="AA562" s="435">
        <v>0.86585724797645336</v>
      </c>
    </row>
    <row r="563" spans="1:27">
      <c r="A563" s="429">
        <v>0.6837037037037037</v>
      </c>
      <c r="B563" s="218">
        <v>421</v>
      </c>
      <c r="C563" s="218" t="s">
        <v>314</v>
      </c>
      <c r="D563" s="218">
        <v>211</v>
      </c>
      <c r="E563" s="218" t="s">
        <v>315</v>
      </c>
      <c r="F563" s="218">
        <v>22.7</v>
      </c>
      <c r="G563" s="218" t="s">
        <v>316</v>
      </c>
      <c r="H563" s="218">
        <v>506</v>
      </c>
      <c r="I563" s="218">
        <f t="shared" si="29"/>
        <v>419</v>
      </c>
      <c r="J563" s="218">
        <f t="shared" si="30"/>
        <v>2.3866348448687352E-3</v>
      </c>
      <c r="K563" s="218">
        <f t="shared" si="31"/>
        <v>4.6874448898973624E-2</v>
      </c>
      <c r="L563" s="218">
        <f t="shared" si="32"/>
        <v>398.7</v>
      </c>
      <c r="M563" s="218" t="s">
        <v>323</v>
      </c>
      <c r="P563" s="218">
        <v>558</v>
      </c>
      <c r="Q563" s="218">
        <v>412.7</v>
      </c>
      <c r="R563" s="218">
        <v>430</v>
      </c>
      <c r="S563" s="218">
        <v>334</v>
      </c>
      <c r="T563" s="218">
        <v>392.23333333333335</v>
      </c>
      <c r="U563" s="273">
        <v>2.5495028469448458E-3</v>
      </c>
      <c r="V563" s="218">
        <v>2.5516731907321488E-3</v>
      </c>
      <c r="W563" s="250">
        <v>4.3587436415383101E-5</v>
      </c>
      <c r="X563" s="250">
        <v>0.86585724797645336</v>
      </c>
      <c r="Z563" s="218">
        <v>555</v>
      </c>
      <c r="AA563" s="435">
        <v>0.86364974245768955</v>
      </c>
    </row>
    <row r="564" spans="1:27">
      <c r="A564" s="429">
        <v>0.68371527777777785</v>
      </c>
      <c r="B564" s="218">
        <v>418</v>
      </c>
      <c r="C564" s="218" t="s">
        <v>314</v>
      </c>
      <c r="D564" s="218">
        <v>209</v>
      </c>
      <c r="E564" s="218" t="s">
        <v>315</v>
      </c>
      <c r="F564" s="218">
        <v>22.7</v>
      </c>
      <c r="G564" s="218" t="s">
        <v>316</v>
      </c>
      <c r="H564" s="218">
        <v>507</v>
      </c>
      <c r="I564" s="218">
        <f t="shared" si="29"/>
        <v>421</v>
      </c>
      <c r="J564" s="218">
        <f t="shared" si="30"/>
        <v>2.3752969121140144E-3</v>
      </c>
      <c r="K564" s="218">
        <f t="shared" si="31"/>
        <v>4.6885786831728345E-2</v>
      </c>
      <c r="L564" s="218">
        <f t="shared" si="32"/>
        <v>400.7</v>
      </c>
      <c r="M564" s="218" t="s">
        <v>323</v>
      </c>
      <c r="P564" s="218">
        <v>559</v>
      </c>
      <c r="Q564" s="218">
        <v>413.7</v>
      </c>
      <c r="R564" s="218">
        <v>429</v>
      </c>
      <c r="S564" s="218">
        <v>336</v>
      </c>
      <c r="T564" s="218">
        <v>392.90000000000003</v>
      </c>
      <c r="U564" s="273">
        <v>2.5451768897938403E-3</v>
      </c>
      <c r="V564" s="218">
        <v>2.547339868369343E-3</v>
      </c>
      <c r="W564" s="250">
        <v>4.3513415018896211E-5</v>
      </c>
      <c r="X564" s="250">
        <v>0.86732891832229586</v>
      </c>
      <c r="Z564" s="218">
        <v>556</v>
      </c>
      <c r="AA564" s="435">
        <v>0.86512141280353205</v>
      </c>
    </row>
    <row r="565" spans="1:27">
      <c r="A565" s="429">
        <v>0.68372685185185178</v>
      </c>
      <c r="B565" s="218">
        <v>420</v>
      </c>
      <c r="C565" s="218" t="s">
        <v>314</v>
      </c>
      <c r="D565" s="218">
        <v>210</v>
      </c>
      <c r="E565" s="218" t="s">
        <v>315</v>
      </c>
      <c r="F565" s="218">
        <v>22.7</v>
      </c>
      <c r="G565" s="218" t="s">
        <v>316</v>
      </c>
      <c r="H565" s="218">
        <v>508</v>
      </c>
      <c r="I565" s="218">
        <f t="shared" si="29"/>
        <v>418</v>
      </c>
      <c r="J565" s="218">
        <f t="shared" si="30"/>
        <v>2.3923444976076554E-3</v>
      </c>
      <c r="K565" s="218">
        <f t="shared" si="31"/>
        <v>4.6868739246234706E-2</v>
      </c>
      <c r="L565" s="218">
        <f t="shared" si="32"/>
        <v>397.7</v>
      </c>
      <c r="M565" s="218" t="s">
        <v>323</v>
      </c>
      <c r="P565" s="218">
        <v>560</v>
      </c>
      <c r="Q565" s="218">
        <v>411.7</v>
      </c>
      <c r="R565" s="218">
        <v>430</v>
      </c>
      <c r="S565" s="218">
        <v>336</v>
      </c>
      <c r="T565" s="218">
        <v>392.56666666666666</v>
      </c>
      <c r="U565" s="273">
        <v>2.5473380317568143E-3</v>
      </c>
      <c r="V565" s="218">
        <v>2.5462574607753273E-3</v>
      </c>
      <c r="W565" s="250">
        <v>4.3494925436315241E-5</v>
      </c>
      <c r="X565" s="250">
        <v>0.86659308314937455</v>
      </c>
      <c r="Z565" s="218">
        <v>557</v>
      </c>
      <c r="AA565" s="435">
        <v>0.86438557763061075</v>
      </c>
    </row>
    <row r="566" spans="1:27">
      <c r="A566" s="429">
        <v>0.68373842592592593</v>
      </c>
      <c r="B566" s="218">
        <v>419</v>
      </c>
      <c r="C566" s="218" t="s">
        <v>314</v>
      </c>
      <c r="D566" s="218">
        <v>210</v>
      </c>
      <c r="E566" s="218" t="s">
        <v>315</v>
      </c>
      <c r="F566" s="218">
        <v>22.7</v>
      </c>
      <c r="G566" s="218" t="s">
        <v>316</v>
      </c>
      <c r="H566" s="218">
        <v>509</v>
      </c>
      <c r="I566" s="218">
        <f t="shared" si="29"/>
        <v>420</v>
      </c>
      <c r="J566" s="218">
        <f t="shared" si="30"/>
        <v>2.3809523809523812E-3</v>
      </c>
      <c r="K566" s="218">
        <f t="shared" si="31"/>
        <v>4.688013136288998E-2</v>
      </c>
      <c r="L566" s="218">
        <f t="shared" si="32"/>
        <v>399.7</v>
      </c>
      <c r="M566" s="218" t="s">
        <v>323</v>
      </c>
      <c r="P566" s="218">
        <v>561</v>
      </c>
      <c r="Q566" s="218">
        <v>413.7</v>
      </c>
      <c r="R566" s="218">
        <v>431</v>
      </c>
      <c r="S566" s="218">
        <v>334</v>
      </c>
      <c r="T566" s="218">
        <v>392.90000000000003</v>
      </c>
      <c r="U566" s="273">
        <v>2.5451768897938403E-3</v>
      </c>
      <c r="V566" s="218">
        <v>2.5462574607753273E-3</v>
      </c>
      <c r="W566" s="250">
        <v>4.3494925436315241E-5</v>
      </c>
      <c r="X566" s="250">
        <v>0.86732891832229586</v>
      </c>
      <c r="Z566" s="218">
        <v>558</v>
      </c>
      <c r="AA566" s="435">
        <v>0.86585724797645336</v>
      </c>
    </row>
    <row r="567" spans="1:27">
      <c r="A567" s="429">
        <v>0.68374999999999997</v>
      </c>
      <c r="B567" s="218">
        <v>420</v>
      </c>
      <c r="C567" s="218" t="s">
        <v>314</v>
      </c>
      <c r="D567" s="218">
        <v>210</v>
      </c>
      <c r="E567" s="218" t="s">
        <v>315</v>
      </c>
      <c r="F567" s="218">
        <v>22.7</v>
      </c>
      <c r="G567" s="218" t="s">
        <v>316</v>
      </c>
      <c r="H567" s="218">
        <v>510</v>
      </c>
      <c r="I567" s="218">
        <f t="shared" si="29"/>
        <v>419</v>
      </c>
      <c r="J567" s="218">
        <f t="shared" si="30"/>
        <v>2.3866348448687352E-3</v>
      </c>
      <c r="K567" s="218">
        <f t="shared" si="31"/>
        <v>4.6874448898973624E-2</v>
      </c>
      <c r="L567" s="218">
        <f t="shared" si="32"/>
        <v>398.7</v>
      </c>
      <c r="M567" s="218" t="s">
        <v>323</v>
      </c>
      <c r="P567" s="218">
        <v>562</v>
      </c>
      <c r="Q567" s="218">
        <v>411.7</v>
      </c>
      <c r="R567" s="218">
        <v>430</v>
      </c>
      <c r="S567" s="218">
        <v>334</v>
      </c>
      <c r="T567" s="218">
        <v>391.90000000000003</v>
      </c>
      <c r="U567" s="273">
        <v>2.5516713447307983E-3</v>
      </c>
      <c r="V567" s="218">
        <v>2.5484241172623193E-3</v>
      </c>
      <c r="W567" s="250">
        <v>4.3531936054369209E-5</v>
      </c>
      <c r="X567" s="250">
        <v>0.86512141280353205</v>
      </c>
      <c r="Z567" s="218">
        <v>559</v>
      </c>
      <c r="AA567" s="435">
        <v>0.86732891832229586</v>
      </c>
    </row>
    <row r="568" spans="1:27">
      <c r="A568" s="429">
        <v>0.68376157407407412</v>
      </c>
      <c r="B568" s="218">
        <v>421</v>
      </c>
      <c r="C568" s="218" t="s">
        <v>314</v>
      </c>
      <c r="D568" s="218">
        <v>211</v>
      </c>
      <c r="E568" s="218" t="s">
        <v>315</v>
      </c>
      <c r="F568" s="218">
        <v>22.7</v>
      </c>
      <c r="G568" s="218" t="s">
        <v>316</v>
      </c>
      <c r="H568" s="218">
        <v>511</v>
      </c>
      <c r="I568" s="218">
        <f t="shared" si="29"/>
        <v>420</v>
      </c>
      <c r="J568" s="218">
        <f t="shared" si="30"/>
        <v>2.3809523809523812E-3</v>
      </c>
      <c r="K568" s="218">
        <f t="shared" si="31"/>
        <v>4.688013136288998E-2</v>
      </c>
      <c r="L568" s="218">
        <f t="shared" si="32"/>
        <v>399.7</v>
      </c>
      <c r="M568" s="218" t="s">
        <v>323</v>
      </c>
      <c r="P568" s="218">
        <v>563</v>
      </c>
      <c r="Q568" s="218">
        <v>413.7</v>
      </c>
      <c r="R568" s="218">
        <v>430</v>
      </c>
      <c r="S568" s="218">
        <v>338</v>
      </c>
      <c r="T568" s="218">
        <v>393.90000000000003</v>
      </c>
      <c r="U568" s="273">
        <v>2.5387154100025384E-3</v>
      </c>
      <c r="V568" s="218">
        <v>2.5451933773666686E-3</v>
      </c>
      <c r="W568" s="250">
        <v>4.3476748865708927E-5</v>
      </c>
      <c r="X568" s="250">
        <v>0.86953642384105967</v>
      </c>
      <c r="Z568" s="218">
        <v>560</v>
      </c>
      <c r="AA568" s="435">
        <v>0.86659308314937455</v>
      </c>
    </row>
    <row r="569" spans="1:27">
      <c r="A569" s="429">
        <v>0.68377314814814805</v>
      </c>
      <c r="B569" s="218">
        <v>422</v>
      </c>
      <c r="C569" s="218" t="s">
        <v>314</v>
      </c>
      <c r="D569" s="218">
        <v>211</v>
      </c>
      <c r="E569" s="218" t="s">
        <v>315</v>
      </c>
      <c r="F569" s="218">
        <v>22.7</v>
      </c>
      <c r="G569" s="218" t="s">
        <v>316</v>
      </c>
      <c r="H569" s="218">
        <v>512</v>
      </c>
      <c r="I569" s="218">
        <f t="shared" si="29"/>
        <v>421</v>
      </c>
      <c r="J569" s="218">
        <f t="shared" si="30"/>
        <v>2.3752969121140144E-3</v>
      </c>
      <c r="K569" s="218">
        <f t="shared" si="31"/>
        <v>4.6885786831728345E-2</v>
      </c>
      <c r="L569" s="218">
        <f t="shared" si="32"/>
        <v>400.7</v>
      </c>
      <c r="M569" s="218" t="s">
        <v>323</v>
      </c>
      <c r="P569" s="218">
        <v>564</v>
      </c>
      <c r="Q569" s="218">
        <v>413.7</v>
      </c>
      <c r="R569" s="218">
        <v>431</v>
      </c>
      <c r="S569" s="218">
        <v>338</v>
      </c>
      <c r="T569" s="218">
        <v>394.23333333333335</v>
      </c>
      <c r="U569" s="273">
        <v>2.5365688678447621E-3</v>
      </c>
      <c r="V569" s="218">
        <v>2.53764213892365E-3</v>
      </c>
      <c r="W569" s="250">
        <v>4.3347759335745639E-5</v>
      </c>
      <c r="X569" s="250">
        <v>0.87027225901398086</v>
      </c>
      <c r="Z569" s="218">
        <v>561</v>
      </c>
      <c r="AA569" s="435">
        <v>0.86732891832229586</v>
      </c>
    </row>
    <row r="570" spans="1:27">
      <c r="A570" s="429">
        <v>0.6837847222222222</v>
      </c>
      <c r="B570" s="218">
        <v>421</v>
      </c>
      <c r="C570" s="218" t="s">
        <v>314</v>
      </c>
      <c r="D570" s="218">
        <v>211</v>
      </c>
      <c r="E570" s="218" t="s">
        <v>315</v>
      </c>
      <c r="F570" s="218">
        <v>22.7</v>
      </c>
      <c r="G570" s="218" t="s">
        <v>316</v>
      </c>
      <c r="H570" s="218">
        <v>513</v>
      </c>
      <c r="I570" s="218">
        <f t="shared" ref="I570:I633" si="33">B569</f>
        <v>422</v>
      </c>
      <c r="J570" s="218">
        <f t="shared" ref="J570:J633" si="34">1/I570</f>
        <v>2.3696682464454978E-3</v>
      </c>
      <c r="K570" s="218">
        <f t="shared" ref="K570:K633" si="35">$J$57-J570</f>
        <v>4.6891415497396866E-2</v>
      </c>
      <c r="L570" s="218">
        <f t="shared" ref="L570:L633" si="36">(B569-$J$55)</f>
        <v>401.7</v>
      </c>
      <c r="M570" s="218" t="s">
        <v>323</v>
      </c>
      <c r="P570" s="218">
        <v>565</v>
      </c>
      <c r="Q570" s="218">
        <v>413.7</v>
      </c>
      <c r="R570" s="218">
        <v>431</v>
      </c>
      <c r="S570" s="218">
        <v>338</v>
      </c>
      <c r="T570" s="218">
        <v>394.23333333333335</v>
      </c>
      <c r="U570" s="273">
        <v>2.5365688678447621E-3</v>
      </c>
      <c r="V570" s="218">
        <v>2.5365688678447621E-3</v>
      </c>
      <c r="W570" s="250">
        <v>4.3329425822238728E-5</v>
      </c>
      <c r="X570" s="250">
        <v>0.87027225901398086</v>
      </c>
      <c r="Z570" s="218">
        <v>562</v>
      </c>
      <c r="AA570" s="435">
        <v>0.86512141280353205</v>
      </c>
    </row>
    <row r="571" spans="1:27">
      <c r="A571" s="429">
        <v>0.68379629629629635</v>
      </c>
      <c r="B571" s="218">
        <v>422</v>
      </c>
      <c r="C571" s="218" t="s">
        <v>314</v>
      </c>
      <c r="D571" s="218">
        <v>211</v>
      </c>
      <c r="E571" s="218" t="s">
        <v>315</v>
      </c>
      <c r="F571" s="218">
        <v>22.7</v>
      </c>
      <c r="G571" s="218" t="s">
        <v>316</v>
      </c>
      <c r="H571" s="218">
        <v>514</v>
      </c>
      <c r="I571" s="218">
        <f t="shared" si="33"/>
        <v>421</v>
      </c>
      <c r="J571" s="218">
        <f t="shared" si="34"/>
        <v>2.3752969121140144E-3</v>
      </c>
      <c r="K571" s="218">
        <f t="shared" si="35"/>
        <v>4.6885786831728345E-2</v>
      </c>
      <c r="L571" s="218">
        <f t="shared" si="36"/>
        <v>400.7</v>
      </c>
      <c r="M571" s="218" t="s">
        <v>323</v>
      </c>
      <c r="P571" s="218">
        <v>566</v>
      </c>
      <c r="Q571" s="218">
        <v>414.7</v>
      </c>
      <c r="R571" s="218">
        <v>430</v>
      </c>
      <c r="S571" s="218">
        <v>338</v>
      </c>
      <c r="T571" s="218">
        <v>394.23333333333335</v>
      </c>
      <c r="U571" s="273">
        <v>2.5365688678447621E-3</v>
      </c>
      <c r="V571" s="218">
        <v>2.5365688678447621E-3</v>
      </c>
      <c r="W571" s="250">
        <v>4.3329425822238728E-5</v>
      </c>
      <c r="X571" s="250">
        <v>0.87027225901398086</v>
      </c>
      <c r="Z571" s="218">
        <v>563</v>
      </c>
      <c r="AA571" s="435">
        <v>0.86953642384105967</v>
      </c>
    </row>
    <row r="572" spans="1:27">
      <c r="A572" s="429">
        <v>0.68380787037037039</v>
      </c>
      <c r="B572" s="218">
        <v>421</v>
      </c>
      <c r="C572" s="218" t="s">
        <v>314</v>
      </c>
      <c r="D572" s="218">
        <v>211</v>
      </c>
      <c r="E572" s="218" t="s">
        <v>315</v>
      </c>
      <c r="F572" s="218">
        <v>22.7</v>
      </c>
      <c r="G572" s="218" t="s">
        <v>316</v>
      </c>
      <c r="H572" s="218">
        <v>515</v>
      </c>
      <c r="I572" s="218">
        <f t="shared" si="33"/>
        <v>422</v>
      </c>
      <c r="J572" s="218">
        <f t="shared" si="34"/>
        <v>2.3696682464454978E-3</v>
      </c>
      <c r="K572" s="218">
        <f t="shared" si="35"/>
        <v>4.6891415497396866E-2</v>
      </c>
      <c r="L572" s="218">
        <f t="shared" si="36"/>
        <v>401.7</v>
      </c>
      <c r="M572" s="218" t="s">
        <v>323</v>
      </c>
      <c r="P572" s="218">
        <v>567</v>
      </c>
      <c r="Q572" s="218">
        <v>414.7</v>
      </c>
      <c r="R572" s="218">
        <v>432</v>
      </c>
      <c r="S572" s="218">
        <v>338</v>
      </c>
      <c r="T572" s="218">
        <v>394.90000000000003</v>
      </c>
      <c r="U572" s="273">
        <v>2.5322866548493288E-3</v>
      </c>
      <c r="V572" s="218">
        <v>2.5344277613470454E-3</v>
      </c>
      <c r="W572" s="250">
        <v>4.3292851646648079E-5</v>
      </c>
      <c r="X572" s="250">
        <v>0.87174392935982348</v>
      </c>
      <c r="Z572" s="218">
        <v>564</v>
      </c>
      <c r="AA572" s="435">
        <v>0.87027225901398086</v>
      </c>
    </row>
    <row r="573" spans="1:27">
      <c r="A573" s="429">
        <v>0.68381944444444442</v>
      </c>
      <c r="B573" s="218">
        <v>422</v>
      </c>
      <c r="C573" s="218" t="s">
        <v>314</v>
      </c>
      <c r="D573" s="218">
        <v>211</v>
      </c>
      <c r="E573" s="218" t="s">
        <v>315</v>
      </c>
      <c r="F573" s="218">
        <v>22.7</v>
      </c>
      <c r="G573" s="218" t="s">
        <v>316</v>
      </c>
      <c r="H573" s="218">
        <v>516</v>
      </c>
      <c r="I573" s="218">
        <f t="shared" si="33"/>
        <v>421</v>
      </c>
      <c r="J573" s="218">
        <f t="shared" si="34"/>
        <v>2.3752969121140144E-3</v>
      </c>
      <c r="K573" s="218">
        <f t="shared" si="35"/>
        <v>4.6885786831728345E-2</v>
      </c>
      <c r="L573" s="218">
        <f t="shared" si="36"/>
        <v>400.7</v>
      </c>
      <c r="M573" s="218" t="s">
        <v>323</v>
      </c>
      <c r="P573" s="218">
        <v>568</v>
      </c>
      <c r="Q573" s="218">
        <v>413.7</v>
      </c>
      <c r="R573" s="218">
        <v>429</v>
      </c>
      <c r="S573" s="218">
        <v>338</v>
      </c>
      <c r="T573" s="218">
        <v>393.56666666666666</v>
      </c>
      <c r="U573" s="273">
        <v>2.5408655882103838E-3</v>
      </c>
      <c r="V573" s="218">
        <v>2.5365761215298561E-3</v>
      </c>
      <c r="W573" s="250">
        <v>4.3329549728990957E-5</v>
      </c>
      <c r="X573" s="250">
        <v>0.86880058866813836</v>
      </c>
      <c r="Z573" s="218">
        <v>565</v>
      </c>
      <c r="AA573" s="435">
        <v>0.87027225901398086</v>
      </c>
    </row>
    <row r="574" spans="1:27">
      <c r="A574" s="429">
        <v>0.68383101851851846</v>
      </c>
      <c r="B574" s="218">
        <v>423</v>
      </c>
      <c r="C574" s="218" t="s">
        <v>314</v>
      </c>
      <c r="D574" s="218">
        <v>212</v>
      </c>
      <c r="E574" s="218" t="s">
        <v>315</v>
      </c>
      <c r="F574" s="218">
        <v>22.7</v>
      </c>
      <c r="G574" s="218" t="s">
        <v>316</v>
      </c>
      <c r="H574" s="218">
        <v>517</v>
      </c>
      <c r="I574" s="218">
        <f t="shared" si="33"/>
        <v>422</v>
      </c>
      <c r="J574" s="218">
        <f t="shared" si="34"/>
        <v>2.3696682464454978E-3</v>
      </c>
      <c r="K574" s="218">
        <f t="shared" si="35"/>
        <v>4.6891415497396866E-2</v>
      </c>
      <c r="L574" s="218">
        <f t="shared" si="36"/>
        <v>401.7</v>
      </c>
      <c r="M574" s="218" t="s">
        <v>323</v>
      </c>
      <c r="P574" s="218">
        <v>569</v>
      </c>
      <c r="Q574" s="218">
        <v>414.7</v>
      </c>
      <c r="R574" s="218">
        <v>431</v>
      </c>
      <c r="S574" s="218">
        <v>338</v>
      </c>
      <c r="T574" s="218">
        <v>394.56666666666666</v>
      </c>
      <c r="U574" s="273">
        <v>2.5344259525217541E-3</v>
      </c>
      <c r="V574" s="218">
        <v>2.5376457703660689E-3</v>
      </c>
      <c r="W574" s="250">
        <v>4.3347821367696321E-5</v>
      </c>
      <c r="X574" s="250">
        <v>0.87100809418690217</v>
      </c>
      <c r="Z574" s="218">
        <v>566</v>
      </c>
      <c r="AA574" s="435">
        <v>0.87027225901398086</v>
      </c>
    </row>
    <row r="575" spans="1:27">
      <c r="A575" s="429">
        <v>0.68384259259259261</v>
      </c>
      <c r="B575" s="218">
        <v>422</v>
      </c>
      <c r="C575" s="218" t="s">
        <v>314</v>
      </c>
      <c r="D575" s="218">
        <v>211</v>
      </c>
      <c r="E575" s="218" t="s">
        <v>315</v>
      </c>
      <c r="F575" s="218">
        <v>22.7</v>
      </c>
      <c r="G575" s="218" t="s">
        <v>316</v>
      </c>
      <c r="H575" s="218">
        <v>518</v>
      </c>
      <c r="I575" s="218">
        <f t="shared" si="33"/>
        <v>423</v>
      </c>
      <c r="J575" s="218">
        <f t="shared" si="34"/>
        <v>2.3640661938534278E-3</v>
      </c>
      <c r="K575" s="218">
        <f t="shared" si="35"/>
        <v>4.6897017549988929E-2</v>
      </c>
      <c r="L575" s="218">
        <f t="shared" si="36"/>
        <v>402.7</v>
      </c>
      <c r="M575" s="218" t="s">
        <v>323</v>
      </c>
      <c r="P575" s="218">
        <v>570</v>
      </c>
      <c r="Q575" s="218">
        <v>414.7</v>
      </c>
      <c r="R575" s="218">
        <v>431</v>
      </c>
      <c r="S575" s="218">
        <v>338</v>
      </c>
      <c r="T575" s="218">
        <v>394.56666666666666</v>
      </c>
      <c r="U575" s="273">
        <v>2.5344259525217541E-3</v>
      </c>
      <c r="V575" s="218">
        <v>2.5344259525217541E-3</v>
      </c>
      <c r="W575" s="250">
        <v>4.3292820748468149E-5</v>
      </c>
      <c r="X575" s="250">
        <v>0.87100809418690217</v>
      </c>
      <c r="Z575" s="218">
        <v>567</v>
      </c>
      <c r="AA575" s="435">
        <v>0.87174392935982348</v>
      </c>
    </row>
    <row r="576" spans="1:27">
      <c r="A576" s="429">
        <v>0.68385416666666676</v>
      </c>
      <c r="B576" s="218">
        <v>424</v>
      </c>
      <c r="C576" s="218" t="s">
        <v>314</v>
      </c>
      <c r="D576" s="218">
        <v>212</v>
      </c>
      <c r="E576" s="218" t="s">
        <v>315</v>
      </c>
      <c r="F576" s="218">
        <v>22.7</v>
      </c>
      <c r="G576" s="218" t="s">
        <v>316</v>
      </c>
      <c r="H576" s="218">
        <v>519</v>
      </c>
      <c r="I576" s="218">
        <f t="shared" si="33"/>
        <v>422</v>
      </c>
      <c r="J576" s="218">
        <f t="shared" si="34"/>
        <v>2.3696682464454978E-3</v>
      </c>
      <c r="K576" s="218">
        <f t="shared" si="35"/>
        <v>4.6891415497396866E-2</v>
      </c>
      <c r="L576" s="218">
        <f t="shared" si="36"/>
        <v>401.7</v>
      </c>
      <c r="M576" s="218" t="s">
        <v>323</v>
      </c>
      <c r="P576" s="218">
        <v>571</v>
      </c>
      <c r="Q576" s="218">
        <v>414.7</v>
      </c>
      <c r="R576" s="218">
        <v>431</v>
      </c>
      <c r="S576" s="218">
        <v>340</v>
      </c>
      <c r="T576" s="218">
        <v>395.23333333333335</v>
      </c>
      <c r="U576" s="273">
        <v>2.530150965674285E-3</v>
      </c>
      <c r="V576" s="218">
        <v>2.5322884590980197E-3</v>
      </c>
      <c r="W576" s="250">
        <v>4.3256308291060317E-5</v>
      </c>
      <c r="X576" s="250">
        <v>0.87247976453274467</v>
      </c>
      <c r="Z576" s="218">
        <v>568</v>
      </c>
      <c r="AA576" s="435">
        <v>0.86880058866813836</v>
      </c>
    </row>
    <row r="577" spans="1:27">
      <c r="A577" s="429">
        <v>0.68386574074074069</v>
      </c>
      <c r="B577" s="218">
        <v>422</v>
      </c>
      <c r="C577" s="218" t="s">
        <v>314</v>
      </c>
      <c r="D577" s="218">
        <v>211</v>
      </c>
      <c r="E577" s="218" t="s">
        <v>315</v>
      </c>
      <c r="F577" s="218">
        <v>22.7</v>
      </c>
      <c r="G577" s="218" t="s">
        <v>316</v>
      </c>
      <c r="H577" s="218">
        <v>520</v>
      </c>
      <c r="I577" s="218">
        <f t="shared" si="33"/>
        <v>424</v>
      </c>
      <c r="J577" s="218">
        <f t="shared" si="34"/>
        <v>2.3584905660377358E-3</v>
      </c>
      <c r="K577" s="218">
        <f t="shared" si="35"/>
        <v>4.6902593177804625E-2</v>
      </c>
      <c r="L577" s="218">
        <f t="shared" si="36"/>
        <v>403.7</v>
      </c>
      <c r="M577" s="218" t="s">
        <v>323</v>
      </c>
      <c r="P577" s="218">
        <v>572</v>
      </c>
      <c r="Q577" s="218">
        <v>415.7</v>
      </c>
      <c r="R577" s="218">
        <v>431</v>
      </c>
      <c r="S577" s="218">
        <v>340</v>
      </c>
      <c r="T577" s="218">
        <v>395.56666666666666</v>
      </c>
      <c r="U577" s="273">
        <v>2.5280188758742732E-3</v>
      </c>
      <c r="V577" s="218">
        <v>2.5290849207742789E-3</v>
      </c>
      <c r="W577" s="250">
        <v>4.3201585757039324E-5</v>
      </c>
      <c r="X577" s="250">
        <v>0.87321559970566587</v>
      </c>
      <c r="Z577" s="218">
        <v>569</v>
      </c>
      <c r="AA577" s="435">
        <v>0.87100809418690217</v>
      </c>
    </row>
    <row r="578" spans="1:27">
      <c r="A578" s="429">
        <v>0.68387731481481484</v>
      </c>
      <c r="B578" s="218">
        <v>424</v>
      </c>
      <c r="C578" s="218" t="s">
        <v>314</v>
      </c>
      <c r="D578" s="218">
        <v>212</v>
      </c>
      <c r="E578" s="218" t="s">
        <v>315</v>
      </c>
      <c r="F578" s="218">
        <v>22.7</v>
      </c>
      <c r="G578" s="218" t="s">
        <v>316</v>
      </c>
      <c r="H578" s="218">
        <v>521</v>
      </c>
      <c r="I578" s="218">
        <f t="shared" si="33"/>
        <v>422</v>
      </c>
      <c r="J578" s="218">
        <f t="shared" si="34"/>
        <v>2.3696682464454978E-3</v>
      </c>
      <c r="K578" s="218">
        <f t="shared" si="35"/>
        <v>4.6891415497396866E-2</v>
      </c>
      <c r="L578" s="218">
        <f t="shared" si="36"/>
        <v>401.7</v>
      </c>
      <c r="M578" s="218" t="s">
        <v>323</v>
      </c>
      <c r="P578" s="218">
        <v>573</v>
      </c>
      <c r="Q578" s="218">
        <v>414.7</v>
      </c>
      <c r="R578" s="218">
        <v>432</v>
      </c>
      <c r="S578" s="218">
        <v>343</v>
      </c>
      <c r="T578" s="218">
        <v>396.56666666666666</v>
      </c>
      <c r="U578" s="273">
        <v>2.5216441119609986E-3</v>
      </c>
      <c r="V578" s="218">
        <v>2.5248314939176359E-3</v>
      </c>
      <c r="W578" s="250">
        <v>4.3128929127916604E-5</v>
      </c>
      <c r="X578" s="250">
        <v>0.87542310522442968</v>
      </c>
      <c r="Z578" s="218">
        <v>570</v>
      </c>
      <c r="AA578" s="435">
        <v>0.87100809418690217</v>
      </c>
    </row>
    <row r="579" spans="1:27">
      <c r="A579" s="429">
        <v>0.68388888888888888</v>
      </c>
      <c r="B579" s="218">
        <v>423</v>
      </c>
      <c r="C579" s="218" t="s">
        <v>314</v>
      </c>
      <c r="D579" s="218">
        <v>212</v>
      </c>
      <c r="E579" s="218" t="s">
        <v>315</v>
      </c>
      <c r="F579" s="218">
        <v>22.7</v>
      </c>
      <c r="G579" s="218" t="s">
        <v>316</v>
      </c>
      <c r="H579" s="218">
        <v>522</v>
      </c>
      <c r="I579" s="218">
        <f t="shared" si="33"/>
        <v>424</v>
      </c>
      <c r="J579" s="218">
        <f t="shared" si="34"/>
        <v>2.3584905660377358E-3</v>
      </c>
      <c r="K579" s="218">
        <f t="shared" si="35"/>
        <v>4.6902593177804625E-2</v>
      </c>
      <c r="L579" s="218">
        <f t="shared" si="36"/>
        <v>403.7</v>
      </c>
      <c r="M579" s="218" t="s">
        <v>323</v>
      </c>
      <c r="P579" s="218">
        <v>574</v>
      </c>
      <c r="Q579" s="218">
        <v>416.7</v>
      </c>
      <c r="R579" s="218">
        <v>433</v>
      </c>
      <c r="S579" s="218">
        <v>343</v>
      </c>
      <c r="T579" s="218">
        <v>397.56666666666666</v>
      </c>
      <c r="U579" s="273">
        <v>2.5153014169531315E-3</v>
      </c>
      <c r="V579" s="218">
        <v>2.5184727644570653E-3</v>
      </c>
      <c r="W579" s="250">
        <v>4.3020309921878815E-5</v>
      </c>
      <c r="X579" s="250">
        <v>0.87763061074319348</v>
      </c>
      <c r="Z579" s="218">
        <v>571</v>
      </c>
      <c r="AA579" s="435">
        <v>0.87247976453274467</v>
      </c>
    </row>
    <row r="580" spans="1:27">
      <c r="A580" s="429">
        <v>0.68390046296296303</v>
      </c>
      <c r="B580" s="218">
        <v>423</v>
      </c>
      <c r="C580" s="218" t="s">
        <v>314</v>
      </c>
      <c r="D580" s="218">
        <v>212</v>
      </c>
      <c r="E580" s="218" t="s">
        <v>315</v>
      </c>
      <c r="F580" s="218">
        <v>22.7</v>
      </c>
      <c r="G580" s="218" t="s">
        <v>316</v>
      </c>
      <c r="H580" s="218">
        <v>523</v>
      </c>
      <c r="I580" s="218">
        <f t="shared" si="33"/>
        <v>423</v>
      </c>
      <c r="J580" s="218">
        <f t="shared" si="34"/>
        <v>2.3640661938534278E-3</v>
      </c>
      <c r="K580" s="218">
        <f t="shared" si="35"/>
        <v>4.6897017549988929E-2</v>
      </c>
      <c r="L580" s="218">
        <f t="shared" si="36"/>
        <v>402.7</v>
      </c>
      <c r="M580" s="218" t="s">
        <v>323</v>
      </c>
      <c r="P580" s="218">
        <v>575</v>
      </c>
      <c r="Q580" s="218">
        <v>413.7</v>
      </c>
      <c r="R580" s="218">
        <v>432</v>
      </c>
      <c r="S580" s="218">
        <v>341</v>
      </c>
      <c r="T580" s="218">
        <v>395.56666666666666</v>
      </c>
      <c r="U580" s="273">
        <v>2.5280188758742732E-3</v>
      </c>
      <c r="V580" s="218">
        <v>2.5216601464137026E-3</v>
      </c>
      <c r="W580" s="250">
        <v>4.3074756474388387E-5</v>
      </c>
      <c r="X580" s="250">
        <v>0.87321559970566587</v>
      </c>
      <c r="Z580" s="218">
        <v>572</v>
      </c>
      <c r="AA580" s="435">
        <v>0.87321559970566587</v>
      </c>
    </row>
    <row r="581" spans="1:27">
      <c r="A581" s="429">
        <v>0.68391203703703696</v>
      </c>
      <c r="B581" s="218">
        <v>424</v>
      </c>
      <c r="C581" s="218" t="s">
        <v>314</v>
      </c>
      <c r="D581" s="218">
        <v>212</v>
      </c>
      <c r="E581" s="218" t="s">
        <v>315</v>
      </c>
      <c r="F581" s="218">
        <v>22.7</v>
      </c>
      <c r="G581" s="218" t="s">
        <v>316</v>
      </c>
      <c r="H581" s="218">
        <v>524</v>
      </c>
      <c r="I581" s="218">
        <f t="shared" si="33"/>
        <v>423</v>
      </c>
      <c r="J581" s="218">
        <f t="shared" si="34"/>
        <v>2.3640661938534278E-3</v>
      </c>
      <c r="K581" s="218">
        <f t="shared" si="35"/>
        <v>4.6897017549988929E-2</v>
      </c>
      <c r="L581" s="218">
        <f t="shared" si="36"/>
        <v>402.7</v>
      </c>
      <c r="M581" s="218" t="s">
        <v>323</v>
      </c>
      <c r="P581" s="218">
        <v>576</v>
      </c>
      <c r="Q581" s="218">
        <v>415.7</v>
      </c>
      <c r="R581" s="218">
        <v>433</v>
      </c>
      <c r="S581" s="218">
        <v>341</v>
      </c>
      <c r="T581" s="218">
        <v>396.56666666666666</v>
      </c>
      <c r="U581" s="273">
        <v>2.5216441119609986E-3</v>
      </c>
      <c r="V581" s="218">
        <v>2.5248314939176359E-3</v>
      </c>
      <c r="W581" s="250">
        <v>4.3128929127916604E-5</v>
      </c>
      <c r="X581" s="250">
        <v>0.87542310522442968</v>
      </c>
      <c r="Z581" s="218">
        <v>573</v>
      </c>
      <c r="AA581" s="435">
        <v>0.87542310522442968</v>
      </c>
    </row>
    <row r="582" spans="1:27">
      <c r="A582" s="429">
        <v>0.68392361111111111</v>
      </c>
      <c r="B582" s="218">
        <v>425</v>
      </c>
      <c r="C582" s="218" t="s">
        <v>314</v>
      </c>
      <c r="D582" s="218">
        <v>213</v>
      </c>
      <c r="E582" s="218" t="s">
        <v>315</v>
      </c>
      <c r="F582" s="218">
        <v>22.7</v>
      </c>
      <c r="G582" s="218" t="s">
        <v>316</v>
      </c>
      <c r="H582" s="218">
        <v>525</v>
      </c>
      <c r="I582" s="218">
        <f t="shared" si="33"/>
        <v>424</v>
      </c>
      <c r="J582" s="218">
        <f t="shared" si="34"/>
        <v>2.3584905660377358E-3</v>
      </c>
      <c r="K582" s="218">
        <f t="shared" si="35"/>
        <v>4.6902593177804625E-2</v>
      </c>
      <c r="L582" s="218">
        <f t="shared" si="36"/>
        <v>403.7</v>
      </c>
      <c r="M582" s="218" t="s">
        <v>323</v>
      </c>
      <c r="P582" s="218">
        <v>577</v>
      </c>
      <c r="Q582" s="218">
        <v>414.7</v>
      </c>
      <c r="R582" s="218">
        <v>433</v>
      </c>
      <c r="S582" s="218">
        <v>342</v>
      </c>
      <c r="T582" s="218">
        <v>396.56666666666666</v>
      </c>
      <c r="U582" s="273">
        <v>2.5216441119609986E-3</v>
      </c>
      <c r="V582" s="218">
        <v>2.5216441119609986E-3</v>
      </c>
      <c r="W582" s="250">
        <v>4.3074482575407031E-5</v>
      </c>
      <c r="X582" s="250">
        <v>0.87542310522442968</v>
      </c>
      <c r="Z582" s="218">
        <v>574</v>
      </c>
      <c r="AA582" s="435">
        <v>0.87763061074319348</v>
      </c>
    </row>
    <row r="583" spans="1:27">
      <c r="A583" s="429">
        <v>0.68393518518518526</v>
      </c>
      <c r="B583" s="218">
        <v>424</v>
      </c>
      <c r="C583" s="218" t="s">
        <v>314</v>
      </c>
      <c r="D583" s="218">
        <v>212</v>
      </c>
      <c r="E583" s="218" t="s">
        <v>315</v>
      </c>
      <c r="F583" s="218">
        <v>22.7</v>
      </c>
      <c r="G583" s="218" t="s">
        <v>316</v>
      </c>
      <c r="H583" s="218">
        <v>526</v>
      </c>
      <c r="I583" s="218">
        <f t="shared" si="33"/>
        <v>425</v>
      </c>
      <c r="J583" s="218">
        <f t="shared" si="34"/>
        <v>2.352941176470588E-3</v>
      </c>
      <c r="K583" s="218">
        <f t="shared" si="35"/>
        <v>4.6908142567371774E-2</v>
      </c>
      <c r="L583" s="218">
        <f t="shared" si="36"/>
        <v>404.7</v>
      </c>
      <c r="M583" s="218" t="s">
        <v>323</v>
      </c>
      <c r="P583" s="218">
        <v>578</v>
      </c>
      <c r="Q583" s="218">
        <v>415.7</v>
      </c>
      <c r="R583" s="218">
        <v>434</v>
      </c>
      <c r="S583" s="218">
        <v>342</v>
      </c>
      <c r="T583" s="218">
        <v>397.23333333333335</v>
      </c>
      <c r="U583" s="273">
        <v>2.5174121003608291E-3</v>
      </c>
      <c r="V583" s="218">
        <v>2.5195281061609139E-3</v>
      </c>
      <c r="W583" s="250">
        <v>4.3038337167522997E-5</v>
      </c>
      <c r="X583" s="250">
        <v>0.87689477557027229</v>
      </c>
      <c r="Z583" s="218">
        <v>575</v>
      </c>
      <c r="AA583" s="435">
        <v>0.87321559970566587</v>
      </c>
    </row>
    <row r="584" spans="1:27">
      <c r="A584" s="429">
        <v>0.6839467592592593</v>
      </c>
      <c r="B584" s="218">
        <v>426</v>
      </c>
      <c r="C584" s="218" t="s">
        <v>314</v>
      </c>
      <c r="D584" s="218">
        <v>213</v>
      </c>
      <c r="E584" s="218" t="s">
        <v>315</v>
      </c>
      <c r="F584" s="218">
        <v>22.7</v>
      </c>
      <c r="G584" s="218" t="s">
        <v>316</v>
      </c>
      <c r="H584" s="218">
        <v>527</v>
      </c>
      <c r="I584" s="218">
        <f t="shared" si="33"/>
        <v>424</v>
      </c>
      <c r="J584" s="218">
        <f t="shared" si="34"/>
        <v>2.3584905660377358E-3</v>
      </c>
      <c r="K584" s="218">
        <f t="shared" si="35"/>
        <v>4.6902593177804625E-2</v>
      </c>
      <c r="L584" s="218">
        <f t="shared" si="36"/>
        <v>403.7</v>
      </c>
      <c r="M584" s="218" t="s">
        <v>323</v>
      </c>
      <c r="P584" s="218">
        <v>579</v>
      </c>
      <c r="Q584" s="218">
        <v>415.7</v>
      </c>
      <c r="R584" s="218">
        <v>432</v>
      </c>
      <c r="S584" s="218">
        <v>343</v>
      </c>
      <c r="T584" s="218">
        <v>396.90000000000003</v>
      </c>
      <c r="U584" s="273">
        <v>2.5195263290501385E-3</v>
      </c>
      <c r="V584" s="218">
        <v>2.518469214705484E-3</v>
      </c>
      <c r="W584" s="250">
        <v>4.302024928536317E-5</v>
      </c>
      <c r="X584" s="250">
        <v>0.87615894039735109</v>
      </c>
      <c r="Z584" s="218">
        <v>576</v>
      </c>
      <c r="AA584" s="435">
        <v>0.87542310522442968</v>
      </c>
    </row>
    <row r="585" spans="1:27">
      <c r="A585" s="429">
        <v>0.68395833333333333</v>
      </c>
      <c r="B585" s="218">
        <v>426</v>
      </c>
      <c r="C585" s="218" t="s">
        <v>314</v>
      </c>
      <c r="D585" s="218">
        <v>213</v>
      </c>
      <c r="E585" s="218" t="s">
        <v>315</v>
      </c>
      <c r="F585" s="218">
        <v>22.7</v>
      </c>
      <c r="G585" s="218" t="s">
        <v>316</v>
      </c>
      <c r="H585" s="218">
        <v>528</v>
      </c>
      <c r="I585" s="218">
        <f t="shared" si="33"/>
        <v>426</v>
      </c>
      <c r="J585" s="218">
        <f t="shared" si="34"/>
        <v>2.3474178403755869E-3</v>
      </c>
      <c r="K585" s="218">
        <f t="shared" si="35"/>
        <v>4.6913665903466774E-2</v>
      </c>
      <c r="L585" s="218">
        <f t="shared" si="36"/>
        <v>405.7</v>
      </c>
      <c r="M585" s="218" t="s">
        <v>323</v>
      </c>
      <c r="P585" s="218">
        <v>580</v>
      </c>
      <c r="Q585" s="218">
        <v>416.7</v>
      </c>
      <c r="R585" s="218">
        <v>434</v>
      </c>
      <c r="S585" s="218">
        <v>343</v>
      </c>
      <c r="T585" s="218">
        <v>397.90000000000003</v>
      </c>
      <c r="U585" s="273">
        <v>2.5131942699170642E-3</v>
      </c>
      <c r="V585" s="218">
        <v>2.5163602994836016E-3</v>
      </c>
      <c r="W585" s="250">
        <v>4.29842249980551E-5</v>
      </c>
      <c r="X585" s="250">
        <v>0.8783664459161149</v>
      </c>
      <c r="Z585" s="218">
        <v>577</v>
      </c>
      <c r="AA585" s="435">
        <v>0.87542310522442968</v>
      </c>
    </row>
    <row r="586" spans="1:27">
      <c r="A586" s="429">
        <v>0.68396990740740737</v>
      </c>
      <c r="B586" s="218">
        <v>426</v>
      </c>
      <c r="C586" s="218" t="s">
        <v>314</v>
      </c>
      <c r="D586" s="218">
        <v>213</v>
      </c>
      <c r="E586" s="218" t="s">
        <v>315</v>
      </c>
      <c r="F586" s="218">
        <v>22.7</v>
      </c>
      <c r="G586" s="218" t="s">
        <v>316</v>
      </c>
      <c r="H586" s="218">
        <v>529</v>
      </c>
      <c r="I586" s="218">
        <f t="shared" si="33"/>
        <v>426</v>
      </c>
      <c r="J586" s="218">
        <f t="shared" si="34"/>
        <v>2.3474178403755869E-3</v>
      </c>
      <c r="K586" s="218">
        <f t="shared" si="35"/>
        <v>4.6913665903466774E-2</v>
      </c>
      <c r="L586" s="218">
        <f t="shared" si="36"/>
        <v>405.7</v>
      </c>
      <c r="M586" s="218" t="s">
        <v>323</v>
      </c>
      <c r="P586" s="218">
        <v>581</v>
      </c>
      <c r="Q586" s="218">
        <v>416.7</v>
      </c>
      <c r="R586" s="218">
        <v>432</v>
      </c>
      <c r="S586" s="218">
        <v>344</v>
      </c>
      <c r="T586" s="218">
        <v>397.56666666666666</v>
      </c>
      <c r="U586" s="273">
        <v>2.5153014169531315E-3</v>
      </c>
      <c r="V586" s="218">
        <v>2.5142478434350976E-3</v>
      </c>
      <c r="W586" s="250">
        <v>4.2948140226686697E-5</v>
      </c>
      <c r="X586" s="250">
        <v>0.87763061074319348</v>
      </c>
      <c r="Z586" s="218">
        <v>578</v>
      </c>
      <c r="AA586" s="435">
        <v>0.87689477557027229</v>
      </c>
    </row>
    <row r="587" spans="1:27">
      <c r="A587" s="429">
        <v>0.68398148148148152</v>
      </c>
      <c r="B587" s="218">
        <v>427</v>
      </c>
      <c r="C587" s="218" t="s">
        <v>314</v>
      </c>
      <c r="D587" s="218">
        <v>214</v>
      </c>
      <c r="E587" s="218" t="s">
        <v>315</v>
      </c>
      <c r="F587" s="218">
        <v>22.7</v>
      </c>
      <c r="G587" s="218" t="s">
        <v>316</v>
      </c>
      <c r="H587" s="218">
        <v>530</v>
      </c>
      <c r="I587" s="218">
        <f t="shared" si="33"/>
        <v>426</v>
      </c>
      <c r="J587" s="218">
        <f t="shared" si="34"/>
        <v>2.3474178403755869E-3</v>
      </c>
      <c r="K587" s="218">
        <f t="shared" si="35"/>
        <v>4.6913665903466774E-2</v>
      </c>
      <c r="L587" s="218">
        <f t="shared" si="36"/>
        <v>405.7</v>
      </c>
      <c r="M587" s="218" t="s">
        <v>323</v>
      </c>
      <c r="P587" s="218">
        <v>582</v>
      </c>
      <c r="Q587" s="218">
        <v>417.7</v>
      </c>
      <c r="R587" s="218">
        <v>434</v>
      </c>
      <c r="S587" s="218">
        <v>344</v>
      </c>
      <c r="T587" s="218">
        <v>398.56666666666666</v>
      </c>
      <c r="U587" s="273">
        <v>2.5089905494689304E-3</v>
      </c>
      <c r="V587" s="218">
        <v>2.5121459832110312E-3</v>
      </c>
      <c r="W587" s="250">
        <v>4.2912236452173852E-5</v>
      </c>
      <c r="X587" s="250">
        <v>0.87983811626195729</v>
      </c>
      <c r="Z587" s="218">
        <v>579</v>
      </c>
      <c r="AA587" s="435">
        <v>0.87615894039735109</v>
      </c>
    </row>
    <row r="588" spans="1:27">
      <c r="A588" s="429">
        <v>0.68399305555555545</v>
      </c>
      <c r="B588" s="218">
        <v>427</v>
      </c>
      <c r="C588" s="218" t="s">
        <v>314</v>
      </c>
      <c r="D588" s="218">
        <v>214</v>
      </c>
      <c r="E588" s="218" t="s">
        <v>315</v>
      </c>
      <c r="F588" s="218">
        <v>22.7</v>
      </c>
      <c r="G588" s="218" t="s">
        <v>316</v>
      </c>
      <c r="H588" s="218">
        <v>531</v>
      </c>
      <c r="I588" s="218">
        <f t="shared" si="33"/>
        <v>427</v>
      </c>
      <c r="J588" s="218">
        <f t="shared" si="34"/>
        <v>2.34192037470726E-3</v>
      </c>
      <c r="K588" s="218">
        <f t="shared" si="35"/>
        <v>4.6919163369135097E-2</v>
      </c>
      <c r="L588" s="218">
        <f t="shared" si="36"/>
        <v>406.7</v>
      </c>
      <c r="M588" s="218" t="s">
        <v>323</v>
      </c>
      <c r="P588" s="218">
        <v>583</v>
      </c>
      <c r="Q588" s="218">
        <v>416.7</v>
      </c>
      <c r="R588" s="218">
        <v>433</v>
      </c>
      <c r="S588" s="218">
        <v>345</v>
      </c>
      <c r="T588" s="218">
        <v>398.23333333333335</v>
      </c>
      <c r="U588" s="273">
        <v>2.5110906503724782E-3</v>
      </c>
      <c r="V588" s="218">
        <v>2.5100405999207041E-3</v>
      </c>
      <c r="W588" s="250">
        <v>4.2876272496981449E-5</v>
      </c>
      <c r="X588" s="250">
        <v>0.8791022810890361</v>
      </c>
      <c r="Z588" s="218">
        <v>580</v>
      </c>
      <c r="AA588" s="435">
        <v>0.8783664459161149</v>
      </c>
    </row>
    <row r="589" spans="1:27">
      <c r="A589" s="429">
        <v>0.6840046296296296</v>
      </c>
      <c r="B589" s="218">
        <v>429</v>
      </c>
      <c r="C589" s="218" t="s">
        <v>314</v>
      </c>
      <c r="D589" s="218">
        <v>215</v>
      </c>
      <c r="E589" s="218" t="s">
        <v>315</v>
      </c>
      <c r="F589" s="218">
        <v>22.7</v>
      </c>
      <c r="G589" s="218" t="s">
        <v>316</v>
      </c>
      <c r="H589" s="218">
        <v>532</v>
      </c>
      <c r="I589" s="218">
        <f t="shared" si="33"/>
        <v>427</v>
      </c>
      <c r="J589" s="218">
        <f t="shared" si="34"/>
        <v>2.34192037470726E-3</v>
      </c>
      <c r="K589" s="218">
        <f t="shared" si="35"/>
        <v>4.6919163369135097E-2</v>
      </c>
      <c r="L589" s="218">
        <f t="shared" si="36"/>
        <v>406.7</v>
      </c>
      <c r="M589" s="218" t="s">
        <v>323</v>
      </c>
      <c r="P589" s="218">
        <v>584</v>
      </c>
      <c r="Q589" s="218">
        <v>417.7</v>
      </c>
      <c r="R589" s="218">
        <v>434</v>
      </c>
      <c r="S589" s="218">
        <v>345</v>
      </c>
      <c r="T589" s="218">
        <v>398.90000000000003</v>
      </c>
      <c r="U589" s="273">
        <v>2.5068939583855602E-3</v>
      </c>
      <c r="V589" s="218">
        <v>2.5089923043790192E-3</v>
      </c>
      <c r="W589" s="250">
        <v>4.2858365613202733E-5</v>
      </c>
      <c r="X589" s="250">
        <v>0.88057395143487871</v>
      </c>
      <c r="Z589" s="218">
        <v>581</v>
      </c>
      <c r="AA589" s="435">
        <v>0.87763061074319348</v>
      </c>
    </row>
    <row r="590" spans="1:27">
      <c r="A590" s="429">
        <v>0.68401620370370375</v>
      </c>
      <c r="B590" s="218">
        <v>426</v>
      </c>
      <c r="C590" s="218" t="s">
        <v>314</v>
      </c>
      <c r="D590" s="218">
        <v>213</v>
      </c>
      <c r="E590" s="218" t="s">
        <v>315</v>
      </c>
      <c r="F590" s="218">
        <v>22.7</v>
      </c>
      <c r="G590" s="218" t="s">
        <v>316</v>
      </c>
      <c r="H590" s="218">
        <v>533</v>
      </c>
      <c r="I590" s="218">
        <f t="shared" si="33"/>
        <v>429</v>
      </c>
      <c r="J590" s="218">
        <f t="shared" si="34"/>
        <v>2.331002331002331E-3</v>
      </c>
      <c r="K590" s="218">
        <f t="shared" si="35"/>
        <v>4.6930081412840031E-2</v>
      </c>
      <c r="L590" s="218">
        <f t="shared" si="36"/>
        <v>408.7</v>
      </c>
      <c r="M590" s="218" t="s">
        <v>323</v>
      </c>
      <c r="P590" s="218">
        <v>585</v>
      </c>
      <c r="Q590" s="218">
        <v>417.7</v>
      </c>
      <c r="R590" s="218">
        <v>434</v>
      </c>
      <c r="S590" s="218">
        <v>345</v>
      </c>
      <c r="T590" s="218">
        <v>398.90000000000003</v>
      </c>
      <c r="U590" s="273">
        <v>2.5068939583855602E-3</v>
      </c>
      <c r="V590" s="218">
        <v>2.5068939583855602E-3</v>
      </c>
      <c r="W590" s="250">
        <v>4.2822521868439661E-5</v>
      </c>
      <c r="X590" s="250">
        <v>0.88057395143487871</v>
      </c>
      <c r="Z590" s="218">
        <v>582</v>
      </c>
      <c r="AA590" s="435">
        <v>0.87983811626195729</v>
      </c>
    </row>
    <row r="591" spans="1:27">
      <c r="A591" s="429">
        <v>0.68402777777777779</v>
      </c>
      <c r="B591" s="218">
        <v>428</v>
      </c>
      <c r="C591" s="218" t="s">
        <v>314</v>
      </c>
      <c r="D591" s="218">
        <v>214</v>
      </c>
      <c r="E591" s="218" t="s">
        <v>315</v>
      </c>
      <c r="F591" s="218">
        <v>22.7</v>
      </c>
      <c r="G591" s="218" t="s">
        <v>316</v>
      </c>
      <c r="H591" s="218">
        <v>534</v>
      </c>
      <c r="I591" s="218">
        <f t="shared" si="33"/>
        <v>426</v>
      </c>
      <c r="J591" s="218">
        <f t="shared" si="34"/>
        <v>2.3474178403755869E-3</v>
      </c>
      <c r="K591" s="218">
        <f t="shared" si="35"/>
        <v>4.6913665903466774E-2</v>
      </c>
      <c r="L591" s="218">
        <f t="shared" si="36"/>
        <v>405.7</v>
      </c>
      <c r="M591" s="218" t="s">
        <v>323</v>
      </c>
      <c r="P591" s="218">
        <v>586</v>
      </c>
      <c r="Q591" s="218">
        <v>417.7</v>
      </c>
      <c r="R591" s="218">
        <v>434</v>
      </c>
      <c r="S591" s="218">
        <v>345</v>
      </c>
      <c r="T591" s="218">
        <v>398.90000000000003</v>
      </c>
      <c r="U591" s="273">
        <v>2.5068939583855602E-3</v>
      </c>
      <c r="V591" s="218">
        <v>2.5068939583855602E-3</v>
      </c>
      <c r="W591" s="250">
        <v>4.2822521868439661E-5</v>
      </c>
      <c r="X591" s="250">
        <v>0.88057395143487871</v>
      </c>
      <c r="Z591" s="218">
        <v>583</v>
      </c>
      <c r="AA591" s="435">
        <v>0.8791022810890361</v>
      </c>
    </row>
    <row r="592" spans="1:27">
      <c r="A592" s="429">
        <v>0.68403935185185183</v>
      </c>
      <c r="B592" s="218">
        <v>428</v>
      </c>
      <c r="C592" s="218" t="s">
        <v>314</v>
      </c>
      <c r="D592" s="218">
        <v>214</v>
      </c>
      <c r="E592" s="218" t="s">
        <v>315</v>
      </c>
      <c r="F592" s="218">
        <v>22.7</v>
      </c>
      <c r="G592" s="218" t="s">
        <v>316</v>
      </c>
      <c r="H592" s="218">
        <v>535</v>
      </c>
      <c r="I592" s="218">
        <f t="shared" si="33"/>
        <v>428</v>
      </c>
      <c r="J592" s="218">
        <f t="shared" si="34"/>
        <v>2.3364485981308409E-3</v>
      </c>
      <c r="K592" s="218">
        <f t="shared" si="35"/>
        <v>4.6924635145711519E-2</v>
      </c>
      <c r="L592" s="218">
        <f t="shared" si="36"/>
        <v>407.7</v>
      </c>
      <c r="M592" s="218" t="s">
        <v>323</v>
      </c>
      <c r="P592" s="218">
        <v>587</v>
      </c>
      <c r="Q592" s="218">
        <v>418.7</v>
      </c>
      <c r="R592" s="218">
        <v>435</v>
      </c>
      <c r="S592" s="218">
        <v>349</v>
      </c>
      <c r="T592" s="218">
        <v>400.90000000000003</v>
      </c>
      <c r="U592" s="273">
        <v>2.4943876278373657E-3</v>
      </c>
      <c r="V592" s="218">
        <v>2.5006407931114629E-3</v>
      </c>
      <c r="W592" s="250">
        <v>4.2715705899698226E-5</v>
      </c>
      <c r="X592" s="250">
        <v>0.88498896247240622</v>
      </c>
      <c r="Z592" s="218">
        <v>584</v>
      </c>
      <c r="AA592" s="435">
        <v>0.88057395143487871</v>
      </c>
    </row>
    <row r="593" spans="1:27">
      <c r="A593" s="429">
        <v>0.68405092592592587</v>
      </c>
      <c r="B593" s="218">
        <v>428</v>
      </c>
      <c r="C593" s="218" t="s">
        <v>314</v>
      </c>
      <c r="D593" s="218">
        <v>214</v>
      </c>
      <c r="E593" s="218" t="s">
        <v>315</v>
      </c>
      <c r="F593" s="218">
        <v>22.7</v>
      </c>
      <c r="G593" s="218" t="s">
        <v>316</v>
      </c>
      <c r="H593" s="218">
        <v>536</v>
      </c>
      <c r="I593" s="218">
        <f t="shared" si="33"/>
        <v>428</v>
      </c>
      <c r="J593" s="218">
        <f t="shared" si="34"/>
        <v>2.3364485981308409E-3</v>
      </c>
      <c r="K593" s="218">
        <f t="shared" si="35"/>
        <v>4.6924635145711519E-2</v>
      </c>
      <c r="L593" s="218">
        <f t="shared" si="36"/>
        <v>407.7</v>
      </c>
      <c r="M593" s="218" t="s">
        <v>323</v>
      </c>
      <c r="P593" s="218">
        <v>588</v>
      </c>
      <c r="Q593" s="218">
        <v>417.7</v>
      </c>
      <c r="R593" s="218">
        <v>435</v>
      </c>
      <c r="S593" s="218">
        <v>349</v>
      </c>
      <c r="T593" s="218">
        <v>400.56666666666666</v>
      </c>
      <c r="U593" s="273">
        <v>2.4964633435965717E-3</v>
      </c>
      <c r="V593" s="218">
        <v>2.4954254857169687E-3</v>
      </c>
      <c r="W593" s="250">
        <v>4.2626618519594132E-5</v>
      </c>
      <c r="X593" s="250">
        <v>0.88425312729948491</v>
      </c>
      <c r="Z593" s="218">
        <v>585</v>
      </c>
      <c r="AA593" s="435">
        <v>0.88057395143487871</v>
      </c>
    </row>
    <row r="594" spans="1:27">
      <c r="A594" s="429">
        <v>0.68406250000000002</v>
      </c>
      <c r="B594" s="218">
        <v>429</v>
      </c>
      <c r="C594" s="218" t="s">
        <v>314</v>
      </c>
      <c r="D594" s="218">
        <v>215</v>
      </c>
      <c r="E594" s="218" t="s">
        <v>315</v>
      </c>
      <c r="F594" s="218">
        <v>22.7</v>
      </c>
      <c r="G594" s="218" t="s">
        <v>316</v>
      </c>
      <c r="H594" s="218">
        <v>537</v>
      </c>
      <c r="I594" s="218">
        <f t="shared" si="33"/>
        <v>428</v>
      </c>
      <c r="J594" s="218">
        <f t="shared" si="34"/>
        <v>2.3364485981308409E-3</v>
      </c>
      <c r="K594" s="218">
        <f t="shared" si="35"/>
        <v>4.6924635145711519E-2</v>
      </c>
      <c r="L594" s="218">
        <f t="shared" si="36"/>
        <v>407.7</v>
      </c>
      <c r="M594" s="218" t="s">
        <v>323</v>
      </c>
      <c r="P594" s="218">
        <v>589</v>
      </c>
      <c r="Q594" s="218">
        <v>419.7</v>
      </c>
      <c r="R594" s="218">
        <v>435</v>
      </c>
      <c r="S594" s="218">
        <v>348</v>
      </c>
      <c r="T594" s="218">
        <v>400.90000000000003</v>
      </c>
      <c r="U594" s="273">
        <v>2.4943876278373657E-3</v>
      </c>
      <c r="V594" s="218">
        <v>2.4954254857169687E-3</v>
      </c>
      <c r="W594" s="250">
        <v>4.2626618519594132E-5</v>
      </c>
      <c r="X594" s="250">
        <v>0.88498896247240622</v>
      </c>
      <c r="Z594" s="218">
        <v>586</v>
      </c>
      <c r="AA594" s="435">
        <v>0.88057395143487871</v>
      </c>
    </row>
    <row r="595" spans="1:27">
      <c r="A595" s="429">
        <v>0.68407407407407417</v>
      </c>
      <c r="B595" s="218">
        <v>429</v>
      </c>
      <c r="C595" s="218" t="s">
        <v>314</v>
      </c>
      <c r="D595" s="218">
        <v>215</v>
      </c>
      <c r="E595" s="218" t="s">
        <v>315</v>
      </c>
      <c r="F595" s="218">
        <v>22.7</v>
      </c>
      <c r="G595" s="218" t="s">
        <v>316</v>
      </c>
      <c r="H595" s="218">
        <v>538</v>
      </c>
      <c r="I595" s="218">
        <f t="shared" si="33"/>
        <v>429</v>
      </c>
      <c r="J595" s="218">
        <f t="shared" si="34"/>
        <v>2.331002331002331E-3</v>
      </c>
      <c r="K595" s="218">
        <f t="shared" si="35"/>
        <v>4.6930081412840031E-2</v>
      </c>
      <c r="L595" s="218">
        <f t="shared" si="36"/>
        <v>408.7</v>
      </c>
      <c r="M595" s="218" t="s">
        <v>323</v>
      </c>
      <c r="P595" s="218">
        <v>590</v>
      </c>
      <c r="Q595" s="218">
        <v>417.7</v>
      </c>
      <c r="R595" s="218">
        <v>435</v>
      </c>
      <c r="S595" s="218">
        <v>348</v>
      </c>
      <c r="T595" s="218">
        <v>400.23333333333335</v>
      </c>
      <c r="U595" s="273">
        <v>2.4985425168651621E-3</v>
      </c>
      <c r="V595" s="218">
        <v>2.4964650723512637E-3</v>
      </c>
      <c r="W595" s="250">
        <v>4.2644376638653107E-5</v>
      </c>
      <c r="X595" s="250">
        <v>0.88351729212656371</v>
      </c>
      <c r="Z595" s="218">
        <v>587</v>
      </c>
      <c r="AA595" s="435">
        <v>0.88498896247240622</v>
      </c>
    </row>
    <row r="596" spans="1:27">
      <c r="A596" s="429">
        <v>0.6840856481481481</v>
      </c>
      <c r="B596" s="218">
        <v>429</v>
      </c>
      <c r="C596" s="218" t="s">
        <v>314</v>
      </c>
      <c r="D596" s="218">
        <v>215</v>
      </c>
      <c r="E596" s="218" t="s">
        <v>315</v>
      </c>
      <c r="F596" s="218">
        <v>22.8</v>
      </c>
      <c r="G596" s="218" t="s">
        <v>316</v>
      </c>
      <c r="H596" s="218">
        <v>539</v>
      </c>
      <c r="I596" s="218">
        <f t="shared" si="33"/>
        <v>429</v>
      </c>
      <c r="J596" s="218">
        <f t="shared" si="34"/>
        <v>2.331002331002331E-3</v>
      </c>
      <c r="K596" s="218">
        <f t="shared" si="35"/>
        <v>4.6930081412840031E-2</v>
      </c>
      <c r="L596" s="218">
        <f t="shared" si="36"/>
        <v>408.7</v>
      </c>
      <c r="M596" s="218" t="s">
        <v>323</v>
      </c>
      <c r="P596" s="218">
        <v>591</v>
      </c>
      <c r="Q596" s="218">
        <v>419.7</v>
      </c>
      <c r="R596" s="218">
        <v>436</v>
      </c>
      <c r="S596" s="218">
        <v>349</v>
      </c>
      <c r="T596" s="218">
        <v>401.56666666666666</v>
      </c>
      <c r="U596" s="273">
        <v>2.4902465344069061E-3</v>
      </c>
      <c r="V596" s="218">
        <v>2.4943945256360343E-3</v>
      </c>
      <c r="W596" s="250">
        <v>4.2609007758491283E-5</v>
      </c>
      <c r="X596" s="250">
        <v>0.88646063281824872</v>
      </c>
      <c r="Z596" s="218">
        <v>588</v>
      </c>
      <c r="AA596" s="435">
        <v>0.88425312729948491</v>
      </c>
    </row>
    <row r="597" spans="1:27">
      <c r="A597" s="429">
        <v>0.68409722222222225</v>
      </c>
      <c r="B597" s="218">
        <v>430</v>
      </c>
      <c r="C597" s="218" t="s">
        <v>314</v>
      </c>
      <c r="D597" s="218">
        <v>215</v>
      </c>
      <c r="E597" s="218" t="s">
        <v>315</v>
      </c>
      <c r="F597" s="218">
        <v>22.8</v>
      </c>
      <c r="G597" s="218" t="s">
        <v>316</v>
      </c>
      <c r="H597" s="218">
        <v>540</v>
      </c>
      <c r="I597" s="218">
        <f t="shared" si="33"/>
        <v>429</v>
      </c>
      <c r="J597" s="218">
        <f t="shared" si="34"/>
        <v>2.331002331002331E-3</v>
      </c>
      <c r="K597" s="218">
        <f t="shared" si="35"/>
        <v>4.6930081412840031E-2</v>
      </c>
      <c r="L597" s="218">
        <f t="shared" si="36"/>
        <v>408.7</v>
      </c>
      <c r="M597" s="218" t="s">
        <v>323</v>
      </c>
      <c r="P597" s="218">
        <v>592</v>
      </c>
      <c r="Q597" s="218">
        <v>418.7</v>
      </c>
      <c r="R597" s="218">
        <v>434</v>
      </c>
      <c r="S597" s="218">
        <v>349</v>
      </c>
      <c r="T597" s="218">
        <v>400.56666666666666</v>
      </c>
      <c r="U597" s="273">
        <v>2.4964633435965717E-3</v>
      </c>
      <c r="V597" s="218">
        <v>2.4933549390017389E-3</v>
      </c>
      <c r="W597" s="250">
        <v>4.2591249639432301E-5</v>
      </c>
      <c r="X597" s="250">
        <v>0.88425312729948491</v>
      </c>
      <c r="Z597" s="218">
        <v>589</v>
      </c>
      <c r="AA597" s="435">
        <v>0.88498896247240622</v>
      </c>
    </row>
    <row r="598" spans="1:27">
      <c r="A598" s="429">
        <v>0.68410879629629628</v>
      </c>
      <c r="B598" s="218">
        <v>430</v>
      </c>
      <c r="C598" s="218" t="s">
        <v>314</v>
      </c>
      <c r="D598" s="218">
        <v>215</v>
      </c>
      <c r="E598" s="218" t="s">
        <v>315</v>
      </c>
      <c r="F598" s="218">
        <v>22.8</v>
      </c>
      <c r="G598" s="218" t="s">
        <v>316</v>
      </c>
      <c r="H598" s="218">
        <v>541</v>
      </c>
      <c r="I598" s="218">
        <f t="shared" si="33"/>
        <v>430</v>
      </c>
      <c r="J598" s="218">
        <f t="shared" si="34"/>
        <v>2.3255813953488372E-3</v>
      </c>
      <c r="K598" s="218">
        <f t="shared" si="35"/>
        <v>4.6935502348493523E-2</v>
      </c>
      <c r="L598" s="218">
        <f t="shared" si="36"/>
        <v>409.7</v>
      </c>
      <c r="M598" s="218" t="s">
        <v>323</v>
      </c>
      <c r="P598" s="218">
        <v>593</v>
      </c>
      <c r="Q598" s="218">
        <v>418.7</v>
      </c>
      <c r="R598" s="218">
        <v>436</v>
      </c>
      <c r="S598" s="218">
        <v>350</v>
      </c>
      <c r="T598" s="218">
        <v>401.56666666666666</v>
      </c>
      <c r="U598" s="273">
        <v>2.4902465344069061E-3</v>
      </c>
      <c r="V598" s="218">
        <v>2.4933549390017389E-3</v>
      </c>
      <c r="W598" s="250">
        <v>4.2591249639432301E-5</v>
      </c>
      <c r="X598" s="250">
        <v>0.88646063281824872</v>
      </c>
      <c r="Z598" s="218">
        <v>590</v>
      </c>
      <c r="AA598" s="435">
        <v>0.88351729212656371</v>
      </c>
    </row>
    <row r="599" spans="1:27">
      <c r="A599" s="429">
        <v>0.68412037037037043</v>
      </c>
      <c r="B599" s="218">
        <v>430</v>
      </c>
      <c r="C599" s="218" t="s">
        <v>314</v>
      </c>
      <c r="D599" s="218">
        <v>215</v>
      </c>
      <c r="E599" s="218" t="s">
        <v>315</v>
      </c>
      <c r="F599" s="218">
        <v>22.8</v>
      </c>
      <c r="G599" s="218" t="s">
        <v>316</v>
      </c>
      <c r="H599" s="218">
        <v>542</v>
      </c>
      <c r="I599" s="218">
        <f t="shared" si="33"/>
        <v>430</v>
      </c>
      <c r="J599" s="218">
        <f t="shared" si="34"/>
        <v>2.3255813953488372E-3</v>
      </c>
      <c r="K599" s="218">
        <f t="shared" si="35"/>
        <v>4.6935502348493523E-2</v>
      </c>
      <c r="L599" s="218">
        <f t="shared" si="36"/>
        <v>409.7</v>
      </c>
      <c r="M599" s="218" t="s">
        <v>323</v>
      </c>
      <c r="P599" s="218">
        <v>594</v>
      </c>
      <c r="Q599" s="218">
        <v>419.7</v>
      </c>
      <c r="R599" s="218">
        <v>435</v>
      </c>
      <c r="S599" s="218">
        <v>350</v>
      </c>
      <c r="T599" s="218">
        <v>401.56666666666666</v>
      </c>
      <c r="U599" s="273">
        <v>2.4902465344069061E-3</v>
      </c>
      <c r="V599" s="218">
        <v>2.4902465344069061E-3</v>
      </c>
      <c r="W599" s="250">
        <v>4.2538152170633135E-5</v>
      </c>
      <c r="X599" s="250">
        <v>0.88646063281824872</v>
      </c>
      <c r="Z599" s="218">
        <v>591</v>
      </c>
      <c r="AA599" s="435">
        <v>0.88646063281824872</v>
      </c>
    </row>
    <row r="600" spans="1:27">
      <c r="A600" s="429">
        <v>0.68413194444444436</v>
      </c>
      <c r="B600" s="218">
        <v>430</v>
      </c>
      <c r="C600" s="218" t="s">
        <v>314</v>
      </c>
      <c r="D600" s="218">
        <v>215</v>
      </c>
      <c r="E600" s="218" t="s">
        <v>315</v>
      </c>
      <c r="F600" s="218">
        <v>22.8</v>
      </c>
      <c r="G600" s="218" t="s">
        <v>316</v>
      </c>
      <c r="H600" s="218">
        <v>543</v>
      </c>
      <c r="I600" s="218">
        <f t="shared" si="33"/>
        <v>430</v>
      </c>
      <c r="J600" s="218">
        <f t="shared" si="34"/>
        <v>2.3255813953488372E-3</v>
      </c>
      <c r="K600" s="218">
        <f t="shared" si="35"/>
        <v>4.6935502348493523E-2</v>
      </c>
      <c r="L600" s="218">
        <f t="shared" si="36"/>
        <v>409.7</v>
      </c>
      <c r="M600" s="218" t="s">
        <v>323</v>
      </c>
      <c r="P600" s="218">
        <v>595</v>
      </c>
      <c r="Q600" s="218">
        <v>419.7</v>
      </c>
      <c r="R600" s="218">
        <v>436</v>
      </c>
      <c r="S600" s="218">
        <v>350</v>
      </c>
      <c r="T600" s="218">
        <v>401.90000000000003</v>
      </c>
      <c r="U600" s="273">
        <v>2.4881811395869617E-3</v>
      </c>
      <c r="V600" s="218">
        <v>2.4892138369969341E-3</v>
      </c>
      <c r="W600" s="250">
        <v>4.25205117326425E-5</v>
      </c>
      <c r="X600" s="250">
        <v>0.88719646799117002</v>
      </c>
      <c r="Z600" s="218">
        <v>592</v>
      </c>
      <c r="AA600" s="435">
        <v>0.88425312729948491</v>
      </c>
    </row>
    <row r="601" spans="1:27">
      <c r="A601" s="429">
        <v>0.68414351851851851</v>
      </c>
      <c r="B601" s="218">
        <v>430</v>
      </c>
      <c r="C601" s="218" t="s">
        <v>314</v>
      </c>
      <c r="D601" s="218">
        <v>215</v>
      </c>
      <c r="E601" s="218" t="s">
        <v>315</v>
      </c>
      <c r="F601" s="218">
        <v>22.8</v>
      </c>
      <c r="G601" s="218" t="s">
        <v>316</v>
      </c>
      <c r="H601" s="218">
        <v>544</v>
      </c>
      <c r="I601" s="218">
        <f t="shared" si="33"/>
        <v>430</v>
      </c>
      <c r="J601" s="218">
        <f t="shared" si="34"/>
        <v>2.3255813953488372E-3</v>
      </c>
      <c r="K601" s="218">
        <f t="shared" si="35"/>
        <v>4.6935502348493523E-2</v>
      </c>
      <c r="L601" s="218">
        <f t="shared" si="36"/>
        <v>409.7</v>
      </c>
      <c r="M601" s="218" t="s">
        <v>323</v>
      </c>
      <c r="P601" s="218">
        <v>596</v>
      </c>
      <c r="Q601" s="218">
        <v>418.7</v>
      </c>
      <c r="R601" s="218">
        <v>436</v>
      </c>
      <c r="S601" s="218">
        <v>350</v>
      </c>
      <c r="T601" s="218">
        <v>401.56666666666666</v>
      </c>
      <c r="U601" s="273">
        <v>2.4902465344069061E-3</v>
      </c>
      <c r="V601" s="218">
        <v>2.4892138369969341E-3</v>
      </c>
      <c r="W601" s="250">
        <v>4.25205117326425E-5</v>
      </c>
      <c r="X601" s="250">
        <v>0.88646063281824872</v>
      </c>
      <c r="Z601" s="218">
        <v>593</v>
      </c>
      <c r="AA601" s="435">
        <v>0.88646063281824872</v>
      </c>
    </row>
    <row r="602" spans="1:27">
      <c r="A602" s="429">
        <v>0.68415509259259266</v>
      </c>
      <c r="B602" s="218">
        <v>432</v>
      </c>
      <c r="C602" s="218" t="s">
        <v>314</v>
      </c>
      <c r="D602" s="218">
        <v>216</v>
      </c>
      <c r="E602" s="218" t="s">
        <v>315</v>
      </c>
      <c r="F602" s="218">
        <v>22.8</v>
      </c>
      <c r="G602" s="218" t="s">
        <v>316</v>
      </c>
      <c r="H602" s="218">
        <v>545</v>
      </c>
      <c r="I602" s="218">
        <f t="shared" si="33"/>
        <v>430</v>
      </c>
      <c r="J602" s="218">
        <f t="shared" si="34"/>
        <v>2.3255813953488372E-3</v>
      </c>
      <c r="K602" s="218">
        <f t="shared" si="35"/>
        <v>4.6935502348493523E-2</v>
      </c>
      <c r="L602" s="218">
        <f t="shared" si="36"/>
        <v>409.7</v>
      </c>
      <c r="M602" s="218" t="s">
        <v>323</v>
      </c>
      <c r="P602" s="218">
        <v>597</v>
      </c>
      <c r="Q602" s="218">
        <v>419.7</v>
      </c>
      <c r="R602" s="218">
        <v>436</v>
      </c>
      <c r="S602" s="218">
        <v>350</v>
      </c>
      <c r="T602" s="218">
        <v>401.90000000000003</v>
      </c>
      <c r="U602" s="273">
        <v>2.4881811395869617E-3</v>
      </c>
      <c r="V602" s="218">
        <v>2.4892138369969341E-3</v>
      </c>
      <c r="W602" s="250">
        <v>4.25205117326425E-5</v>
      </c>
      <c r="X602" s="250">
        <v>0.88719646799117002</v>
      </c>
      <c r="Z602" s="218">
        <v>594</v>
      </c>
      <c r="AA602" s="435">
        <v>0.88646063281824872</v>
      </c>
    </row>
    <row r="603" spans="1:27">
      <c r="A603" s="429">
        <v>0.6841666666666667</v>
      </c>
      <c r="B603" s="218">
        <v>429</v>
      </c>
      <c r="C603" s="218" t="s">
        <v>314</v>
      </c>
      <c r="D603" s="218">
        <v>215</v>
      </c>
      <c r="E603" s="218" t="s">
        <v>315</v>
      </c>
      <c r="F603" s="218">
        <v>22.8</v>
      </c>
      <c r="G603" s="218" t="s">
        <v>316</v>
      </c>
      <c r="H603" s="218">
        <v>546</v>
      </c>
      <c r="I603" s="218">
        <f t="shared" si="33"/>
        <v>432</v>
      </c>
      <c r="J603" s="218">
        <f t="shared" si="34"/>
        <v>2.3148148148148147E-3</v>
      </c>
      <c r="K603" s="218">
        <f t="shared" si="35"/>
        <v>4.6946268929027549E-2</v>
      </c>
      <c r="L603" s="218">
        <f t="shared" si="36"/>
        <v>411.7</v>
      </c>
      <c r="M603" s="218" t="s">
        <v>323</v>
      </c>
      <c r="P603" s="218">
        <v>598</v>
      </c>
      <c r="Q603" s="218">
        <v>418.7</v>
      </c>
      <c r="R603" s="218">
        <v>436</v>
      </c>
      <c r="S603" s="218">
        <v>350</v>
      </c>
      <c r="T603" s="218">
        <v>401.56666666666666</v>
      </c>
      <c r="U603" s="273">
        <v>2.4902465344069061E-3</v>
      </c>
      <c r="V603" s="218">
        <v>2.4892138369969341E-3</v>
      </c>
      <c r="W603" s="250">
        <v>4.25205117326425E-5</v>
      </c>
      <c r="X603" s="250">
        <v>0.88646063281824872</v>
      </c>
      <c r="Z603" s="218">
        <v>595</v>
      </c>
      <c r="AA603" s="435">
        <v>0.88719646799117002</v>
      </c>
    </row>
    <row r="604" spans="1:27">
      <c r="A604" s="429">
        <v>0.68417824074074074</v>
      </c>
      <c r="B604" s="218">
        <v>432</v>
      </c>
      <c r="C604" s="218" t="s">
        <v>314</v>
      </c>
      <c r="D604" s="218">
        <v>216</v>
      </c>
      <c r="E604" s="218" t="s">
        <v>315</v>
      </c>
      <c r="F604" s="218">
        <v>22.8</v>
      </c>
      <c r="G604" s="218" t="s">
        <v>316</v>
      </c>
      <c r="H604" s="218">
        <v>547</v>
      </c>
      <c r="I604" s="218">
        <f t="shared" si="33"/>
        <v>429</v>
      </c>
      <c r="J604" s="218">
        <f t="shared" si="34"/>
        <v>2.331002331002331E-3</v>
      </c>
      <c r="K604" s="218">
        <f t="shared" si="35"/>
        <v>4.6930081412840031E-2</v>
      </c>
      <c r="L604" s="218">
        <f t="shared" si="36"/>
        <v>408.7</v>
      </c>
      <c r="M604" s="218" t="s">
        <v>323</v>
      </c>
      <c r="P604" s="218">
        <v>599</v>
      </c>
      <c r="Q604" s="218">
        <v>419.7</v>
      </c>
      <c r="R604" s="218">
        <v>435</v>
      </c>
      <c r="S604" s="218">
        <v>349</v>
      </c>
      <c r="T604" s="218">
        <v>401.23333333333335</v>
      </c>
      <c r="U604" s="273">
        <v>2.4923153609703414E-3</v>
      </c>
      <c r="V604" s="218">
        <v>2.491280947688624E-3</v>
      </c>
      <c r="W604" s="250">
        <v>4.2555821918980171E-5</v>
      </c>
      <c r="X604" s="250">
        <v>0.88572479764532752</v>
      </c>
      <c r="Z604" s="218">
        <v>596</v>
      </c>
      <c r="AA604" s="435">
        <v>0.88646063281824872</v>
      </c>
    </row>
    <row r="605" spans="1:27">
      <c r="A605" s="429">
        <v>0.68418981481481478</v>
      </c>
      <c r="B605" s="218">
        <v>431</v>
      </c>
      <c r="C605" s="218" t="s">
        <v>314</v>
      </c>
      <c r="D605" s="218">
        <v>216</v>
      </c>
      <c r="E605" s="218" t="s">
        <v>315</v>
      </c>
      <c r="F605" s="218">
        <v>22.8</v>
      </c>
      <c r="G605" s="218" t="s">
        <v>316</v>
      </c>
      <c r="H605" s="218">
        <v>548</v>
      </c>
      <c r="I605" s="218">
        <f t="shared" si="33"/>
        <v>432</v>
      </c>
      <c r="J605" s="218">
        <f t="shared" si="34"/>
        <v>2.3148148148148147E-3</v>
      </c>
      <c r="K605" s="218">
        <f t="shared" si="35"/>
        <v>4.6946268929027549E-2</v>
      </c>
      <c r="L605" s="218">
        <f t="shared" si="36"/>
        <v>411.7</v>
      </c>
      <c r="M605" s="218" t="s">
        <v>323</v>
      </c>
      <c r="P605" s="218">
        <v>600</v>
      </c>
      <c r="Q605" s="218">
        <v>419.7</v>
      </c>
      <c r="R605" s="218">
        <v>436</v>
      </c>
      <c r="S605" s="218">
        <v>349</v>
      </c>
      <c r="T605" s="218">
        <v>401.56666666666666</v>
      </c>
      <c r="U605" s="273">
        <v>2.4902465344069061E-3</v>
      </c>
      <c r="V605" s="218">
        <v>2.491280947688624E-3</v>
      </c>
      <c r="W605" s="250">
        <v>4.2555821918980171E-5</v>
      </c>
      <c r="X605" s="250">
        <v>0.88646063281824872</v>
      </c>
      <c r="Z605" s="218">
        <v>597</v>
      </c>
      <c r="AA605" s="435">
        <v>0.88719646799117002</v>
      </c>
    </row>
    <row r="606" spans="1:27">
      <c r="A606" s="429">
        <v>0.68420138888888893</v>
      </c>
      <c r="B606" s="218">
        <v>431</v>
      </c>
      <c r="C606" s="218" t="s">
        <v>314</v>
      </c>
      <c r="D606" s="218">
        <v>216</v>
      </c>
      <c r="E606" s="218" t="s">
        <v>315</v>
      </c>
      <c r="F606" s="218">
        <v>22.8</v>
      </c>
      <c r="G606" s="218" t="s">
        <v>316</v>
      </c>
      <c r="H606" s="218">
        <v>549</v>
      </c>
      <c r="I606" s="218">
        <f t="shared" si="33"/>
        <v>431</v>
      </c>
      <c r="J606" s="218">
        <f t="shared" si="34"/>
        <v>2.3201856148491878E-3</v>
      </c>
      <c r="K606" s="218">
        <f t="shared" si="35"/>
        <v>4.6940898128993172E-2</v>
      </c>
      <c r="L606" s="218">
        <f t="shared" si="36"/>
        <v>410.7</v>
      </c>
      <c r="M606" s="218" t="s">
        <v>323</v>
      </c>
      <c r="P606" s="218">
        <v>601</v>
      </c>
      <c r="Q606" s="218">
        <v>419.7</v>
      </c>
      <c r="R606" s="218">
        <v>436</v>
      </c>
      <c r="S606" s="218">
        <v>352</v>
      </c>
      <c r="T606" s="218">
        <v>402.56666666666666</v>
      </c>
      <c r="U606" s="273">
        <v>2.4840606110789103E-3</v>
      </c>
      <c r="V606" s="218">
        <v>2.4871535727429084E-3</v>
      </c>
      <c r="W606" s="250">
        <v>4.2485318496495566E-5</v>
      </c>
      <c r="X606" s="250">
        <v>0.88866813833701253</v>
      </c>
      <c r="Z606" s="218">
        <v>598</v>
      </c>
      <c r="AA606" s="435">
        <v>0.88646063281824872</v>
      </c>
    </row>
    <row r="607" spans="1:27">
      <c r="A607" s="429">
        <v>0.68421296296296286</v>
      </c>
      <c r="B607" s="218">
        <v>432</v>
      </c>
      <c r="C607" s="218" t="s">
        <v>314</v>
      </c>
      <c r="D607" s="218">
        <v>216</v>
      </c>
      <c r="E607" s="218" t="s">
        <v>315</v>
      </c>
      <c r="F607" s="218">
        <v>22.8</v>
      </c>
      <c r="G607" s="218" t="s">
        <v>316</v>
      </c>
      <c r="H607" s="218">
        <v>550</v>
      </c>
      <c r="I607" s="218">
        <f t="shared" si="33"/>
        <v>431</v>
      </c>
      <c r="J607" s="218">
        <f t="shared" si="34"/>
        <v>2.3201856148491878E-3</v>
      </c>
      <c r="K607" s="218">
        <f t="shared" si="35"/>
        <v>4.6940898128993172E-2</v>
      </c>
      <c r="L607" s="218">
        <f t="shared" si="36"/>
        <v>410.7</v>
      </c>
      <c r="M607" s="218" t="s">
        <v>323</v>
      </c>
      <c r="P607" s="218">
        <v>602</v>
      </c>
      <c r="Q607" s="218">
        <v>420.7</v>
      </c>
      <c r="R607" s="218">
        <v>437</v>
      </c>
      <c r="S607" s="218">
        <v>352</v>
      </c>
      <c r="T607" s="218">
        <v>403.23333333333335</v>
      </c>
      <c r="U607" s="273">
        <v>2.4799537075307927E-3</v>
      </c>
      <c r="V607" s="218">
        <v>2.4820071593048515E-3</v>
      </c>
      <c r="W607" s="250">
        <v>4.239740795633967E-5</v>
      </c>
      <c r="X607" s="250">
        <v>0.89013980868285503</v>
      </c>
      <c r="Z607" s="218">
        <v>599</v>
      </c>
      <c r="AA607" s="435">
        <v>0.88572479764532752</v>
      </c>
    </row>
    <row r="608" spans="1:27">
      <c r="A608" s="429">
        <v>0.68422453703703701</v>
      </c>
      <c r="B608" s="218">
        <v>432</v>
      </c>
      <c r="C608" s="218" t="s">
        <v>314</v>
      </c>
      <c r="D608" s="218">
        <v>216</v>
      </c>
      <c r="E608" s="218" t="s">
        <v>315</v>
      </c>
      <c r="F608" s="218">
        <v>22.8</v>
      </c>
      <c r="G608" s="218" t="s">
        <v>316</v>
      </c>
      <c r="H608" s="218">
        <v>551</v>
      </c>
      <c r="I608" s="218">
        <f t="shared" si="33"/>
        <v>432</v>
      </c>
      <c r="J608" s="218">
        <f t="shared" si="34"/>
        <v>2.3148148148148147E-3</v>
      </c>
      <c r="K608" s="218">
        <f t="shared" si="35"/>
        <v>4.6946268929027549E-2</v>
      </c>
      <c r="L608" s="218">
        <f t="shared" si="36"/>
        <v>411.7</v>
      </c>
      <c r="M608" s="218" t="s">
        <v>323</v>
      </c>
      <c r="P608" s="218">
        <v>603</v>
      </c>
      <c r="Q608" s="218">
        <v>419.7</v>
      </c>
      <c r="R608" s="218">
        <v>436</v>
      </c>
      <c r="S608" s="218">
        <v>353</v>
      </c>
      <c r="T608" s="218">
        <v>402.90000000000003</v>
      </c>
      <c r="U608" s="273">
        <v>2.4820054604120126E-3</v>
      </c>
      <c r="V608" s="218">
        <v>2.4809795839714028E-3</v>
      </c>
      <c r="W608" s="250">
        <v>4.2379855013168348E-5</v>
      </c>
      <c r="X608" s="250">
        <v>0.88940397350993383</v>
      </c>
      <c r="Z608" s="218">
        <v>600</v>
      </c>
      <c r="AA608" s="435">
        <v>0.88646063281824872</v>
      </c>
    </row>
    <row r="609" spans="1:27">
      <c r="A609" s="429">
        <v>0.68423611111111116</v>
      </c>
      <c r="B609" s="218">
        <v>432</v>
      </c>
      <c r="C609" s="218" t="s">
        <v>314</v>
      </c>
      <c r="D609" s="218">
        <v>216</v>
      </c>
      <c r="E609" s="218" t="s">
        <v>315</v>
      </c>
      <c r="F609" s="218">
        <v>22.8</v>
      </c>
      <c r="G609" s="218" t="s">
        <v>316</v>
      </c>
      <c r="H609" s="218">
        <v>552</v>
      </c>
      <c r="I609" s="218">
        <f t="shared" si="33"/>
        <v>432</v>
      </c>
      <c r="J609" s="218">
        <f t="shared" si="34"/>
        <v>2.3148148148148147E-3</v>
      </c>
      <c r="K609" s="218">
        <f t="shared" si="35"/>
        <v>4.6946268929027549E-2</v>
      </c>
      <c r="L609" s="218">
        <f t="shared" si="36"/>
        <v>411.7</v>
      </c>
      <c r="M609" s="218" t="s">
        <v>323</v>
      </c>
      <c r="P609" s="218">
        <v>604</v>
      </c>
      <c r="Q609" s="218">
        <v>421.7</v>
      </c>
      <c r="R609" s="218">
        <v>438</v>
      </c>
      <c r="S609" s="218">
        <v>353</v>
      </c>
      <c r="T609" s="218">
        <v>404.23333333333335</v>
      </c>
      <c r="U609" s="273">
        <v>2.4738187515461365E-3</v>
      </c>
      <c r="V609" s="218">
        <v>2.4779121059790746E-3</v>
      </c>
      <c r="W609" s="250">
        <v>4.232745664866312E-5</v>
      </c>
      <c r="X609" s="250">
        <v>0.89234731420161884</v>
      </c>
      <c r="Z609" s="218">
        <v>601</v>
      </c>
      <c r="AA609" s="435">
        <v>0.88866813833701253</v>
      </c>
    </row>
    <row r="610" spans="1:27">
      <c r="A610" s="429">
        <v>0.68424768518518519</v>
      </c>
      <c r="B610" s="218">
        <v>433</v>
      </c>
      <c r="C610" s="218" t="s">
        <v>314</v>
      </c>
      <c r="D610" s="218">
        <v>217</v>
      </c>
      <c r="E610" s="218" t="s">
        <v>315</v>
      </c>
      <c r="F610" s="218">
        <v>22.8</v>
      </c>
      <c r="G610" s="218" t="s">
        <v>316</v>
      </c>
      <c r="H610" s="218">
        <v>553</v>
      </c>
      <c r="I610" s="218">
        <f t="shared" si="33"/>
        <v>432</v>
      </c>
      <c r="J610" s="218">
        <f t="shared" si="34"/>
        <v>2.3148148148148147E-3</v>
      </c>
      <c r="K610" s="218">
        <f t="shared" si="35"/>
        <v>4.6946268929027549E-2</v>
      </c>
      <c r="L610" s="218">
        <f t="shared" si="36"/>
        <v>411.7</v>
      </c>
      <c r="M610" s="218" t="s">
        <v>323</v>
      </c>
      <c r="P610" s="218">
        <v>605</v>
      </c>
      <c r="Q610" s="218">
        <v>418.7</v>
      </c>
      <c r="R610" s="218">
        <v>435</v>
      </c>
      <c r="S610" s="218">
        <v>354</v>
      </c>
      <c r="T610" s="218">
        <v>402.56666666666666</v>
      </c>
      <c r="U610" s="273">
        <v>2.4840606110789103E-3</v>
      </c>
      <c r="V610" s="218">
        <v>2.4789396813125232E-3</v>
      </c>
      <c r="W610" s="250">
        <v>4.2345009591834449E-5</v>
      </c>
      <c r="X610" s="250">
        <v>0.88866813833701253</v>
      </c>
      <c r="Z610" s="218">
        <v>602</v>
      </c>
      <c r="AA610" s="435">
        <v>0.89013980868285503</v>
      </c>
    </row>
    <row r="611" spans="1:27">
      <c r="A611" s="429">
        <v>0.68425925925925923</v>
      </c>
      <c r="B611" s="218">
        <v>432</v>
      </c>
      <c r="C611" s="218" t="s">
        <v>314</v>
      </c>
      <c r="D611" s="218">
        <v>216</v>
      </c>
      <c r="E611" s="218" t="s">
        <v>315</v>
      </c>
      <c r="F611" s="218">
        <v>22.8</v>
      </c>
      <c r="G611" s="218" t="s">
        <v>316</v>
      </c>
      <c r="H611" s="218">
        <v>554</v>
      </c>
      <c r="I611" s="218">
        <f t="shared" si="33"/>
        <v>433</v>
      </c>
      <c r="J611" s="218">
        <f t="shared" si="34"/>
        <v>2.3094688221709007E-3</v>
      </c>
      <c r="K611" s="218">
        <f t="shared" si="35"/>
        <v>4.6951614921671457E-2</v>
      </c>
      <c r="L611" s="218">
        <f t="shared" si="36"/>
        <v>412.7</v>
      </c>
      <c r="M611" s="218" t="s">
        <v>323</v>
      </c>
      <c r="P611" s="218">
        <v>606</v>
      </c>
      <c r="Q611" s="218">
        <v>420.7</v>
      </c>
      <c r="R611" s="218">
        <v>437</v>
      </c>
      <c r="S611" s="218">
        <v>354</v>
      </c>
      <c r="T611" s="218">
        <v>403.90000000000003</v>
      </c>
      <c r="U611" s="273">
        <v>2.4758603614756128E-3</v>
      </c>
      <c r="V611" s="218">
        <v>2.4799604862772613E-3</v>
      </c>
      <c r="W611" s="250">
        <v>4.2362446884217591E-5</v>
      </c>
      <c r="X611" s="250">
        <v>0.89161147902869764</v>
      </c>
      <c r="Z611" s="218">
        <v>603</v>
      </c>
      <c r="AA611" s="435">
        <v>0.88940397350993383</v>
      </c>
    </row>
    <row r="612" spans="1:27">
      <c r="A612" s="429">
        <v>0.68427083333333327</v>
      </c>
      <c r="B612" s="218">
        <v>433</v>
      </c>
      <c r="C612" s="218" t="s">
        <v>314</v>
      </c>
      <c r="D612" s="218">
        <v>217</v>
      </c>
      <c r="E612" s="218" t="s">
        <v>315</v>
      </c>
      <c r="F612" s="218">
        <v>22.8</v>
      </c>
      <c r="G612" s="218" t="s">
        <v>316</v>
      </c>
      <c r="H612" s="218">
        <v>555</v>
      </c>
      <c r="I612" s="218">
        <f t="shared" si="33"/>
        <v>432</v>
      </c>
      <c r="J612" s="218">
        <f t="shared" si="34"/>
        <v>2.3148148148148147E-3</v>
      </c>
      <c r="K612" s="218">
        <f t="shared" si="35"/>
        <v>4.6946268929027549E-2</v>
      </c>
      <c r="L612" s="218">
        <f t="shared" si="36"/>
        <v>411.7</v>
      </c>
      <c r="M612" s="218" t="s">
        <v>323</v>
      </c>
      <c r="P612" s="218">
        <v>607</v>
      </c>
      <c r="Q612" s="218">
        <v>419.7</v>
      </c>
      <c r="R612" s="218">
        <v>437</v>
      </c>
      <c r="S612" s="218">
        <v>355</v>
      </c>
      <c r="T612" s="218">
        <v>403.90000000000003</v>
      </c>
      <c r="U612" s="273">
        <v>2.4758603614756128E-3</v>
      </c>
      <c r="V612" s="218">
        <v>2.4758603614756128E-3</v>
      </c>
      <c r="W612" s="250">
        <v>4.2292408946077198E-5</v>
      </c>
      <c r="X612" s="250">
        <v>0.89161147902869764</v>
      </c>
      <c r="Z612" s="218">
        <v>604</v>
      </c>
      <c r="AA612" s="435">
        <v>0.89234731420161884</v>
      </c>
    </row>
    <row r="613" spans="1:27">
      <c r="A613" s="429">
        <v>0.68428240740740742</v>
      </c>
      <c r="B613" s="218">
        <v>433</v>
      </c>
      <c r="C613" s="218" t="s">
        <v>314</v>
      </c>
      <c r="D613" s="218">
        <v>217</v>
      </c>
      <c r="E613" s="218" t="s">
        <v>315</v>
      </c>
      <c r="F613" s="218">
        <v>22.8</v>
      </c>
      <c r="G613" s="218" t="s">
        <v>316</v>
      </c>
      <c r="H613" s="218">
        <v>556</v>
      </c>
      <c r="I613" s="218">
        <f t="shared" si="33"/>
        <v>433</v>
      </c>
      <c r="J613" s="218">
        <f t="shared" si="34"/>
        <v>2.3094688221709007E-3</v>
      </c>
      <c r="K613" s="218">
        <f t="shared" si="35"/>
        <v>4.6951614921671457E-2</v>
      </c>
      <c r="L613" s="218">
        <f t="shared" si="36"/>
        <v>412.7</v>
      </c>
      <c r="M613" s="218" t="s">
        <v>323</v>
      </c>
      <c r="P613" s="218">
        <v>608</v>
      </c>
      <c r="Q613" s="218">
        <v>420.7</v>
      </c>
      <c r="R613" s="218">
        <v>438</v>
      </c>
      <c r="S613" s="218">
        <v>355</v>
      </c>
      <c r="T613" s="218">
        <v>404.56666666666666</v>
      </c>
      <c r="U613" s="273">
        <v>2.4717805058910771E-3</v>
      </c>
      <c r="V613" s="218">
        <v>2.4738204336833452E-3</v>
      </c>
      <c r="W613" s="250">
        <v>4.2257563095417176E-5</v>
      </c>
      <c r="X613" s="250">
        <v>0.89308314937454014</v>
      </c>
      <c r="Z613" s="218">
        <v>605</v>
      </c>
      <c r="AA613" s="435">
        <v>0.88866813833701253</v>
      </c>
    </row>
    <row r="614" spans="1:27">
      <c r="A614" s="429">
        <v>0.68429398148148157</v>
      </c>
      <c r="B614" s="218">
        <v>433</v>
      </c>
      <c r="C614" s="218" t="s">
        <v>314</v>
      </c>
      <c r="D614" s="218">
        <v>217</v>
      </c>
      <c r="E614" s="218" t="s">
        <v>315</v>
      </c>
      <c r="F614" s="218">
        <v>22.8</v>
      </c>
      <c r="G614" s="218" t="s">
        <v>316</v>
      </c>
      <c r="H614" s="218">
        <v>557</v>
      </c>
      <c r="I614" s="218">
        <f t="shared" si="33"/>
        <v>433</v>
      </c>
      <c r="J614" s="218">
        <f t="shared" si="34"/>
        <v>2.3094688221709007E-3</v>
      </c>
      <c r="K614" s="218">
        <f t="shared" si="35"/>
        <v>4.6951614921671457E-2</v>
      </c>
      <c r="L614" s="218">
        <f t="shared" si="36"/>
        <v>412.7</v>
      </c>
      <c r="M614" s="218" t="s">
        <v>323</v>
      </c>
      <c r="P614" s="218">
        <v>609</v>
      </c>
      <c r="Q614" s="218">
        <v>421.7</v>
      </c>
      <c r="R614" s="218">
        <v>437</v>
      </c>
      <c r="S614" s="218">
        <v>354</v>
      </c>
      <c r="T614" s="218">
        <v>404.23333333333335</v>
      </c>
      <c r="U614" s="273">
        <v>2.4738187515461365E-3</v>
      </c>
      <c r="V614" s="218">
        <v>2.472799628718607E-3</v>
      </c>
      <c r="W614" s="250">
        <v>4.2240125803034035E-5</v>
      </c>
      <c r="X614" s="250">
        <v>0.89234731420161884</v>
      </c>
      <c r="Z614" s="218">
        <v>606</v>
      </c>
      <c r="AA614" s="435">
        <v>0.89161147902869764</v>
      </c>
    </row>
    <row r="615" spans="1:27">
      <c r="A615" s="429">
        <v>0.6843055555555555</v>
      </c>
      <c r="B615" s="218">
        <v>434</v>
      </c>
      <c r="C615" s="218" t="s">
        <v>314</v>
      </c>
      <c r="D615" s="218">
        <v>217</v>
      </c>
      <c r="E615" s="218" t="s">
        <v>315</v>
      </c>
      <c r="F615" s="218">
        <v>22.8</v>
      </c>
      <c r="G615" s="218" t="s">
        <v>316</v>
      </c>
      <c r="H615" s="218">
        <v>558</v>
      </c>
      <c r="I615" s="218">
        <f t="shared" si="33"/>
        <v>433</v>
      </c>
      <c r="J615" s="218">
        <f t="shared" si="34"/>
        <v>2.3094688221709007E-3</v>
      </c>
      <c r="K615" s="218">
        <f t="shared" si="35"/>
        <v>4.6951614921671457E-2</v>
      </c>
      <c r="L615" s="218">
        <f t="shared" si="36"/>
        <v>412.7</v>
      </c>
      <c r="M615" s="218" t="s">
        <v>323</v>
      </c>
      <c r="P615" s="218">
        <v>610</v>
      </c>
      <c r="Q615" s="218">
        <v>421.7</v>
      </c>
      <c r="R615" s="218">
        <v>438</v>
      </c>
      <c r="S615" s="218">
        <v>354</v>
      </c>
      <c r="T615" s="218">
        <v>404.56666666666666</v>
      </c>
      <c r="U615" s="273">
        <v>2.4717805058910771E-3</v>
      </c>
      <c r="V615" s="218">
        <v>2.472799628718607E-3</v>
      </c>
      <c r="W615" s="250">
        <v>4.2240125803034035E-5</v>
      </c>
      <c r="X615" s="250">
        <v>0.89308314937454014</v>
      </c>
      <c r="Z615" s="218">
        <v>607</v>
      </c>
      <c r="AA615" s="435">
        <v>0.89161147902869764</v>
      </c>
    </row>
    <row r="616" spans="1:27">
      <c r="A616" s="429">
        <v>0.68431712962962965</v>
      </c>
      <c r="B616" s="218">
        <v>432</v>
      </c>
      <c r="C616" s="218" t="s">
        <v>314</v>
      </c>
      <c r="D616" s="218">
        <v>216</v>
      </c>
      <c r="E616" s="218" t="s">
        <v>315</v>
      </c>
      <c r="F616" s="218">
        <v>22.8</v>
      </c>
      <c r="G616" s="218" t="s">
        <v>316</v>
      </c>
      <c r="H616" s="218">
        <v>559</v>
      </c>
      <c r="I616" s="218">
        <f t="shared" si="33"/>
        <v>434</v>
      </c>
      <c r="J616" s="218">
        <f t="shared" si="34"/>
        <v>2.304147465437788E-3</v>
      </c>
      <c r="K616" s="218">
        <f t="shared" si="35"/>
        <v>4.6956936278404575E-2</v>
      </c>
      <c r="L616" s="218">
        <f t="shared" si="36"/>
        <v>413.7</v>
      </c>
      <c r="M616" s="218" t="s">
        <v>323</v>
      </c>
      <c r="P616" s="218">
        <v>611</v>
      </c>
      <c r="Q616" s="218">
        <v>421.7</v>
      </c>
      <c r="R616" s="218">
        <v>438</v>
      </c>
      <c r="S616" s="218">
        <v>355</v>
      </c>
      <c r="T616" s="218">
        <v>404.90000000000003</v>
      </c>
      <c r="U616" s="273">
        <v>2.469745616201531E-3</v>
      </c>
      <c r="V616" s="218">
        <v>2.4707630610463042E-3</v>
      </c>
      <c r="W616" s="250">
        <v>4.2205337349620589E-5</v>
      </c>
      <c r="X616" s="250">
        <v>0.89381898454746145</v>
      </c>
      <c r="Z616" s="218">
        <v>608</v>
      </c>
      <c r="AA616" s="435">
        <v>0.89308314937454014</v>
      </c>
    </row>
    <row r="617" spans="1:27">
      <c r="A617" s="429">
        <v>0.68432870370370369</v>
      </c>
      <c r="B617" s="218">
        <v>434</v>
      </c>
      <c r="C617" s="218" t="s">
        <v>314</v>
      </c>
      <c r="D617" s="218">
        <v>217</v>
      </c>
      <c r="E617" s="218" t="s">
        <v>315</v>
      </c>
      <c r="F617" s="218">
        <v>22.8</v>
      </c>
      <c r="G617" s="218" t="s">
        <v>316</v>
      </c>
      <c r="H617" s="218">
        <v>560</v>
      </c>
      <c r="I617" s="218">
        <f t="shared" si="33"/>
        <v>432</v>
      </c>
      <c r="J617" s="218">
        <f t="shared" si="34"/>
        <v>2.3148148148148147E-3</v>
      </c>
      <c r="K617" s="218">
        <f t="shared" si="35"/>
        <v>4.6946268929027549E-2</v>
      </c>
      <c r="L617" s="218">
        <f t="shared" si="36"/>
        <v>411.7</v>
      </c>
      <c r="M617" s="218" t="s">
        <v>323</v>
      </c>
      <c r="P617" s="218">
        <v>612</v>
      </c>
      <c r="Q617" s="218">
        <v>421.7</v>
      </c>
      <c r="R617" s="218">
        <v>438</v>
      </c>
      <c r="S617" s="218">
        <v>355</v>
      </c>
      <c r="T617" s="218">
        <v>404.90000000000003</v>
      </c>
      <c r="U617" s="273">
        <v>2.469745616201531E-3</v>
      </c>
      <c r="V617" s="218">
        <v>2.469745616201531E-3</v>
      </c>
      <c r="W617" s="250">
        <v>4.2187957454484017E-5</v>
      </c>
      <c r="X617" s="250">
        <v>0.89381898454746145</v>
      </c>
      <c r="Z617" s="218">
        <v>609</v>
      </c>
      <c r="AA617" s="435">
        <v>0.89234731420161884</v>
      </c>
    </row>
    <row r="618" spans="1:27">
      <c r="A618" s="429">
        <v>0.68434027777777784</v>
      </c>
      <c r="B618" s="218">
        <v>432</v>
      </c>
      <c r="C618" s="218" t="s">
        <v>314</v>
      </c>
      <c r="D618" s="218">
        <v>216</v>
      </c>
      <c r="E618" s="218" t="s">
        <v>315</v>
      </c>
      <c r="F618" s="218">
        <v>22.8</v>
      </c>
      <c r="G618" s="218" t="s">
        <v>316</v>
      </c>
      <c r="H618" s="218">
        <v>561</v>
      </c>
      <c r="I618" s="218">
        <f t="shared" si="33"/>
        <v>434</v>
      </c>
      <c r="J618" s="218">
        <f t="shared" si="34"/>
        <v>2.304147465437788E-3</v>
      </c>
      <c r="K618" s="218">
        <f t="shared" si="35"/>
        <v>4.6956936278404575E-2</v>
      </c>
      <c r="L618" s="218">
        <f t="shared" si="36"/>
        <v>413.7</v>
      </c>
      <c r="M618" s="218" t="s">
        <v>323</v>
      </c>
      <c r="P618" s="218">
        <v>613</v>
      </c>
      <c r="Q618" s="218">
        <v>420.7</v>
      </c>
      <c r="R618" s="218">
        <v>438</v>
      </c>
      <c r="S618" s="218">
        <v>352</v>
      </c>
      <c r="T618" s="218">
        <v>403.56666666666666</v>
      </c>
      <c r="U618" s="273">
        <v>2.4779053440158586E-3</v>
      </c>
      <c r="V618" s="218">
        <v>2.4738254801086948E-3</v>
      </c>
      <c r="W618" s="250">
        <v>4.225764929797041E-5</v>
      </c>
      <c r="X618" s="250">
        <v>0.89087564385577633</v>
      </c>
      <c r="Z618" s="218">
        <v>610</v>
      </c>
      <c r="AA618" s="435">
        <v>0.89308314937454014</v>
      </c>
    </row>
    <row r="619" spans="1:27">
      <c r="A619" s="429">
        <v>0.68435185185185177</v>
      </c>
      <c r="B619" s="218">
        <v>434</v>
      </c>
      <c r="C619" s="218" t="s">
        <v>314</v>
      </c>
      <c r="D619" s="218">
        <v>217</v>
      </c>
      <c r="E619" s="218" t="s">
        <v>315</v>
      </c>
      <c r="F619" s="218">
        <v>22.8</v>
      </c>
      <c r="G619" s="218" t="s">
        <v>316</v>
      </c>
      <c r="H619" s="218">
        <v>562</v>
      </c>
      <c r="I619" s="218">
        <f t="shared" si="33"/>
        <v>432</v>
      </c>
      <c r="J619" s="218">
        <f t="shared" si="34"/>
        <v>2.3148148148148147E-3</v>
      </c>
      <c r="K619" s="218">
        <f t="shared" si="35"/>
        <v>4.6946268929027549E-2</v>
      </c>
      <c r="L619" s="218">
        <f t="shared" si="36"/>
        <v>411.7</v>
      </c>
      <c r="M619" s="218" t="s">
        <v>323</v>
      </c>
      <c r="P619" s="218">
        <v>614</v>
      </c>
      <c r="Q619" s="218">
        <v>421.7</v>
      </c>
      <c r="R619" s="218">
        <v>438</v>
      </c>
      <c r="S619" s="218">
        <v>352</v>
      </c>
      <c r="T619" s="218">
        <v>403.90000000000003</v>
      </c>
      <c r="U619" s="273">
        <v>2.4758603614756128E-3</v>
      </c>
      <c r="V619" s="218">
        <v>2.4768828527457357E-3</v>
      </c>
      <c r="W619" s="250">
        <v>4.2309875043766997E-5</v>
      </c>
      <c r="X619" s="250">
        <v>0.89161147902869764</v>
      </c>
      <c r="Z619" s="218">
        <v>611</v>
      </c>
      <c r="AA619" s="435">
        <v>0.89381898454746145</v>
      </c>
    </row>
    <row r="620" spans="1:27">
      <c r="A620" s="429">
        <v>0.68436342592592592</v>
      </c>
      <c r="B620" s="218">
        <v>434</v>
      </c>
      <c r="C620" s="218" t="s">
        <v>314</v>
      </c>
      <c r="D620" s="218">
        <v>217</v>
      </c>
      <c r="E620" s="218" t="s">
        <v>315</v>
      </c>
      <c r="F620" s="218">
        <v>22.8</v>
      </c>
      <c r="G620" s="218" t="s">
        <v>316</v>
      </c>
      <c r="H620" s="218">
        <v>563</v>
      </c>
      <c r="I620" s="218">
        <f t="shared" si="33"/>
        <v>434</v>
      </c>
      <c r="J620" s="218">
        <f t="shared" si="34"/>
        <v>2.304147465437788E-3</v>
      </c>
      <c r="K620" s="218">
        <f t="shared" si="35"/>
        <v>4.6956936278404575E-2</v>
      </c>
      <c r="L620" s="218">
        <f t="shared" si="36"/>
        <v>413.7</v>
      </c>
      <c r="M620" s="218" t="s">
        <v>323</v>
      </c>
      <c r="P620" s="218">
        <v>615</v>
      </c>
      <c r="Q620" s="218">
        <v>421.7</v>
      </c>
      <c r="R620" s="218">
        <v>439</v>
      </c>
      <c r="S620" s="218">
        <v>355</v>
      </c>
      <c r="T620" s="218">
        <v>405.23333333333335</v>
      </c>
      <c r="U620" s="273">
        <v>2.4677140741959365E-3</v>
      </c>
      <c r="V620" s="218">
        <v>2.4717872178357746E-3</v>
      </c>
      <c r="W620" s="250">
        <v>4.2222831897551947E-5</v>
      </c>
      <c r="X620" s="250">
        <v>0.89455481972038264</v>
      </c>
      <c r="Z620" s="218">
        <v>612</v>
      </c>
      <c r="AA620" s="435">
        <v>0.89381898454746145</v>
      </c>
    </row>
    <row r="621" spans="1:27">
      <c r="A621" s="429">
        <v>0.68437500000000007</v>
      </c>
      <c r="B621" s="218">
        <v>434</v>
      </c>
      <c r="C621" s="218" t="s">
        <v>314</v>
      </c>
      <c r="D621" s="218">
        <v>217</v>
      </c>
      <c r="E621" s="218" t="s">
        <v>315</v>
      </c>
      <c r="F621" s="218">
        <v>22.8</v>
      </c>
      <c r="G621" s="218" t="s">
        <v>316</v>
      </c>
      <c r="H621" s="218">
        <v>564</v>
      </c>
      <c r="I621" s="218">
        <f t="shared" si="33"/>
        <v>434</v>
      </c>
      <c r="J621" s="218">
        <f t="shared" si="34"/>
        <v>2.304147465437788E-3</v>
      </c>
      <c r="K621" s="218">
        <f t="shared" si="35"/>
        <v>4.6956936278404575E-2</v>
      </c>
      <c r="L621" s="218">
        <f t="shared" si="36"/>
        <v>413.7</v>
      </c>
      <c r="M621" s="218" t="s">
        <v>323</v>
      </c>
      <c r="P621" s="218">
        <v>616</v>
      </c>
      <c r="Q621" s="218">
        <v>421.7</v>
      </c>
      <c r="R621" s="218">
        <v>437</v>
      </c>
      <c r="S621" s="218">
        <v>355</v>
      </c>
      <c r="T621" s="218">
        <v>404.56666666666666</v>
      </c>
      <c r="U621" s="273">
        <v>2.4717805058910771E-3</v>
      </c>
      <c r="V621" s="218">
        <v>2.469747290043507E-3</v>
      </c>
      <c r="W621" s="250">
        <v>4.2187986046891918E-5</v>
      </c>
      <c r="X621" s="250">
        <v>0.89308314937454014</v>
      </c>
      <c r="Z621" s="218">
        <v>613</v>
      </c>
      <c r="AA621" s="435">
        <v>0.89087564385577633</v>
      </c>
    </row>
    <row r="622" spans="1:27">
      <c r="A622" s="429">
        <v>0.68438657407407411</v>
      </c>
      <c r="B622" s="218">
        <v>435</v>
      </c>
      <c r="C622" s="218" t="s">
        <v>314</v>
      </c>
      <c r="D622" s="218">
        <v>218</v>
      </c>
      <c r="E622" s="218" t="s">
        <v>315</v>
      </c>
      <c r="F622" s="218">
        <v>22.8</v>
      </c>
      <c r="G622" s="218" t="s">
        <v>316</v>
      </c>
      <c r="H622" s="218">
        <v>565</v>
      </c>
      <c r="I622" s="218">
        <f t="shared" si="33"/>
        <v>434</v>
      </c>
      <c r="J622" s="218">
        <f t="shared" si="34"/>
        <v>2.304147465437788E-3</v>
      </c>
      <c r="K622" s="218">
        <f t="shared" si="35"/>
        <v>4.6956936278404575E-2</v>
      </c>
      <c r="L622" s="218">
        <f t="shared" si="36"/>
        <v>413.7</v>
      </c>
      <c r="M622" s="218" t="s">
        <v>323</v>
      </c>
      <c r="P622" s="218">
        <v>617</v>
      </c>
      <c r="Q622" s="218">
        <v>422.7</v>
      </c>
      <c r="R622" s="218">
        <v>439</v>
      </c>
      <c r="S622" s="218">
        <v>357</v>
      </c>
      <c r="T622" s="218">
        <v>406.23333333333335</v>
      </c>
      <c r="U622" s="273">
        <v>2.4616394518749488E-3</v>
      </c>
      <c r="V622" s="218">
        <v>2.4667099788830129E-3</v>
      </c>
      <c r="W622" s="250">
        <v>4.2136102989311264E-5</v>
      </c>
      <c r="X622" s="250">
        <v>0.89676232523914645</v>
      </c>
      <c r="Z622" s="218">
        <v>614</v>
      </c>
      <c r="AA622" s="435">
        <v>0.89161147902869764</v>
      </c>
    </row>
    <row r="623" spans="1:27">
      <c r="A623" s="429">
        <v>0.68439814814814814</v>
      </c>
      <c r="B623" s="218">
        <v>435</v>
      </c>
      <c r="C623" s="218" t="s">
        <v>314</v>
      </c>
      <c r="D623" s="218">
        <v>218</v>
      </c>
      <c r="E623" s="218" t="s">
        <v>315</v>
      </c>
      <c r="F623" s="218">
        <v>22.8</v>
      </c>
      <c r="G623" s="218" t="s">
        <v>316</v>
      </c>
      <c r="H623" s="218">
        <v>566</v>
      </c>
      <c r="I623" s="218">
        <f t="shared" si="33"/>
        <v>435</v>
      </c>
      <c r="J623" s="218">
        <f t="shared" si="34"/>
        <v>2.2988505747126436E-3</v>
      </c>
      <c r="K623" s="218">
        <f t="shared" si="35"/>
        <v>4.6962233169129716E-2</v>
      </c>
      <c r="L623" s="218">
        <f t="shared" si="36"/>
        <v>414.7</v>
      </c>
      <c r="M623" s="218" t="s">
        <v>323</v>
      </c>
      <c r="P623" s="218">
        <v>618</v>
      </c>
      <c r="Q623" s="218">
        <v>421.7</v>
      </c>
      <c r="R623" s="218">
        <v>437</v>
      </c>
      <c r="S623" s="218">
        <v>357</v>
      </c>
      <c r="T623" s="218">
        <v>405.23333333333335</v>
      </c>
      <c r="U623" s="273">
        <v>2.4677140741959365E-3</v>
      </c>
      <c r="V623" s="218">
        <v>2.4646767630354428E-3</v>
      </c>
      <c r="W623" s="250">
        <v>4.2101371791446041E-5</v>
      </c>
      <c r="X623" s="250">
        <v>0.89455481972038264</v>
      </c>
      <c r="Z623" s="218">
        <v>615</v>
      </c>
      <c r="AA623" s="435">
        <v>0.89455481972038264</v>
      </c>
    </row>
    <row r="624" spans="1:27">
      <c r="A624" s="429">
        <v>0.68440972222222218</v>
      </c>
      <c r="B624" s="218">
        <v>434</v>
      </c>
      <c r="C624" s="218" t="s">
        <v>314</v>
      </c>
      <c r="D624" s="218">
        <v>217</v>
      </c>
      <c r="E624" s="218" t="s">
        <v>315</v>
      </c>
      <c r="F624" s="218">
        <v>22.8</v>
      </c>
      <c r="G624" s="218" t="s">
        <v>316</v>
      </c>
      <c r="H624" s="218">
        <v>567</v>
      </c>
      <c r="I624" s="218">
        <f t="shared" si="33"/>
        <v>435</v>
      </c>
      <c r="J624" s="218">
        <f t="shared" si="34"/>
        <v>2.2988505747126436E-3</v>
      </c>
      <c r="K624" s="218">
        <f t="shared" si="35"/>
        <v>4.6962233169129716E-2</v>
      </c>
      <c r="L624" s="218">
        <f t="shared" si="36"/>
        <v>414.7</v>
      </c>
      <c r="M624" s="218" t="s">
        <v>323</v>
      </c>
      <c r="P624" s="218">
        <v>619</v>
      </c>
      <c r="Q624" s="218">
        <v>423.7</v>
      </c>
      <c r="R624" s="218">
        <v>438</v>
      </c>
      <c r="S624" s="218">
        <v>358</v>
      </c>
      <c r="T624" s="218">
        <v>406.56666666666666</v>
      </c>
      <c r="U624" s="273">
        <v>2.4596212183323769E-3</v>
      </c>
      <c r="V624" s="218">
        <v>2.4636676462641569E-3</v>
      </c>
      <c r="W624" s="250">
        <v>4.2084134155661066E-5</v>
      </c>
      <c r="X624" s="250">
        <v>0.89749816041206765</v>
      </c>
      <c r="Z624" s="218">
        <v>616</v>
      </c>
      <c r="AA624" s="435">
        <v>0.89308314937454014</v>
      </c>
    </row>
    <row r="625" spans="1:27">
      <c r="A625" s="429">
        <v>0.68442129629629633</v>
      </c>
      <c r="B625" s="218">
        <v>435</v>
      </c>
      <c r="C625" s="218" t="s">
        <v>314</v>
      </c>
      <c r="D625" s="218">
        <v>218</v>
      </c>
      <c r="E625" s="218" t="s">
        <v>315</v>
      </c>
      <c r="F625" s="218">
        <v>22.8</v>
      </c>
      <c r="G625" s="218" t="s">
        <v>316</v>
      </c>
      <c r="H625" s="218">
        <v>568</v>
      </c>
      <c r="I625" s="218">
        <f t="shared" si="33"/>
        <v>434</v>
      </c>
      <c r="J625" s="218">
        <f t="shared" si="34"/>
        <v>2.304147465437788E-3</v>
      </c>
      <c r="K625" s="218">
        <f t="shared" si="35"/>
        <v>4.6956936278404575E-2</v>
      </c>
      <c r="L625" s="218">
        <f t="shared" si="36"/>
        <v>413.7</v>
      </c>
      <c r="M625" s="218" t="s">
        <v>323</v>
      </c>
      <c r="P625" s="218">
        <v>620</v>
      </c>
      <c r="Q625" s="218">
        <v>420.7</v>
      </c>
      <c r="R625" s="218">
        <v>438</v>
      </c>
      <c r="S625" s="218">
        <v>358</v>
      </c>
      <c r="T625" s="218">
        <v>405.56666666666666</v>
      </c>
      <c r="U625" s="273">
        <v>2.4656858716199555E-3</v>
      </c>
      <c r="V625" s="218">
        <v>2.4626535449761662E-3</v>
      </c>
      <c r="W625" s="250">
        <v>4.2066811374840389E-5</v>
      </c>
      <c r="X625" s="250">
        <v>0.89529065489330384</v>
      </c>
      <c r="Z625" s="218">
        <v>617</v>
      </c>
      <c r="AA625" s="435">
        <v>0.89676232523914645</v>
      </c>
    </row>
    <row r="626" spans="1:27">
      <c r="A626" s="429">
        <v>0.68443287037037026</v>
      </c>
      <c r="B626" s="218">
        <v>435</v>
      </c>
      <c r="C626" s="218" t="s">
        <v>314</v>
      </c>
      <c r="D626" s="218">
        <v>218</v>
      </c>
      <c r="E626" s="218" t="s">
        <v>315</v>
      </c>
      <c r="F626" s="218">
        <v>22.8</v>
      </c>
      <c r="G626" s="218" t="s">
        <v>316</v>
      </c>
      <c r="H626" s="218">
        <v>569</v>
      </c>
      <c r="I626" s="218">
        <f t="shared" si="33"/>
        <v>435</v>
      </c>
      <c r="J626" s="218">
        <f t="shared" si="34"/>
        <v>2.2988505747126436E-3</v>
      </c>
      <c r="K626" s="218">
        <f t="shared" si="35"/>
        <v>4.6962233169129716E-2</v>
      </c>
      <c r="L626" s="218">
        <f t="shared" si="36"/>
        <v>414.7</v>
      </c>
      <c r="M626" s="218" t="s">
        <v>323</v>
      </c>
      <c r="P626" s="218">
        <v>621</v>
      </c>
      <c r="Q626" s="218">
        <v>423.7</v>
      </c>
      <c r="R626" s="218">
        <v>439</v>
      </c>
      <c r="S626" s="218">
        <v>359</v>
      </c>
      <c r="T626" s="218">
        <v>407.23333333333335</v>
      </c>
      <c r="U626" s="273">
        <v>2.4555946631742652E-3</v>
      </c>
      <c r="V626" s="218">
        <v>2.4606402673971106E-3</v>
      </c>
      <c r="W626" s="250">
        <v>4.203242076056332E-5</v>
      </c>
      <c r="X626" s="250">
        <v>0.89896983075791026</v>
      </c>
      <c r="Z626" s="218">
        <v>618</v>
      </c>
      <c r="AA626" s="435">
        <v>0.89455481972038264</v>
      </c>
    </row>
    <row r="627" spans="1:27">
      <c r="A627" s="429">
        <v>0.68444444444444441</v>
      </c>
      <c r="B627" s="218">
        <v>435</v>
      </c>
      <c r="C627" s="218" t="s">
        <v>314</v>
      </c>
      <c r="D627" s="218">
        <v>218</v>
      </c>
      <c r="E627" s="218" t="s">
        <v>315</v>
      </c>
      <c r="F627" s="218">
        <v>22.8</v>
      </c>
      <c r="G627" s="218" t="s">
        <v>316</v>
      </c>
      <c r="H627" s="218">
        <v>570</v>
      </c>
      <c r="I627" s="218">
        <f t="shared" si="33"/>
        <v>435</v>
      </c>
      <c r="J627" s="218">
        <f t="shared" si="34"/>
        <v>2.2988505747126436E-3</v>
      </c>
      <c r="K627" s="218">
        <f t="shared" si="35"/>
        <v>4.6962233169129716E-2</v>
      </c>
      <c r="L627" s="218">
        <f t="shared" si="36"/>
        <v>414.7</v>
      </c>
      <c r="M627" s="218" t="s">
        <v>323</v>
      </c>
      <c r="P627" s="218">
        <v>622</v>
      </c>
      <c r="Q627" s="218">
        <v>421.7</v>
      </c>
      <c r="R627" s="218">
        <v>439</v>
      </c>
      <c r="S627" s="218">
        <v>359</v>
      </c>
      <c r="T627" s="218">
        <v>406.56666666666666</v>
      </c>
      <c r="U627" s="273">
        <v>2.4596212183323769E-3</v>
      </c>
      <c r="V627" s="218">
        <v>2.4576079407533213E-3</v>
      </c>
      <c r="W627" s="250">
        <v>4.1980622848018368E-5</v>
      </c>
      <c r="X627" s="250">
        <v>0.89749816041206765</v>
      </c>
      <c r="Z627" s="218">
        <v>619</v>
      </c>
      <c r="AA627" s="435">
        <v>0.89749816041206765</v>
      </c>
    </row>
    <row r="628" spans="1:27">
      <c r="A628" s="429">
        <v>0.68445601851851856</v>
      </c>
      <c r="B628" s="218">
        <v>436</v>
      </c>
      <c r="C628" s="218" t="s">
        <v>314</v>
      </c>
      <c r="D628" s="218">
        <v>218</v>
      </c>
      <c r="E628" s="218" t="s">
        <v>315</v>
      </c>
      <c r="F628" s="218">
        <v>22.8</v>
      </c>
      <c r="G628" s="218" t="s">
        <v>316</v>
      </c>
      <c r="H628" s="218">
        <v>571</v>
      </c>
      <c r="I628" s="218">
        <f t="shared" si="33"/>
        <v>435</v>
      </c>
      <c r="J628" s="218">
        <f t="shared" si="34"/>
        <v>2.2988505747126436E-3</v>
      </c>
      <c r="K628" s="218">
        <f t="shared" si="35"/>
        <v>4.6962233169129716E-2</v>
      </c>
      <c r="L628" s="218">
        <f t="shared" si="36"/>
        <v>414.7</v>
      </c>
      <c r="M628" s="218" t="s">
        <v>323</v>
      </c>
      <c r="P628" s="218">
        <v>623</v>
      </c>
      <c r="Q628" s="218">
        <v>422.7</v>
      </c>
      <c r="R628" s="218">
        <v>438</v>
      </c>
      <c r="S628" s="218">
        <v>361</v>
      </c>
      <c r="T628" s="218">
        <v>407.23333333333335</v>
      </c>
      <c r="U628" s="273">
        <v>2.4555946631742652E-3</v>
      </c>
      <c r="V628" s="218">
        <v>2.4576079407533213E-3</v>
      </c>
      <c r="W628" s="250">
        <v>4.1980622848018368E-5</v>
      </c>
      <c r="X628" s="250">
        <v>0.89896983075791026</v>
      </c>
      <c r="Z628" s="218">
        <v>620</v>
      </c>
      <c r="AA628" s="435">
        <v>0.89529065489330384</v>
      </c>
    </row>
    <row r="629" spans="1:27">
      <c r="A629" s="429">
        <v>0.6844675925925926</v>
      </c>
      <c r="B629" s="218">
        <v>435</v>
      </c>
      <c r="C629" s="218" t="s">
        <v>314</v>
      </c>
      <c r="D629" s="218">
        <v>218</v>
      </c>
      <c r="E629" s="218" t="s">
        <v>315</v>
      </c>
      <c r="F629" s="218">
        <v>22.8</v>
      </c>
      <c r="G629" s="218" t="s">
        <v>316</v>
      </c>
      <c r="H629" s="434">
        <v>572</v>
      </c>
      <c r="I629" s="218">
        <f t="shared" si="33"/>
        <v>436</v>
      </c>
      <c r="J629" s="434">
        <f>1/I629</f>
        <v>2.2935779816513763E-3</v>
      </c>
      <c r="K629" s="218">
        <f t="shared" si="35"/>
        <v>4.6967505762190984E-2</v>
      </c>
      <c r="L629" s="218">
        <f t="shared" si="36"/>
        <v>415.7</v>
      </c>
      <c r="M629" s="434" t="s">
        <v>323</v>
      </c>
      <c r="N629" s="218" t="s">
        <v>331</v>
      </c>
      <c r="P629" s="218">
        <v>624</v>
      </c>
      <c r="Q629" s="218">
        <v>422.7</v>
      </c>
      <c r="R629" s="218">
        <v>439</v>
      </c>
      <c r="S629" s="218">
        <v>361</v>
      </c>
      <c r="T629" s="218">
        <v>407.56666666666666</v>
      </c>
      <c r="U629" s="273">
        <v>2.4535863253455467E-3</v>
      </c>
      <c r="V629" s="218">
        <v>2.454590494259906E-3</v>
      </c>
      <c r="W629" s="250">
        <v>4.1929079116773216E-5</v>
      </c>
      <c r="X629" s="250">
        <v>0.89970566593083146</v>
      </c>
      <c r="Z629" s="218">
        <v>621</v>
      </c>
      <c r="AA629" s="435">
        <v>0.89896983075791026</v>
      </c>
    </row>
    <row r="630" spans="1:27">
      <c r="A630" s="429">
        <v>0.68447916666666664</v>
      </c>
      <c r="B630" s="218">
        <v>437</v>
      </c>
      <c r="C630" s="218" t="s">
        <v>314</v>
      </c>
      <c r="D630" s="218">
        <v>219</v>
      </c>
      <c r="E630" s="218" t="s">
        <v>315</v>
      </c>
      <c r="F630" s="218">
        <v>22.8</v>
      </c>
      <c r="G630" s="218" t="s">
        <v>316</v>
      </c>
      <c r="H630" s="218">
        <v>573</v>
      </c>
      <c r="I630" s="218">
        <f t="shared" si="33"/>
        <v>435</v>
      </c>
      <c r="J630" s="218">
        <f t="shared" si="34"/>
        <v>2.2988505747126436E-3</v>
      </c>
      <c r="K630" s="218">
        <f t="shared" si="35"/>
        <v>4.6962233169129716E-2</v>
      </c>
      <c r="L630" s="218">
        <f t="shared" si="36"/>
        <v>414.7</v>
      </c>
      <c r="M630" s="218" t="s">
        <v>323</v>
      </c>
      <c r="P630" s="218">
        <v>625</v>
      </c>
      <c r="Q630" s="218">
        <v>422.7</v>
      </c>
      <c r="R630" s="218">
        <v>439</v>
      </c>
      <c r="S630" s="218">
        <v>363</v>
      </c>
      <c r="T630" s="218">
        <v>408.23333333333335</v>
      </c>
      <c r="U630" s="273">
        <v>2.449579488854413E-3</v>
      </c>
      <c r="V630" s="218">
        <v>2.4515829070999801E-3</v>
      </c>
      <c r="W630" s="250">
        <v>4.1877703801715975E-5</v>
      </c>
      <c r="X630" s="250">
        <v>0.90117733627667407</v>
      </c>
      <c r="Z630" s="218">
        <v>622</v>
      </c>
      <c r="AA630" s="435">
        <v>0.89749816041206765</v>
      </c>
    </row>
    <row r="631" spans="1:27">
      <c r="A631" s="429">
        <v>0.68449074074074068</v>
      </c>
      <c r="B631" s="218">
        <v>434</v>
      </c>
      <c r="C631" s="218" t="s">
        <v>314</v>
      </c>
      <c r="D631" s="218">
        <v>217</v>
      </c>
      <c r="E631" s="218" t="s">
        <v>315</v>
      </c>
      <c r="F631" s="218">
        <v>22.8</v>
      </c>
      <c r="G631" s="218" t="s">
        <v>316</v>
      </c>
      <c r="H631" s="218">
        <v>574</v>
      </c>
      <c r="I631" s="218">
        <f t="shared" si="33"/>
        <v>437</v>
      </c>
      <c r="J631" s="218">
        <f t="shared" si="34"/>
        <v>2.2883295194508009E-3</v>
      </c>
      <c r="K631" s="218">
        <f t="shared" si="35"/>
        <v>4.6972754224391559E-2</v>
      </c>
      <c r="L631" s="218">
        <f t="shared" si="36"/>
        <v>416.7</v>
      </c>
      <c r="M631" s="218" t="s">
        <v>323</v>
      </c>
      <c r="N631" s="224">
        <f>(H629+H636)/2</f>
        <v>575.5</v>
      </c>
      <c r="P631" s="218">
        <v>626</v>
      </c>
      <c r="Q631" s="218">
        <v>423.7</v>
      </c>
      <c r="R631" s="218">
        <v>440</v>
      </c>
      <c r="S631" s="218">
        <v>363</v>
      </c>
      <c r="T631" s="218">
        <v>408.90000000000003</v>
      </c>
      <c r="U631" s="273">
        <v>2.4455857177794081E-3</v>
      </c>
      <c r="V631" s="218">
        <v>2.4475826033169105E-3</v>
      </c>
      <c r="W631" s="250">
        <v>4.1809370996629467E-5</v>
      </c>
      <c r="X631" s="250">
        <v>0.90264900662251668</v>
      </c>
      <c r="Z631" s="218">
        <v>623</v>
      </c>
      <c r="AA631" s="435">
        <v>0.89896983075791026</v>
      </c>
    </row>
    <row r="632" spans="1:27">
      <c r="A632" s="429">
        <v>0.68450231481481483</v>
      </c>
      <c r="B632" s="218">
        <v>436</v>
      </c>
      <c r="C632" s="218" t="s">
        <v>314</v>
      </c>
      <c r="D632" s="218">
        <v>218</v>
      </c>
      <c r="E632" s="218" t="s">
        <v>315</v>
      </c>
      <c r="F632" s="218">
        <v>22.8</v>
      </c>
      <c r="G632" s="218" t="s">
        <v>316</v>
      </c>
      <c r="H632" s="218">
        <v>575</v>
      </c>
      <c r="I632" s="218">
        <f t="shared" si="33"/>
        <v>434</v>
      </c>
      <c r="J632" s="218">
        <f t="shared" si="34"/>
        <v>2.304147465437788E-3</v>
      </c>
      <c r="K632" s="218">
        <f t="shared" si="35"/>
        <v>4.6956936278404575E-2</v>
      </c>
      <c r="L632" s="218">
        <f t="shared" si="36"/>
        <v>413.7</v>
      </c>
      <c r="M632" s="218" t="s">
        <v>323</v>
      </c>
      <c r="P632" s="218">
        <v>627</v>
      </c>
      <c r="Q632" s="218">
        <v>423.7</v>
      </c>
      <c r="R632" s="218">
        <v>439</v>
      </c>
      <c r="S632" s="218">
        <v>362</v>
      </c>
      <c r="T632" s="218">
        <v>408.23333333333335</v>
      </c>
      <c r="U632" s="273">
        <v>2.449579488854413E-3</v>
      </c>
      <c r="V632" s="218">
        <v>2.4475826033169105E-3</v>
      </c>
      <c r="W632" s="250">
        <v>4.1809370996629467E-5</v>
      </c>
      <c r="X632" s="250">
        <v>0.90117733627667407</v>
      </c>
      <c r="Z632" s="218">
        <v>624</v>
      </c>
      <c r="AA632" s="435">
        <v>0.89970566593083146</v>
      </c>
    </row>
    <row r="633" spans="1:27">
      <c r="A633" s="429">
        <v>0.68451388888888898</v>
      </c>
      <c r="B633" s="218">
        <v>435</v>
      </c>
      <c r="C633" s="218" t="s">
        <v>314</v>
      </c>
      <c r="D633" s="218">
        <v>218</v>
      </c>
      <c r="E633" s="218" t="s">
        <v>315</v>
      </c>
      <c r="F633" s="218">
        <v>22.8</v>
      </c>
      <c r="G633" s="218" t="s">
        <v>316</v>
      </c>
      <c r="H633" s="218">
        <v>576</v>
      </c>
      <c r="I633" s="218">
        <f t="shared" si="33"/>
        <v>436</v>
      </c>
      <c r="J633" s="218">
        <f t="shared" si="34"/>
        <v>2.2935779816513763E-3</v>
      </c>
      <c r="K633" s="218">
        <f t="shared" si="35"/>
        <v>4.6967505762190984E-2</v>
      </c>
      <c r="L633" s="218">
        <f t="shared" si="36"/>
        <v>415.7</v>
      </c>
      <c r="M633" s="218" t="s">
        <v>323</v>
      </c>
      <c r="P633" s="218">
        <v>628</v>
      </c>
      <c r="Q633" s="218">
        <v>422.7</v>
      </c>
      <c r="R633" s="218">
        <v>441</v>
      </c>
      <c r="S633" s="218">
        <v>362</v>
      </c>
      <c r="T633" s="218">
        <v>408.56666666666666</v>
      </c>
      <c r="U633" s="273">
        <v>2.4475809741372279E-3</v>
      </c>
      <c r="V633" s="218">
        <v>2.4485802314958205E-3</v>
      </c>
      <c r="W633" s="250">
        <v>4.1826412385382687E-5</v>
      </c>
      <c r="X633" s="250">
        <v>0.90191317144959526</v>
      </c>
      <c r="Z633" s="218">
        <v>625</v>
      </c>
      <c r="AA633" s="435">
        <v>0.90117733627667407</v>
      </c>
    </row>
    <row r="634" spans="1:27">
      <c r="A634" s="429">
        <v>0.68452546296296291</v>
      </c>
      <c r="B634" s="218">
        <v>436</v>
      </c>
      <c r="C634" s="218" t="s">
        <v>314</v>
      </c>
      <c r="D634" s="218">
        <v>218</v>
      </c>
      <c r="E634" s="218" t="s">
        <v>315</v>
      </c>
      <c r="F634" s="218">
        <v>22.8</v>
      </c>
      <c r="G634" s="218" t="s">
        <v>316</v>
      </c>
      <c r="H634" s="218">
        <v>577</v>
      </c>
      <c r="I634" s="218">
        <f t="shared" ref="I634:I697" si="37">B633</f>
        <v>435</v>
      </c>
      <c r="J634" s="218">
        <f t="shared" ref="J634:J697" si="38">1/I634</f>
        <v>2.2988505747126436E-3</v>
      </c>
      <c r="K634" s="218">
        <f t="shared" ref="K634:K697" si="39">$J$57-J634</f>
        <v>4.6962233169129716E-2</v>
      </c>
      <c r="L634" s="218">
        <f t="shared" ref="L634:L697" si="40">(B633-$J$55)</f>
        <v>414.7</v>
      </c>
      <c r="M634" s="218" t="s">
        <v>323</v>
      </c>
      <c r="P634" s="218">
        <v>629</v>
      </c>
      <c r="Q634" s="218">
        <v>423.7</v>
      </c>
      <c r="R634" s="218">
        <v>438</v>
      </c>
      <c r="S634" s="218">
        <v>363</v>
      </c>
      <c r="T634" s="218">
        <v>408.23333333333335</v>
      </c>
      <c r="U634" s="273">
        <v>2.449579488854413E-3</v>
      </c>
      <c r="V634" s="218">
        <v>2.4485802314958205E-3</v>
      </c>
      <c r="W634" s="250">
        <v>4.1826412385382687E-5</v>
      </c>
      <c r="X634" s="250">
        <v>0.90117733627667407</v>
      </c>
      <c r="Z634" s="218">
        <v>626</v>
      </c>
      <c r="AA634" s="435">
        <v>0.90264900662251668</v>
      </c>
    </row>
    <row r="635" spans="1:27">
      <c r="A635" s="429">
        <v>0.68453703703703705</v>
      </c>
      <c r="B635" s="218">
        <v>436</v>
      </c>
      <c r="C635" s="218" t="s">
        <v>314</v>
      </c>
      <c r="D635" s="218">
        <v>218</v>
      </c>
      <c r="E635" s="218" t="s">
        <v>315</v>
      </c>
      <c r="F635" s="218">
        <v>22.8</v>
      </c>
      <c r="G635" s="218" t="s">
        <v>316</v>
      </c>
      <c r="H635" s="218">
        <v>578</v>
      </c>
      <c r="I635" s="218">
        <f t="shared" si="37"/>
        <v>436</v>
      </c>
      <c r="J635" s="218">
        <f t="shared" si="38"/>
        <v>2.2935779816513763E-3</v>
      </c>
      <c r="K635" s="218">
        <f t="shared" si="39"/>
        <v>4.6967505762190984E-2</v>
      </c>
      <c r="L635" s="218">
        <f t="shared" si="40"/>
        <v>415.7</v>
      </c>
      <c r="M635" s="218" t="s">
        <v>323</v>
      </c>
      <c r="P635" s="218">
        <v>630</v>
      </c>
      <c r="Q635" s="218">
        <v>423.7</v>
      </c>
      <c r="R635" s="218">
        <v>440</v>
      </c>
      <c r="S635" s="218">
        <v>363</v>
      </c>
      <c r="T635" s="218">
        <v>408.90000000000003</v>
      </c>
      <c r="U635" s="273">
        <v>2.4455857177794081E-3</v>
      </c>
      <c r="V635" s="218">
        <v>2.4475826033169105E-3</v>
      </c>
      <c r="W635" s="250">
        <v>4.1809370996629467E-5</v>
      </c>
      <c r="X635" s="250">
        <v>0.90264900662251668</v>
      </c>
      <c r="Z635" s="218">
        <v>627</v>
      </c>
      <c r="AA635" s="435">
        <v>0.90117733627667407</v>
      </c>
    </row>
    <row r="636" spans="1:27">
      <c r="A636" s="429">
        <v>0.68454861111111109</v>
      </c>
      <c r="B636" s="218">
        <v>437</v>
      </c>
      <c r="C636" s="218" t="s">
        <v>314</v>
      </c>
      <c r="D636" s="218">
        <v>219</v>
      </c>
      <c r="E636" s="218" t="s">
        <v>315</v>
      </c>
      <c r="F636" s="218">
        <v>22.8</v>
      </c>
      <c r="G636" s="218" t="s">
        <v>316</v>
      </c>
      <c r="H636" s="434">
        <v>579</v>
      </c>
      <c r="I636" s="218">
        <f t="shared" si="37"/>
        <v>436</v>
      </c>
      <c r="J636" s="434">
        <f t="shared" si="38"/>
        <v>2.2935779816513763E-3</v>
      </c>
      <c r="K636" s="218">
        <f t="shared" si="39"/>
        <v>4.6967505762190984E-2</v>
      </c>
      <c r="L636" s="218">
        <f t="shared" si="40"/>
        <v>415.7</v>
      </c>
      <c r="M636" s="434" t="s">
        <v>323</v>
      </c>
      <c r="N636" s="218" t="s">
        <v>330</v>
      </c>
      <c r="P636" s="218">
        <v>631</v>
      </c>
      <c r="Q636" s="218">
        <v>423.7</v>
      </c>
      <c r="R636" s="218">
        <v>439</v>
      </c>
      <c r="S636" s="218">
        <v>363</v>
      </c>
      <c r="T636" s="218">
        <v>408.56666666666666</v>
      </c>
      <c r="U636" s="273">
        <v>2.4475809741372279E-3</v>
      </c>
      <c r="V636" s="218">
        <v>2.446583345958318E-3</v>
      </c>
      <c r="W636" s="250">
        <v>4.1792301778385358E-5</v>
      </c>
      <c r="X636" s="250">
        <v>0.90191317144959526</v>
      </c>
      <c r="Z636" s="218">
        <v>628</v>
      </c>
      <c r="AA636" s="435">
        <v>0.90191317144959526</v>
      </c>
    </row>
    <row r="637" spans="1:27">
      <c r="A637" s="429">
        <v>0.68456018518518524</v>
      </c>
      <c r="B637" s="218">
        <v>437</v>
      </c>
      <c r="C637" s="218" t="s">
        <v>314</v>
      </c>
      <c r="D637" s="218">
        <v>219</v>
      </c>
      <c r="E637" s="218" t="s">
        <v>315</v>
      </c>
      <c r="F637" s="218">
        <v>22.8</v>
      </c>
      <c r="G637" s="218" t="s">
        <v>316</v>
      </c>
      <c r="H637" s="218">
        <v>580</v>
      </c>
      <c r="I637" s="218">
        <f t="shared" si="37"/>
        <v>437</v>
      </c>
      <c r="J637" s="218">
        <f t="shared" si="38"/>
        <v>2.2883295194508009E-3</v>
      </c>
      <c r="K637" s="218">
        <f t="shared" si="39"/>
        <v>4.6972754224391559E-2</v>
      </c>
      <c r="L637" s="218">
        <f t="shared" si="40"/>
        <v>416.7</v>
      </c>
      <c r="M637" s="218" t="s">
        <v>323</v>
      </c>
      <c r="P637" s="218">
        <v>632</v>
      </c>
      <c r="Q637" s="218">
        <v>424.7</v>
      </c>
      <c r="R637" s="218">
        <v>440</v>
      </c>
      <c r="S637" s="218">
        <v>363</v>
      </c>
      <c r="T637" s="218">
        <v>409.23333333333335</v>
      </c>
      <c r="U637" s="273">
        <v>2.4435937118188482E-3</v>
      </c>
      <c r="V637" s="218">
        <v>2.4455873429780383E-3</v>
      </c>
      <c r="W637" s="250">
        <v>4.1775288151119074E-5</v>
      </c>
      <c r="X637" s="250">
        <v>0.90338484179543788</v>
      </c>
      <c r="Z637" s="218">
        <v>629</v>
      </c>
      <c r="AA637" s="435">
        <v>0.90117733627667407</v>
      </c>
    </row>
    <row r="638" spans="1:27">
      <c r="A638" s="429">
        <v>0.68457175925925917</v>
      </c>
      <c r="B638" s="218">
        <v>438</v>
      </c>
      <c r="C638" s="218" t="s">
        <v>314</v>
      </c>
      <c r="D638" s="218">
        <v>219</v>
      </c>
      <c r="E638" s="218" t="s">
        <v>315</v>
      </c>
      <c r="F638" s="218">
        <v>22.8</v>
      </c>
      <c r="G638" s="218" t="s">
        <v>316</v>
      </c>
      <c r="H638" s="218">
        <v>581</v>
      </c>
      <c r="I638" s="218">
        <f t="shared" si="37"/>
        <v>437</v>
      </c>
      <c r="J638" s="218">
        <f t="shared" si="38"/>
        <v>2.2883295194508009E-3</v>
      </c>
      <c r="K638" s="218">
        <f t="shared" si="39"/>
        <v>4.6972754224391559E-2</v>
      </c>
      <c r="L638" s="218">
        <f t="shared" si="40"/>
        <v>416.7</v>
      </c>
      <c r="M638" s="218" t="s">
        <v>323</v>
      </c>
      <c r="P638" s="218">
        <v>633</v>
      </c>
      <c r="Q638" s="218">
        <v>423.7</v>
      </c>
      <c r="R638" s="218">
        <v>440</v>
      </c>
      <c r="S638" s="218">
        <v>363</v>
      </c>
      <c r="T638" s="218">
        <v>408.90000000000003</v>
      </c>
      <c r="U638" s="273">
        <v>2.4455857177794081E-3</v>
      </c>
      <c r="V638" s="218">
        <v>2.4445897147991284E-3</v>
      </c>
      <c r="W638" s="250">
        <v>4.175824676236586E-5</v>
      </c>
      <c r="X638" s="250">
        <v>0.90264900662251668</v>
      </c>
      <c r="Z638" s="218">
        <v>630</v>
      </c>
      <c r="AA638" s="435">
        <v>0.90264900662251668</v>
      </c>
    </row>
    <row r="639" spans="1:27">
      <c r="A639" s="429">
        <v>0.68458333333333332</v>
      </c>
      <c r="B639" s="218">
        <v>437</v>
      </c>
      <c r="C639" s="218" t="s">
        <v>314</v>
      </c>
      <c r="D639" s="218">
        <v>219</v>
      </c>
      <c r="E639" s="218" t="s">
        <v>315</v>
      </c>
      <c r="F639" s="218">
        <v>22.8</v>
      </c>
      <c r="G639" s="218" t="s">
        <v>316</v>
      </c>
      <c r="H639" s="218">
        <v>582</v>
      </c>
      <c r="I639" s="218">
        <f t="shared" si="37"/>
        <v>438</v>
      </c>
      <c r="J639" s="218">
        <f t="shared" si="38"/>
        <v>2.2831050228310501E-3</v>
      </c>
      <c r="K639" s="218">
        <f t="shared" si="39"/>
        <v>4.697797872101131E-2</v>
      </c>
      <c r="L639" s="218">
        <f t="shared" si="40"/>
        <v>417.7</v>
      </c>
      <c r="M639" s="218" t="s">
        <v>323</v>
      </c>
      <c r="P639" s="218">
        <v>634</v>
      </c>
      <c r="Q639" s="218">
        <v>425.7</v>
      </c>
      <c r="R639" s="218">
        <v>440</v>
      </c>
      <c r="S639" s="218">
        <v>363</v>
      </c>
      <c r="T639" s="218">
        <v>409.56666666666666</v>
      </c>
      <c r="U639" s="273">
        <v>2.4416049483193618E-3</v>
      </c>
      <c r="V639" s="218">
        <v>2.4435953330493847E-3</v>
      </c>
      <c r="W639" s="250">
        <v>4.1741260828803914E-5</v>
      </c>
      <c r="X639" s="250">
        <v>0.90412067696835907</v>
      </c>
      <c r="Z639" s="218">
        <v>631</v>
      </c>
      <c r="AA639" s="435">
        <v>0.90191317144959526</v>
      </c>
    </row>
    <row r="640" spans="1:27">
      <c r="A640" s="429">
        <v>0.68459490740740747</v>
      </c>
      <c r="B640" s="218">
        <v>438</v>
      </c>
      <c r="C640" s="218" t="s">
        <v>314</v>
      </c>
      <c r="D640" s="218">
        <v>219</v>
      </c>
      <c r="E640" s="218" t="s">
        <v>315</v>
      </c>
      <c r="F640" s="218">
        <v>22.8</v>
      </c>
      <c r="G640" s="218" t="s">
        <v>316</v>
      </c>
      <c r="H640" s="218">
        <v>583</v>
      </c>
      <c r="I640" s="218">
        <f t="shared" si="37"/>
        <v>437</v>
      </c>
      <c r="J640" s="218">
        <f t="shared" si="38"/>
        <v>2.2883295194508009E-3</v>
      </c>
      <c r="K640" s="218">
        <f t="shared" si="39"/>
        <v>4.6972754224391559E-2</v>
      </c>
      <c r="L640" s="218">
        <f t="shared" si="40"/>
        <v>416.7</v>
      </c>
      <c r="M640" s="218" t="s">
        <v>323</v>
      </c>
      <c r="P640" s="218">
        <v>635</v>
      </c>
      <c r="Q640" s="218">
        <v>422.7</v>
      </c>
      <c r="R640" s="218">
        <v>441</v>
      </c>
      <c r="S640" s="218">
        <v>365</v>
      </c>
      <c r="T640" s="218">
        <v>409.56666666666666</v>
      </c>
      <c r="U640" s="273">
        <v>2.4416049483193618E-3</v>
      </c>
      <c r="V640" s="218">
        <v>2.4416049483193618E-3</v>
      </c>
      <c r="W640" s="250">
        <v>4.1707261267975698E-5</v>
      </c>
      <c r="X640" s="250">
        <v>0.90412067696835907</v>
      </c>
      <c r="Z640" s="218">
        <v>632</v>
      </c>
      <c r="AA640" s="435">
        <v>0.90338484179543788</v>
      </c>
    </row>
    <row r="641" spans="1:27">
      <c r="A641" s="429">
        <v>0.68460648148148151</v>
      </c>
      <c r="B641" s="218">
        <v>438</v>
      </c>
      <c r="C641" s="218" t="s">
        <v>314</v>
      </c>
      <c r="D641" s="218">
        <v>219</v>
      </c>
      <c r="E641" s="218" t="s">
        <v>315</v>
      </c>
      <c r="F641" s="218">
        <v>22.8</v>
      </c>
      <c r="G641" s="218" t="s">
        <v>316</v>
      </c>
      <c r="H641" s="218">
        <v>584</v>
      </c>
      <c r="I641" s="218">
        <f t="shared" si="37"/>
        <v>438</v>
      </c>
      <c r="J641" s="218">
        <f t="shared" si="38"/>
        <v>2.2831050228310501E-3</v>
      </c>
      <c r="K641" s="218">
        <f t="shared" si="39"/>
        <v>4.697797872101131E-2</v>
      </c>
      <c r="L641" s="218">
        <f t="shared" si="40"/>
        <v>417.7</v>
      </c>
      <c r="M641" s="218" t="s">
        <v>323</v>
      </c>
      <c r="P641" s="218">
        <v>636</v>
      </c>
      <c r="Q641" s="218">
        <v>425.7</v>
      </c>
      <c r="R641" s="218">
        <v>440</v>
      </c>
      <c r="S641" s="218">
        <v>364</v>
      </c>
      <c r="T641" s="218">
        <v>409.90000000000003</v>
      </c>
      <c r="U641" s="273">
        <v>2.4396194193705778E-3</v>
      </c>
      <c r="V641" s="218">
        <v>2.4406121838449696E-3</v>
      </c>
      <c r="W641" s="250">
        <v>4.1690302960556011E-5</v>
      </c>
      <c r="X641" s="250">
        <v>0.90485651214128038</v>
      </c>
      <c r="Z641" s="218">
        <v>633</v>
      </c>
      <c r="AA641" s="435">
        <v>0.90264900662251668</v>
      </c>
    </row>
    <row r="642" spans="1:27">
      <c r="A642" s="429">
        <v>0.68461805555555555</v>
      </c>
      <c r="B642" s="218">
        <v>438</v>
      </c>
      <c r="C642" s="218" t="s">
        <v>314</v>
      </c>
      <c r="D642" s="218">
        <v>219</v>
      </c>
      <c r="E642" s="218" t="s">
        <v>315</v>
      </c>
      <c r="F642" s="218">
        <v>22.8</v>
      </c>
      <c r="G642" s="218" t="s">
        <v>316</v>
      </c>
      <c r="H642" s="218">
        <v>585</v>
      </c>
      <c r="I642" s="218">
        <f t="shared" si="37"/>
        <v>438</v>
      </c>
      <c r="J642" s="218">
        <f t="shared" si="38"/>
        <v>2.2831050228310501E-3</v>
      </c>
      <c r="K642" s="218">
        <f t="shared" si="39"/>
        <v>4.697797872101131E-2</v>
      </c>
      <c r="L642" s="218">
        <f t="shared" si="40"/>
        <v>417.7</v>
      </c>
      <c r="M642" s="218" t="s">
        <v>323</v>
      </c>
      <c r="P642" s="218">
        <v>637</v>
      </c>
      <c r="Q642" s="218">
        <v>423.7</v>
      </c>
      <c r="R642" s="218">
        <v>440</v>
      </c>
      <c r="S642" s="218">
        <v>368</v>
      </c>
      <c r="T642" s="218">
        <v>410.56666666666666</v>
      </c>
      <c r="U642" s="273">
        <v>2.4356580336120808E-3</v>
      </c>
      <c r="V642" s="218">
        <v>2.4376387264913296E-3</v>
      </c>
      <c r="W642" s="250">
        <v>4.1639510647572362E-5</v>
      </c>
      <c r="X642" s="250">
        <v>0.90632818248712288</v>
      </c>
      <c r="Z642" s="218">
        <v>634</v>
      </c>
      <c r="AA642" s="435">
        <v>0.90412067696835907</v>
      </c>
    </row>
    <row r="643" spans="1:27">
      <c r="A643" s="429">
        <v>0.68462962962962959</v>
      </c>
      <c r="B643" s="218">
        <v>439</v>
      </c>
      <c r="C643" s="218" t="s">
        <v>314</v>
      </c>
      <c r="D643" s="218">
        <v>220</v>
      </c>
      <c r="E643" s="218" t="s">
        <v>315</v>
      </c>
      <c r="F643" s="218">
        <v>22.8</v>
      </c>
      <c r="G643" s="218" t="s">
        <v>316</v>
      </c>
      <c r="H643" s="218">
        <v>586</v>
      </c>
      <c r="I643" s="218">
        <f t="shared" si="37"/>
        <v>438</v>
      </c>
      <c r="J643" s="218">
        <f t="shared" si="38"/>
        <v>2.2831050228310501E-3</v>
      </c>
      <c r="K643" s="218">
        <f t="shared" si="39"/>
        <v>4.697797872101131E-2</v>
      </c>
      <c r="L643" s="218">
        <f t="shared" si="40"/>
        <v>417.7</v>
      </c>
      <c r="M643" s="218" t="s">
        <v>323</v>
      </c>
      <c r="P643" s="218">
        <v>638</v>
      </c>
      <c r="Q643" s="218">
        <v>424.7</v>
      </c>
      <c r="R643" s="218">
        <v>441</v>
      </c>
      <c r="S643" s="218">
        <v>368</v>
      </c>
      <c r="T643" s="218">
        <v>411.23333333333335</v>
      </c>
      <c r="U643" s="273">
        <v>2.4317094917727161E-3</v>
      </c>
      <c r="V643" s="218">
        <v>2.4336837626923987E-3</v>
      </c>
      <c r="W643" s="250">
        <v>4.1571952335741068E-5</v>
      </c>
      <c r="X643" s="250">
        <v>0.90779985283296549</v>
      </c>
      <c r="Z643" s="218">
        <v>635</v>
      </c>
      <c r="AA643" s="435">
        <v>0.90412067696835907</v>
      </c>
    </row>
    <row r="644" spans="1:27">
      <c r="A644" s="429">
        <v>0.68464120370370374</v>
      </c>
      <c r="B644" s="218">
        <v>438</v>
      </c>
      <c r="C644" s="218" t="s">
        <v>314</v>
      </c>
      <c r="D644" s="218">
        <v>219</v>
      </c>
      <c r="E644" s="218" t="s">
        <v>315</v>
      </c>
      <c r="F644" s="218">
        <v>22.8</v>
      </c>
      <c r="G644" s="218" t="s">
        <v>316</v>
      </c>
      <c r="H644" s="218">
        <v>587</v>
      </c>
      <c r="I644" s="218">
        <f t="shared" si="37"/>
        <v>439</v>
      </c>
      <c r="J644" s="218">
        <f t="shared" si="38"/>
        <v>2.2779043280182231E-3</v>
      </c>
      <c r="K644" s="218">
        <f t="shared" si="39"/>
        <v>4.6983179415824139E-2</v>
      </c>
      <c r="L644" s="218">
        <f t="shared" si="40"/>
        <v>418.7</v>
      </c>
      <c r="M644" s="218" t="s">
        <v>323</v>
      </c>
      <c r="P644" s="218">
        <v>639</v>
      </c>
      <c r="Q644" s="218">
        <v>424.7</v>
      </c>
      <c r="R644" s="218">
        <v>442</v>
      </c>
      <c r="S644" s="218">
        <v>368</v>
      </c>
      <c r="T644" s="218">
        <v>411.56666666666666</v>
      </c>
      <c r="U644" s="273">
        <v>2.4297400178180935E-3</v>
      </c>
      <c r="V644" s="218">
        <v>2.4307247547954046E-3</v>
      </c>
      <c r="W644" s="250">
        <v>4.152140684698832E-5</v>
      </c>
      <c r="X644" s="250">
        <v>0.90853568800588669</v>
      </c>
      <c r="Z644" s="218">
        <v>636</v>
      </c>
      <c r="AA644" s="435">
        <v>0.90485651214128038</v>
      </c>
    </row>
    <row r="645" spans="1:27">
      <c r="A645" s="429">
        <v>0.68465277777777767</v>
      </c>
      <c r="B645" s="218">
        <v>440</v>
      </c>
      <c r="C645" s="218" t="s">
        <v>314</v>
      </c>
      <c r="D645" s="218">
        <v>220</v>
      </c>
      <c r="E645" s="218" t="s">
        <v>315</v>
      </c>
      <c r="F645" s="218">
        <v>22.8</v>
      </c>
      <c r="G645" s="218" t="s">
        <v>316</v>
      </c>
      <c r="H645" s="218">
        <v>588</v>
      </c>
      <c r="I645" s="218">
        <f t="shared" si="37"/>
        <v>438</v>
      </c>
      <c r="J645" s="218">
        <f t="shared" si="38"/>
        <v>2.2831050228310501E-3</v>
      </c>
      <c r="K645" s="218">
        <f t="shared" si="39"/>
        <v>4.697797872101131E-2</v>
      </c>
      <c r="L645" s="218">
        <f t="shared" si="40"/>
        <v>417.7</v>
      </c>
      <c r="M645" s="218" t="s">
        <v>323</v>
      </c>
      <c r="P645" s="218">
        <v>640</v>
      </c>
      <c r="Q645" s="218">
        <v>424.7</v>
      </c>
      <c r="R645" s="218">
        <v>439</v>
      </c>
      <c r="S645" s="218">
        <v>370</v>
      </c>
      <c r="T645" s="218">
        <v>411.23333333333335</v>
      </c>
      <c r="U645" s="273">
        <v>2.4317094917727161E-3</v>
      </c>
      <c r="V645" s="218">
        <v>2.4307247547954046E-3</v>
      </c>
      <c r="W645" s="250">
        <v>4.152140684698832E-5</v>
      </c>
      <c r="X645" s="250">
        <v>0.90779985283296549</v>
      </c>
      <c r="Z645" s="218">
        <v>637</v>
      </c>
      <c r="AA645" s="435">
        <v>0.90632818248712288</v>
      </c>
    </row>
    <row r="646" spans="1:27">
      <c r="A646" s="429">
        <v>0.68466435185185182</v>
      </c>
      <c r="B646" s="218">
        <v>438</v>
      </c>
      <c r="C646" s="218" t="s">
        <v>314</v>
      </c>
      <c r="D646" s="218">
        <v>219</v>
      </c>
      <c r="E646" s="218" t="s">
        <v>315</v>
      </c>
      <c r="F646" s="218">
        <v>22.8</v>
      </c>
      <c r="G646" s="218" t="s">
        <v>316</v>
      </c>
      <c r="H646" s="218">
        <v>589</v>
      </c>
      <c r="I646" s="218">
        <f t="shared" si="37"/>
        <v>440</v>
      </c>
      <c r="J646" s="218">
        <f t="shared" si="38"/>
        <v>2.2727272727272726E-3</v>
      </c>
      <c r="K646" s="218">
        <f t="shared" si="39"/>
        <v>4.6988356471115086E-2</v>
      </c>
      <c r="L646" s="218">
        <f t="shared" si="40"/>
        <v>419.7</v>
      </c>
      <c r="M646" s="218" t="s">
        <v>323</v>
      </c>
      <c r="P646" s="218">
        <v>641</v>
      </c>
      <c r="Q646" s="218">
        <v>425.7</v>
      </c>
      <c r="R646" s="218">
        <v>441</v>
      </c>
      <c r="S646" s="218">
        <v>371</v>
      </c>
      <c r="T646" s="218">
        <v>412.56666666666666</v>
      </c>
      <c r="U646" s="273">
        <v>2.423850690797447E-3</v>
      </c>
      <c r="V646" s="218">
        <v>2.4277800912850815E-3</v>
      </c>
      <c r="W646" s="250">
        <v>4.1471106387671239E-5</v>
      </c>
      <c r="X646" s="250">
        <v>0.9107431935246505</v>
      </c>
      <c r="Z646" s="218">
        <v>638</v>
      </c>
      <c r="AA646" s="435">
        <v>0.90779985283296549</v>
      </c>
    </row>
    <row r="647" spans="1:27">
      <c r="A647" s="429">
        <v>0.68467592592592597</v>
      </c>
      <c r="B647" s="218">
        <v>440</v>
      </c>
      <c r="C647" s="218" t="s">
        <v>314</v>
      </c>
      <c r="D647" s="218">
        <v>220</v>
      </c>
      <c r="E647" s="218" t="s">
        <v>315</v>
      </c>
      <c r="F647" s="218">
        <v>22.8</v>
      </c>
      <c r="G647" s="218" t="s">
        <v>316</v>
      </c>
      <c r="H647" s="218">
        <v>590</v>
      </c>
      <c r="I647" s="218">
        <f t="shared" si="37"/>
        <v>438</v>
      </c>
      <c r="J647" s="218">
        <f t="shared" si="38"/>
        <v>2.2831050228310501E-3</v>
      </c>
      <c r="K647" s="218">
        <f t="shared" si="39"/>
        <v>4.697797872101131E-2</v>
      </c>
      <c r="L647" s="218">
        <f t="shared" si="40"/>
        <v>417.7</v>
      </c>
      <c r="M647" s="218" t="s">
        <v>323</v>
      </c>
      <c r="P647" s="218">
        <v>642</v>
      </c>
      <c r="Q647" s="218">
        <v>425.7</v>
      </c>
      <c r="R647" s="218">
        <v>440</v>
      </c>
      <c r="S647" s="218">
        <v>371</v>
      </c>
      <c r="T647" s="218">
        <v>412.23333333333335</v>
      </c>
      <c r="U647" s="273">
        <v>2.4258106250505378E-3</v>
      </c>
      <c r="V647" s="218">
        <v>2.4248306579239924E-3</v>
      </c>
      <c r="W647" s="250">
        <v>4.1420724450221403E-5</v>
      </c>
      <c r="X647" s="250">
        <v>0.9100073583517293</v>
      </c>
      <c r="Z647" s="218">
        <v>639</v>
      </c>
      <c r="AA647" s="435">
        <v>0.90853568800588669</v>
      </c>
    </row>
    <row r="648" spans="1:27">
      <c r="A648" s="429">
        <v>0.6846875</v>
      </c>
      <c r="B648" s="218">
        <v>439</v>
      </c>
      <c r="C648" s="218" t="s">
        <v>314</v>
      </c>
      <c r="D648" s="218">
        <v>220</v>
      </c>
      <c r="E648" s="218" t="s">
        <v>315</v>
      </c>
      <c r="F648" s="218">
        <v>22.8</v>
      </c>
      <c r="G648" s="218" t="s">
        <v>316</v>
      </c>
      <c r="H648" s="218">
        <v>591</v>
      </c>
      <c r="I648" s="218">
        <f t="shared" si="37"/>
        <v>440</v>
      </c>
      <c r="J648" s="218">
        <f t="shared" si="38"/>
        <v>2.2727272727272726E-3</v>
      </c>
      <c r="K648" s="218">
        <f t="shared" si="39"/>
        <v>4.6988356471115086E-2</v>
      </c>
      <c r="L648" s="218">
        <f t="shared" si="40"/>
        <v>419.7</v>
      </c>
      <c r="M648" s="218" t="s">
        <v>323</v>
      </c>
      <c r="P648" s="218">
        <v>643</v>
      </c>
      <c r="Q648" s="218">
        <v>424.7</v>
      </c>
      <c r="R648" s="218">
        <v>441</v>
      </c>
      <c r="S648" s="218">
        <v>372</v>
      </c>
      <c r="T648" s="218">
        <v>412.56666666666666</v>
      </c>
      <c r="U648" s="273">
        <v>2.423850690797447E-3</v>
      </c>
      <c r="V648" s="218">
        <v>2.4248306579239924E-3</v>
      </c>
      <c r="W648" s="250">
        <v>4.1420724450221403E-5</v>
      </c>
      <c r="X648" s="250">
        <v>0.9107431935246505</v>
      </c>
      <c r="Z648" s="218">
        <v>640</v>
      </c>
      <c r="AA648" s="435">
        <v>0.90779985283296549</v>
      </c>
    </row>
    <row r="649" spans="1:27">
      <c r="A649" s="429">
        <v>0.68469907407407404</v>
      </c>
      <c r="B649" s="218">
        <v>439</v>
      </c>
      <c r="C649" s="218" t="s">
        <v>314</v>
      </c>
      <c r="D649" s="218">
        <v>220</v>
      </c>
      <c r="E649" s="218" t="s">
        <v>315</v>
      </c>
      <c r="F649" s="218">
        <v>22.8</v>
      </c>
      <c r="G649" s="218" t="s">
        <v>316</v>
      </c>
      <c r="H649" s="218">
        <v>592</v>
      </c>
      <c r="I649" s="218">
        <f t="shared" si="37"/>
        <v>439</v>
      </c>
      <c r="J649" s="218">
        <f t="shared" si="38"/>
        <v>2.2779043280182231E-3</v>
      </c>
      <c r="K649" s="218">
        <f t="shared" si="39"/>
        <v>4.6983179415824139E-2</v>
      </c>
      <c r="L649" s="218">
        <f t="shared" si="40"/>
        <v>418.7</v>
      </c>
      <c r="M649" s="218" t="s">
        <v>323</v>
      </c>
      <c r="P649" s="218">
        <v>644</v>
      </c>
      <c r="Q649" s="218">
        <v>425.7</v>
      </c>
      <c r="R649" s="218">
        <v>441</v>
      </c>
      <c r="S649" s="218">
        <v>372</v>
      </c>
      <c r="T649" s="218">
        <v>412.90000000000003</v>
      </c>
      <c r="U649" s="273">
        <v>2.421893921046258E-3</v>
      </c>
      <c r="V649" s="218">
        <v>2.4228723059218525E-3</v>
      </c>
      <c r="W649" s="250">
        <v>4.1387272069374891E-5</v>
      </c>
      <c r="X649" s="250">
        <v>0.9114790286975718</v>
      </c>
      <c r="Z649" s="218">
        <v>641</v>
      </c>
      <c r="AA649" s="435">
        <v>0.9107431935246505</v>
      </c>
    </row>
    <row r="650" spans="1:27">
      <c r="A650" s="429">
        <v>0.68471064814814808</v>
      </c>
      <c r="B650" s="218">
        <v>440</v>
      </c>
      <c r="C650" s="218" t="s">
        <v>314</v>
      </c>
      <c r="D650" s="218">
        <v>220</v>
      </c>
      <c r="E650" s="218" t="s">
        <v>315</v>
      </c>
      <c r="F650" s="218">
        <v>22.8</v>
      </c>
      <c r="G650" s="218" t="s">
        <v>316</v>
      </c>
      <c r="H650" s="218">
        <v>593</v>
      </c>
      <c r="I650" s="218">
        <f t="shared" si="37"/>
        <v>439</v>
      </c>
      <c r="J650" s="218">
        <f t="shared" si="38"/>
        <v>2.2779043280182231E-3</v>
      </c>
      <c r="K650" s="218">
        <f t="shared" si="39"/>
        <v>4.6983179415824139E-2</v>
      </c>
      <c r="L650" s="218">
        <f t="shared" si="40"/>
        <v>418.7</v>
      </c>
      <c r="M650" s="218" t="s">
        <v>323</v>
      </c>
      <c r="P650" s="218">
        <v>645</v>
      </c>
      <c r="Q650" s="218">
        <v>424.7</v>
      </c>
      <c r="R650" s="218">
        <v>441</v>
      </c>
      <c r="S650" s="218">
        <v>373</v>
      </c>
      <c r="T650" s="218">
        <v>412.90000000000003</v>
      </c>
      <c r="U650" s="273">
        <v>2.421893921046258E-3</v>
      </c>
      <c r="V650" s="218">
        <v>2.421893921046258E-3</v>
      </c>
      <c r="W650" s="250">
        <v>4.1370559392881035E-5</v>
      </c>
      <c r="X650" s="250">
        <v>0.9114790286975718</v>
      </c>
      <c r="Z650" s="218">
        <v>642</v>
      </c>
      <c r="AA650" s="435">
        <v>0.9100073583517293</v>
      </c>
    </row>
    <row r="651" spans="1:27">
      <c r="A651" s="429">
        <v>0.68472222222222223</v>
      </c>
      <c r="B651" s="218">
        <v>440</v>
      </c>
      <c r="C651" s="218" t="s">
        <v>314</v>
      </c>
      <c r="D651" s="218">
        <v>220</v>
      </c>
      <c r="E651" s="218" t="s">
        <v>315</v>
      </c>
      <c r="F651" s="218">
        <v>22.8</v>
      </c>
      <c r="G651" s="218" t="s">
        <v>316</v>
      </c>
      <c r="H651" s="218">
        <v>594</v>
      </c>
      <c r="I651" s="218">
        <f t="shared" si="37"/>
        <v>440</v>
      </c>
      <c r="J651" s="218">
        <f t="shared" si="38"/>
        <v>2.2727272727272726E-3</v>
      </c>
      <c r="K651" s="218">
        <f t="shared" si="39"/>
        <v>4.6988356471115086E-2</v>
      </c>
      <c r="L651" s="218">
        <f t="shared" si="40"/>
        <v>419.7</v>
      </c>
      <c r="M651" s="218" t="s">
        <v>323</v>
      </c>
      <c r="P651" s="218">
        <v>646</v>
      </c>
      <c r="Q651" s="218">
        <v>425.7</v>
      </c>
      <c r="R651" s="218">
        <v>442</v>
      </c>
      <c r="S651" s="218">
        <v>373</v>
      </c>
      <c r="T651" s="218">
        <v>413.56666666666666</v>
      </c>
      <c r="U651" s="273">
        <v>2.4179898444426536E-3</v>
      </c>
      <c r="V651" s="218">
        <v>2.4199418827444558E-3</v>
      </c>
      <c r="W651" s="250">
        <v>4.1337214862057407E-5</v>
      </c>
      <c r="X651" s="250">
        <v>0.9129506990434143</v>
      </c>
      <c r="Z651" s="218">
        <v>643</v>
      </c>
      <c r="AA651" s="435">
        <v>0.9107431935246505</v>
      </c>
    </row>
    <row r="652" spans="1:27">
      <c r="A652" s="429">
        <v>0.68473379629629638</v>
      </c>
      <c r="B652" s="218">
        <v>439</v>
      </c>
      <c r="C652" s="218" t="s">
        <v>314</v>
      </c>
      <c r="D652" s="218">
        <v>220</v>
      </c>
      <c r="E652" s="218" t="s">
        <v>315</v>
      </c>
      <c r="F652" s="218">
        <v>22.8</v>
      </c>
      <c r="G652" s="218" t="s">
        <v>316</v>
      </c>
      <c r="H652" s="218">
        <v>595</v>
      </c>
      <c r="I652" s="218">
        <f t="shared" si="37"/>
        <v>440</v>
      </c>
      <c r="J652" s="218">
        <f t="shared" si="38"/>
        <v>2.2727272727272726E-3</v>
      </c>
      <c r="K652" s="218">
        <f t="shared" si="39"/>
        <v>4.6988356471115086E-2</v>
      </c>
      <c r="L652" s="218">
        <f t="shared" si="40"/>
        <v>419.7</v>
      </c>
      <c r="M652" s="218" t="s">
        <v>323</v>
      </c>
      <c r="P652" s="218">
        <v>647</v>
      </c>
      <c r="Q652" s="218">
        <v>425.7</v>
      </c>
      <c r="R652" s="218">
        <v>441</v>
      </c>
      <c r="S652" s="218">
        <v>371</v>
      </c>
      <c r="T652" s="218">
        <v>412.56666666666666</v>
      </c>
      <c r="U652" s="273">
        <v>2.423850690797447E-3</v>
      </c>
      <c r="V652" s="218">
        <v>2.4209202676200503E-3</v>
      </c>
      <c r="W652" s="250">
        <v>4.1353927538551264E-5</v>
      </c>
      <c r="X652" s="250">
        <v>0.9107431935246505</v>
      </c>
      <c r="Z652" s="218">
        <v>644</v>
      </c>
      <c r="AA652" s="435">
        <v>0.9114790286975718</v>
      </c>
    </row>
    <row r="653" spans="1:27">
      <c r="A653" s="429">
        <v>0.68474537037037031</v>
      </c>
      <c r="B653" s="218">
        <v>440</v>
      </c>
      <c r="C653" s="218" t="s">
        <v>314</v>
      </c>
      <c r="D653" s="218">
        <v>220</v>
      </c>
      <c r="E653" s="218" t="s">
        <v>315</v>
      </c>
      <c r="F653" s="218">
        <v>22.8</v>
      </c>
      <c r="G653" s="218" t="s">
        <v>316</v>
      </c>
      <c r="H653" s="218">
        <v>596</v>
      </c>
      <c r="I653" s="218">
        <f t="shared" si="37"/>
        <v>439</v>
      </c>
      <c r="J653" s="218">
        <f t="shared" si="38"/>
        <v>2.2779043280182231E-3</v>
      </c>
      <c r="K653" s="218">
        <f t="shared" si="39"/>
        <v>4.6983179415824139E-2</v>
      </c>
      <c r="L653" s="218">
        <f t="shared" si="40"/>
        <v>418.7</v>
      </c>
      <c r="M653" s="218" t="s">
        <v>323</v>
      </c>
      <c r="P653" s="218">
        <v>648</v>
      </c>
      <c r="Q653" s="218">
        <v>425.7</v>
      </c>
      <c r="R653" s="218">
        <v>441</v>
      </c>
      <c r="S653" s="218">
        <v>371</v>
      </c>
      <c r="T653" s="218">
        <v>412.56666666666666</v>
      </c>
      <c r="U653" s="273">
        <v>2.423850690797447E-3</v>
      </c>
      <c r="V653" s="218">
        <v>2.423850690797447E-3</v>
      </c>
      <c r="W653" s="250">
        <v>4.1403984745868748E-5</v>
      </c>
      <c r="X653" s="250">
        <v>0.9107431935246505</v>
      </c>
      <c r="Z653" s="218">
        <v>645</v>
      </c>
      <c r="AA653" s="435">
        <v>0.9114790286975718</v>
      </c>
    </row>
    <row r="654" spans="1:27">
      <c r="A654" s="429">
        <v>0.68475694444444446</v>
      </c>
      <c r="B654" s="218">
        <v>439</v>
      </c>
      <c r="C654" s="218" t="s">
        <v>314</v>
      </c>
      <c r="D654" s="218">
        <v>220</v>
      </c>
      <c r="E654" s="218" t="s">
        <v>315</v>
      </c>
      <c r="F654" s="218">
        <v>22.8</v>
      </c>
      <c r="G654" s="218" t="s">
        <v>316</v>
      </c>
      <c r="H654" s="218">
        <v>597</v>
      </c>
      <c r="I654" s="218">
        <f t="shared" si="37"/>
        <v>440</v>
      </c>
      <c r="J654" s="218">
        <f t="shared" si="38"/>
        <v>2.2727272727272726E-3</v>
      </c>
      <c r="K654" s="218">
        <f t="shared" si="39"/>
        <v>4.6988356471115086E-2</v>
      </c>
      <c r="L654" s="218">
        <f t="shared" si="40"/>
        <v>419.7</v>
      </c>
      <c r="M654" s="218" t="s">
        <v>323</v>
      </c>
      <c r="P654" s="218">
        <v>649</v>
      </c>
      <c r="Q654" s="218">
        <v>426.7</v>
      </c>
      <c r="R654" s="218">
        <v>442</v>
      </c>
      <c r="S654" s="218">
        <v>372</v>
      </c>
      <c r="T654" s="218">
        <v>413.56666666666666</v>
      </c>
      <c r="U654" s="273">
        <v>2.4179898444426536E-3</v>
      </c>
      <c r="V654" s="218">
        <v>2.4209202676200503E-3</v>
      </c>
      <c r="W654" s="250">
        <v>4.1353927538551264E-5</v>
      </c>
      <c r="X654" s="250">
        <v>0.9129506990434143</v>
      </c>
      <c r="Z654" s="218">
        <v>646</v>
      </c>
      <c r="AA654" s="435">
        <v>0.9129506990434143</v>
      </c>
    </row>
    <row r="655" spans="1:27">
      <c r="A655" s="429">
        <v>0.6847685185185185</v>
      </c>
      <c r="B655" s="218">
        <v>440</v>
      </c>
      <c r="C655" s="218" t="s">
        <v>314</v>
      </c>
      <c r="D655" s="218">
        <v>220</v>
      </c>
      <c r="E655" s="218" t="s">
        <v>315</v>
      </c>
      <c r="F655" s="218">
        <v>22.8</v>
      </c>
      <c r="G655" s="218" t="s">
        <v>316</v>
      </c>
      <c r="H655" s="218">
        <v>598</v>
      </c>
      <c r="I655" s="218">
        <f t="shared" si="37"/>
        <v>439</v>
      </c>
      <c r="J655" s="218">
        <f t="shared" si="38"/>
        <v>2.2779043280182231E-3</v>
      </c>
      <c r="K655" s="218">
        <f t="shared" si="39"/>
        <v>4.6983179415824139E-2</v>
      </c>
      <c r="L655" s="218">
        <f t="shared" si="40"/>
        <v>418.7</v>
      </c>
      <c r="M655" s="218" t="s">
        <v>323</v>
      </c>
      <c r="P655" s="218">
        <v>650</v>
      </c>
      <c r="Q655" s="218">
        <v>425.7</v>
      </c>
      <c r="R655" s="218">
        <v>442</v>
      </c>
      <c r="S655" s="218">
        <v>372</v>
      </c>
      <c r="T655" s="218">
        <v>413.23333333333335</v>
      </c>
      <c r="U655" s="273">
        <v>2.4199403081390657E-3</v>
      </c>
      <c r="V655" s="218">
        <v>2.4189650762908594E-3</v>
      </c>
      <c r="W655" s="250">
        <v>4.1320529148016552E-5</v>
      </c>
      <c r="X655" s="250">
        <v>0.912214863870493</v>
      </c>
      <c r="Z655" s="218">
        <v>647</v>
      </c>
      <c r="AA655" s="435">
        <v>0.9107431935246505</v>
      </c>
    </row>
    <row r="656" spans="1:27">
      <c r="A656" s="429">
        <v>0.68478009259259265</v>
      </c>
      <c r="B656" s="218">
        <v>440</v>
      </c>
      <c r="C656" s="218" t="s">
        <v>314</v>
      </c>
      <c r="D656" s="218">
        <v>220</v>
      </c>
      <c r="E656" s="218" t="s">
        <v>315</v>
      </c>
      <c r="F656" s="218">
        <v>22.8</v>
      </c>
      <c r="G656" s="218" t="s">
        <v>316</v>
      </c>
      <c r="H656" s="218">
        <v>599</v>
      </c>
      <c r="I656" s="218">
        <f t="shared" si="37"/>
        <v>440</v>
      </c>
      <c r="J656" s="218">
        <f t="shared" si="38"/>
        <v>2.2727272727272726E-3</v>
      </c>
      <c r="K656" s="218">
        <f t="shared" si="39"/>
        <v>4.6988356471115086E-2</v>
      </c>
      <c r="L656" s="218">
        <f t="shared" si="40"/>
        <v>419.7</v>
      </c>
      <c r="M656" s="218" t="s">
        <v>323</v>
      </c>
      <c r="P656" s="218">
        <v>651</v>
      </c>
      <c r="Q656" s="218">
        <v>426.7</v>
      </c>
      <c r="R656" s="218">
        <v>440</v>
      </c>
      <c r="S656" s="218">
        <v>372</v>
      </c>
      <c r="T656" s="218">
        <v>412.90000000000003</v>
      </c>
      <c r="U656" s="273">
        <v>2.421893921046258E-3</v>
      </c>
      <c r="V656" s="218">
        <v>2.4209171145926616E-3</v>
      </c>
      <c r="W656" s="250">
        <v>4.1353873678840187E-5</v>
      </c>
      <c r="X656" s="250">
        <v>0.9114790286975718</v>
      </c>
      <c r="Z656" s="218">
        <v>648</v>
      </c>
      <c r="AA656" s="435">
        <v>0.9107431935246505</v>
      </c>
    </row>
    <row r="657" spans="1:27">
      <c r="A657" s="429">
        <v>0.68479166666666658</v>
      </c>
      <c r="B657" s="218">
        <v>440</v>
      </c>
      <c r="C657" s="218" t="s">
        <v>314</v>
      </c>
      <c r="D657" s="218">
        <v>220</v>
      </c>
      <c r="E657" s="218" t="s">
        <v>315</v>
      </c>
      <c r="F657" s="218">
        <v>22.8</v>
      </c>
      <c r="G657" s="218" t="s">
        <v>316</v>
      </c>
      <c r="H657" s="218">
        <v>600</v>
      </c>
      <c r="I657" s="218">
        <f t="shared" si="37"/>
        <v>440</v>
      </c>
      <c r="J657" s="218">
        <f t="shared" si="38"/>
        <v>2.2727272727272726E-3</v>
      </c>
      <c r="K657" s="218">
        <f t="shared" si="39"/>
        <v>4.6988356471115086E-2</v>
      </c>
      <c r="L657" s="218">
        <f t="shared" si="40"/>
        <v>419.7</v>
      </c>
      <c r="M657" s="218" t="s">
        <v>323</v>
      </c>
      <c r="P657" s="218">
        <v>652</v>
      </c>
      <c r="Q657" s="218">
        <v>424.7</v>
      </c>
      <c r="R657" s="218">
        <v>443</v>
      </c>
      <c r="S657" s="218">
        <v>372</v>
      </c>
      <c r="T657" s="218">
        <v>413.23333333333335</v>
      </c>
      <c r="U657" s="273">
        <v>2.4199403081390657E-3</v>
      </c>
      <c r="V657" s="218">
        <v>2.4209171145926616E-3</v>
      </c>
      <c r="W657" s="250">
        <v>4.1353873678840187E-5</v>
      </c>
      <c r="X657" s="250">
        <v>0.912214863870493</v>
      </c>
      <c r="Z657" s="218">
        <v>649</v>
      </c>
      <c r="AA657" s="435">
        <v>0.9129506990434143</v>
      </c>
    </row>
    <row r="658" spans="1:27">
      <c r="A658" s="429">
        <v>0.68480324074074073</v>
      </c>
      <c r="B658" s="218">
        <v>441</v>
      </c>
      <c r="C658" s="218" t="s">
        <v>314</v>
      </c>
      <c r="D658" s="218">
        <v>221</v>
      </c>
      <c r="E658" s="218" t="s">
        <v>315</v>
      </c>
      <c r="F658" s="218">
        <v>22.8</v>
      </c>
      <c r="G658" s="218" t="s">
        <v>316</v>
      </c>
      <c r="H658" s="218">
        <v>601</v>
      </c>
      <c r="I658" s="218">
        <f t="shared" si="37"/>
        <v>440</v>
      </c>
      <c r="J658" s="218">
        <f t="shared" si="38"/>
        <v>2.2727272727272726E-3</v>
      </c>
      <c r="K658" s="218">
        <f t="shared" si="39"/>
        <v>4.6988356471115086E-2</v>
      </c>
      <c r="L658" s="218">
        <f t="shared" si="40"/>
        <v>419.7</v>
      </c>
      <c r="M658" s="218" t="s">
        <v>323</v>
      </c>
      <c r="P658" s="218">
        <v>653</v>
      </c>
      <c r="Q658" s="218">
        <v>426.7</v>
      </c>
      <c r="R658" s="218">
        <v>441</v>
      </c>
      <c r="S658" s="218">
        <v>372</v>
      </c>
      <c r="T658" s="218">
        <v>413.23333333333335</v>
      </c>
      <c r="U658" s="273">
        <v>2.4199403081390657E-3</v>
      </c>
      <c r="V658" s="218">
        <v>2.4199403081390657E-3</v>
      </c>
      <c r="W658" s="250">
        <v>4.1337187964799339E-5</v>
      </c>
      <c r="X658" s="250">
        <v>0.912214863870493</v>
      </c>
      <c r="Z658" s="218">
        <v>650</v>
      </c>
      <c r="AA658" s="435">
        <v>0.912214863870493</v>
      </c>
    </row>
    <row r="659" spans="1:27">
      <c r="A659" s="429">
        <v>0.68481481481481488</v>
      </c>
      <c r="B659" s="218">
        <v>440</v>
      </c>
      <c r="C659" s="218" t="s">
        <v>314</v>
      </c>
      <c r="D659" s="218">
        <v>220</v>
      </c>
      <c r="E659" s="218" t="s">
        <v>315</v>
      </c>
      <c r="F659" s="218">
        <v>22.8</v>
      </c>
      <c r="G659" s="218" t="s">
        <v>316</v>
      </c>
      <c r="H659" s="218">
        <v>602</v>
      </c>
      <c r="I659" s="218">
        <f t="shared" si="37"/>
        <v>441</v>
      </c>
      <c r="J659" s="218">
        <f t="shared" si="38"/>
        <v>2.2675736961451248E-3</v>
      </c>
      <c r="K659" s="218">
        <f t="shared" si="39"/>
        <v>4.6993510047697237E-2</v>
      </c>
      <c r="L659" s="218">
        <f t="shared" si="40"/>
        <v>420.7</v>
      </c>
      <c r="M659" s="218" t="s">
        <v>323</v>
      </c>
      <c r="P659" s="218">
        <v>654</v>
      </c>
      <c r="Q659" s="218">
        <v>424.7</v>
      </c>
      <c r="R659" s="218">
        <v>442</v>
      </c>
      <c r="S659" s="218">
        <v>372</v>
      </c>
      <c r="T659" s="218">
        <v>412.90000000000003</v>
      </c>
      <c r="U659" s="273">
        <v>2.421893921046258E-3</v>
      </c>
      <c r="V659" s="218">
        <v>2.4209171145926616E-3</v>
      </c>
      <c r="W659" s="250">
        <v>4.1353873678840187E-5</v>
      </c>
      <c r="X659" s="250">
        <v>0.9114790286975718</v>
      </c>
      <c r="Z659" s="218">
        <v>651</v>
      </c>
      <c r="AA659" s="435">
        <v>0.9114790286975718</v>
      </c>
    </row>
    <row r="660" spans="1:27">
      <c r="A660" s="429">
        <v>0.68482638888888892</v>
      </c>
      <c r="B660" s="218">
        <v>442</v>
      </c>
      <c r="C660" s="218" t="s">
        <v>314</v>
      </c>
      <c r="D660" s="218">
        <v>221</v>
      </c>
      <c r="E660" s="218" t="s">
        <v>315</v>
      </c>
      <c r="F660" s="218">
        <v>22.8</v>
      </c>
      <c r="G660" s="218" t="s">
        <v>316</v>
      </c>
      <c r="H660" s="218">
        <v>603</v>
      </c>
      <c r="I660" s="218">
        <f t="shared" si="37"/>
        <v>440</v>
      </c>
      <c r="J660" s="218">
        <f t="shared" si="38"/>
        <v>2.2727272727272726E-3</v>
      </c>
      <c r="K660" s="218">
        <f t="shared" si="39"/>
        <v>4.6988356471115086E-2</v>
      </c>
      <c r="L660" s="218">
        <f t="shared" si="40"/>
        <v>419.7</v>
      </c>
      <c r="M660" s="218" t="s">
        <v>323</v>
      </c>
      <c r="P660" s="218">
        <v>655</v>
      </c>
      <c r="Q660" s="218">
        <v>426.7</v>
      </c>
      <c r="R660" s="218">
        <v>442</v>
      </c>
      <c r="S660" s="218">
        <v>373</v>
      </c>
      <c r="T660" s="218">
        <v>413.90000000000003</v>
      </c>
      <c r="U660" s="273">
        <v>2.416042522348393E-3</v>
      </c>
      <c r="V660" s="218">
        <v>2.4189682216973255E-3</v>
      </c>
      <c r="W660" s="250">
        <v>4.1320582877547766E-5</v>
      </c>
      <c r="X660" s="250">
        <v>0.91368653421633561</v>
      </c>
      <c r="Z660" s="218">
        <v>652</v>
      </c>
      <c r="AA660" s="435">
        <v>0.912214863870493</v>
      </c>
    </row>
    <row r="661" spans="1:27">
      <c r="A661" s="429">
        <v>0.68483796296296295</v>
      </c>
      <c r="B661" s="218">
        <v>439</v>
      </c>
      <c r="C661" s="218" t="s">
        <v>314</v>
      </c>
      <c r="D661" s="218">
        <v>220</v>
      </c>
      <c r="E661" s="218" t="s">
        <v>315</v>
      </c>
      <c r="F661" s="218">
        <v>22.8</v>
      </c>
      <c r="G661" s="218" t="s">
        <v>316</v>
      </c>
      <c r="H661" s="218">
        <v>604</v>
      </c>
      <c r="I661" s="218">
        <f t="shared" si="37"/>
        <v>442</v>
      </c>
      <c r="J661" s="218">
        <f t="shared" si="38"/>
        <v>2.2624434389140274E-3</v>
      </c>
      <c r="K661" s="218">
        <f t="shared" si="39"/>
        <v>4.6998640304928334E-2</v>
      </c>
      <c r="L661" s="218">
        <f t="shared" si="40"/>
        <v>421.7</v>
      </c>
      <c r="M661" s="218" t="s">
        <v>323</v>
      </c>
      <c r="P661" s="218">
        <v>656</v>
      </c>
      <c r="Q661" s="218">
        <v>426.7</v>
      </c>
      <c r="R661" s="218">
        <v>442</v>
      </c>
      <c r="S661" s="218">
        <v>373</v>
      </c>
      <c r="T661" s="218">
        <v>413.90000000000003</v>
      </c>
      <c r="U661" s="273">
        <v>2.416042522348393E-3</v>
      </c>
      <c r="V661" s="218">
        <v>2.416042522348393E-3</v>
      </c>
      <c r="W661" s="250">
        <v>4.1270606362214498E-5</v>
      </c>
      <c r="X661" s="250">
        <v>0.91368653421633561</v>
      </c>
      <c r="Z661" s="218">
        <v>653</v>
      </c>
      <c r="AA661" s="435">
        <v>0.912214863870493</v>
      </c>
    </row>
    <row r="662" spans="1:27">
      <c r="A662" s="429">
        <v>0.68484953703703699</v>
      </c>
      <c r="B662" s="218">
        <v>441</v>
      </c>
      <c r="C662" s="218" t="s">
        <v>314</v>
      </c>
      <c r="D662" s="218">
        <v>221</v>
      </c>
      <c r="E662" s="218" t="s">
        <v>315</v>
      </c>
      <c r="F662" s="218">
        <v>22.8</v>
      </c>
      <c r="G662" s="218" t="s">
        <v>316</v>
      </c>
      <c r="H662" s="218">
        <v>605</v>
      </c>
      <c r="I662" s="218">
        <f t="shared" si="37"/>
        <v>439</v>
      </c>
      <c r="J662" s="218">
        <f t="shared" si="38"/>
        <v>2.2779043280182231E-3</v>
      </c>
      <c r="K662" s="218">
        <f t="shared" si="39"/>
        <v>4.6983179415824139E-2</v>
      </c>
      <c r="L662" s="218">
        <f t="shared" si="40"/>
        <v>418.7</v>
      </c>
      <c r="M662" s="218" t="s">
        <v>323</v>
      </c>
      <c r="P662" s="218">
        <v>657</v>
      </c>
      <c r="Q662" s="218">
        <v>426.7</v>
      </c>
      <c r="R662" s="218">
        <v>442</v>
      </c>
      <c r="S662" s="218">
        <v>374</v>
      </c>
      <c r="T662" s="218">
        <v>414.23333333333335</v>
      </c>
      <c r="U662" s="273">
        <v>2.4140983342721494E-3</v>
      </c>
      <c r="V662" s="218">
        <v>2.415070428310271E-3</v>
      </c>
      <c r="W662" s="250">
        <v>4.1254001145202255E-5</v>
      </c>
      <c r="X662" s="250">
        <v>0.91442236938925681</v>
      </c>
      <c r="Z662" s="218">
        <v>654</v>
      </c>
      <c r="AA662" s="435">
        <v>0.9114790286975718</v>
      </c>
    </row>
    <row r="663" spans="1:27">
      <c r="A663" s="429">
        <v>0.68486111111111114</v>
      </c>
      <c r="B663" s="218">
        <v>440</v>
      </c>
      <c r="C663" s="218" t="s">
        <v>314</v>
      </c>
      <c r="D663" s="218">
        <v>220</v>
      </c>
      <c r="E663" s="218" t="s">
        <v>315</v>
      </c>
      <c r="F663" s="218">
        <v>22.8</v>
      </c>
      <c r="G663" s="218" t="s">
        <v>316</v>
      </c>
      <c r="H663" s="218">
        <v>606</v>
      </c>
      <c r="I663" s="218">
        <f t="shared" si="37"/>
        <v>441</v>
      </c>
      <c r="J663" s="218">
        <f t="shared" si="38"/>
        <v>2.2675736961451248E-3</v>
      </c>
      <c r="K663" s="218">
        <f t="shared" si="39"/>
        <v>4.6993510047697237E-2</v>
      </c>
      <c r="L663" s="218">
        <f t="shared" si="40"/>
        <v>420.7</v>
      </c>
      <c r="M663" s="218" t="s">
        <v>323</v>
      </c>
      <c r="P663" s="218">
        <v>658</v>
      </c>
      <c r="Q663" s="218">
        <v>427.7</v>
      </c>
      <c r="R663" s="218">
        <v>442</v>
      </c>
      <c r="S663" s="218">
        <v>374</v>
      </c>
      <c r="T663" s="218">
        <v>414.56666666666666</v>
      </c>
      <c r="U663" s="273">
        <v>2.4121572726541773E-3</v>
      </c>
      <c r="V663" s="218">
        <v>2.4131278034631633E-3</v>
      </c>
      <c r="W663" s="250">
        <v>4.1220817414107777E-5</v>
      </c>
      <c r="X663" s="250">
        <v>0.91515820456217811</v>
      </c>
      <c r="Z663" s="218">
        <v>655</v>
      </c>
      <c r="AA663" s="435">
        <v>0.91368653421633561</v>
      </c>
    </row>
    <row r="664" spans="1:27">
      <c r="A664" s="429">
        <v>0.68487268518518529</v>
      </c>
      <c r="B664" s="218">
        <v>441</v>
      </c>
      <c r="C664" s="218" t="s">
        <v>314</v>
      </c>
      <c r="D664" s="218">
        <v>221</v>
      </c>
      <c r="E664" s="218" t="s">
        <v>315</v>
      </c>
      <c r="F664" s="218">
        <v>22.8</v>
      </c>
      <c r="G664" s="218" t="s">
        <v>316</v>
      </c>
      <c r="H664" s="218">
        <v>607</v>
      </c>
      <c r="I664" s="218">
        <f t="shared" si="37"/>
        <v>440</v>
      </c>
      <c r="J664" s="218">
        <f t="shared" si="38"/>
        <v>2.2727272727272726E-3</v>
      </c>
      <c r="K664" s="218">
        <f t="shared" si="39"/>
        <v>4.6988356471115086E-2</v>
      </c>
      <c r="L664" s="218">
        <f t="shared" si="40"/>
        <v>419.7</v>
      </c>
      <c r="M664" s="218" t="s">
        <v>323</v>
      </c>
      <c r="P664" s="218">
        <v>659</v>
      </c>
      <c r="Q664" s="218">
        <v>427.7</v>
      </c>
      <c r="R664" s="218">
        <v>442</v>
      </c>
      <c r="S664" s="218">
        <v>376</v>
      </c>
      <c r="T664" s="218">
        <v>415.23333333333335</v>
      </c>
      <c r="U664" s="273">
        <v>2.4082844986754435E-3</v>
      </c>
      <c r="V664" s="218">
        <v>2.4102208856648104E-3</v>
      </c>
      <c r="W664" s="250">
        <v>4.1171161723417979E-5</v>
      </c>
      <c r="X664" s="250">
        <v>0.91662987490802061</v>
      </c>
      <c r="Z664" s="218">
        <v>656</v>
      </c>
      <c r="AA664" s="435">
        <v>0.91368653421633561</v>
      </c>
    </row>
    <row r="665" spans="1:27">
      <c r="A665" s="429">
        <v>0.68488425925925922</v>
      </c>
      <c r="B665" s="218">
        <v>442</v>
      </c>
      <c r="C665" s="218" t="s">
        <v>314</v>
      </c>
      <c r="D665" s="218">
        <v>221</v>
      </c>
      <c r="E665" s="218" t="s">
        <v>315</v>
      </c>
      <c r="F665" s="218">
        <v>22.8</v>
      </c>
      <c r="G665" s="218" t="s">
        <v>316</v>
      </c>
      <c r="H665" s="218">
        <v>608</v>
      </c>
      <c r="I665" s="218">
        <f t="shared" si="37"/>
        <v>441</v>
      </c>
      <c r="J665" s="218">
        <f t="shared" si="38"/>
        <v>2.2675736961451248E-3</v>
      </c>
      <c r="K665" s="218">
        <f t="shared" si="39"/>
        <v>4.6993510047697237E-2</v>
      </c>
      <c r="L665" s="218">
        <f t="shared" si="40"/>
        <v>420.7</v>
      </c>
      <c r="M665" s="218" t="s">
        <v>323</v>
      </c>
      <c r="P665" s="218">
        <v>660</v>
      </c>
      <c r="Q665" s="218">
        <v>426.7</v>
      </c>
      <c r="R665" s="218">
        <v>442</v>
      </c>
      <c r="S665" s="218">
        <v>376</v>
      </c>
      <c r="T665" s="218">
        <v>414.90000000000003</v>
      </c>
      <c r="U665" s="273">
        <v>2.4102193299590262E-3</v>
      </c>
      <c r="V665" s="218">
        <v>2.409251914317235E-3</v>
      </c>
      <c r="W665" s="250">
        <v>4.1154609847905796E-5</v>
      </c>
      <c r="X665" s="250">
        <v>0.91589403973509942</v>
      </c>
      <c r="Z665" s="218">
        <v>657</v>
      </c>
      <c r="AA665" s="435">
        <v>0.91442236938925681</v>
      </c>
    </row>
    <row r="666" spans="1:27">
      <c r="A666" s="429">
        <v>0.68489583333333337</v>
      </c>
      <c r="B666" s="218">
        <v>442</v>
      </c>
      <c r="C666" s="218" t="s">
        <v>314</v>
      </c>
      <c r="D666" s="218">
        <v>221</v>
      </c>
      <c r="E666" s="218" t="s">
        <v>315</v>
      </c>
      <c r="F666" s="218">
        <v>22.8</v>
      </c>
      <c r="G666" s="218" t="s">
        <v>316</v>
      </c>
      <c r="H666" s="218">
        <v>609</v>
      </c>
      <c r="I666" s="218">
        <f t="shared" si="37"/>
        <v>442</v>
      </c>
      <c r="J666" s="218">
        <f t="shared" si="38"/>
        <v>2.2624434389140274E-3</v>
      </c>
      <c r="K666" s="218">
        <f t="shared" si="39"/>
        <v>4.6998640304928334E-2</v>
      </c>
      <c r="L666" s="218">
        <f t="shared" si="40"/>
        <v>421.7</v>
      </c>
      <c r="M666" s="218" t="s">
        <v>323</v>
      </c>
      <c r="P666" s="218">
        <v>661</v>
      </c>
      <c r="Q666" s="218">
        <v>427.7</v>
      </c>
      <c r="R666" s="218">
        <v>443</v>
      </c>
      <c r="S666" s="218">
        <v>376</v>
      </c>
      <c r="T666" s="218">
        <v>415.56666666666666</v>
      </c>
      <c r="U666" s="273">
        <v>2.4063527713162748E-3</v>
      </c>
      <c r="V666" s="218">
        <v>2.4082860506376503E-3</v>
      </c>
      <c r="W666" s="250">
        <v>4.1138111057279812E-5</v>
      </c>
      <c r="X666" s="250">
        <v>0.91736571008094181</v>
      </c>
      <c r="Z666" s="218">
        <v>658</v>
      </c>
      <c r="AA666" s="435">
        <v>0.91515820456217811</v>
      </c>
    </row>
    <row r="667" spans="1:27">
      <c r="A667" s="429">
        <v>0.68490740740740741</v>
      </c>
      <c r="B667" s="218">
        <v>442</v>
      </c>
      <c r="C667" s="218" t="s">
        <v>314</v>
      </c>
      <c r="D667" s="218">
        <v>221</v>
      </c>
      <c r="E667" s="218" t="s">
        <v>315</v>
      </c>
      <c r="F667" s="218">
        <v>22.8</v>
      </c>
      <c r="G667" s="218" t="s">
        <v>316</v>
      </c>
      <c r="H667" s="218">
        <v>610</v>
      </c>
      <c r="I667" s="218">
        <f t="shared" si="37"/>
        <v>442</v>
      </c>
      <c r="J667" s="218">
        <f t="shared" si="38"/>
        <v>2.2624434389140274E-3</v>
      </c>
      <c r="K667" s="218">
        <f t="shared" si="39"/>
        <v>4.6998640304928334E-2</v>
      </c>
      <c r="L667" s="218">
        <f t="shared" si="40"/>
        <v>421.7</v>
      </c>
      <c r="M667" s="218" t="s">
        <v>323</v>
      </c>
      <c r="P667" s="218">
        <v>662</v>
      </c>
      <c r="Q667" s="218">
        <v>426.7</v>
      </c>
      <c r="R667" s="218">
        <v>441</v>
      </c>
      <c r="S667" s="218">
        <v>376</v>
      </c>
      <c r="T667" s="218">
        <v>414.56666666666666</v>
      </c>
      <c r="U667" s="273">
        <v>2.4121572726541773E-3</v>
      </c>
      <c r="V667" s="218">
        <v>2.409255021985226E-3</v>
      </c>
      <c r="W667" s="250">
        <v>4.1154662932791994E-5</v>
      </c>
      <c r="X667" s="250">
        <v>0.91515820456217811</v>
      </c>
      <c r="Z667" s="218">
        <v>659</v>
      </c>
      <c r="AA667" s="435">
        <v>0.91662987490802061</v>
      </c>
    </row>
    <row r="668" spans="1:27">
      <c r="A668" s="429">
        <v>0.68491898148148145</v>
      </c>
      <c r="B668" s="218">
        <v>442</v>
      </c>
      <c r="C668" s="218" t="s">
        <v>314</v>
      </c>
      <c r="D668" s="218">
        <v>221</v>
      </c>
      <c r="E668" s="218" t="s">
        <v>315</v>
      </c>
      <c r="F668" s="218">
        <v>22.8</v>
      </c>
      <c r="G668" s="218" t="s">
        <v>316</v>
      </c>
      <c r="H668" s="218">
        <v>611</v>
      </c>
      <c r="I668" s="218">
        <f t="shared" si="37"/>
        <v>442</v>
      </c>
      <c r="J668" s="218">
        <f t="shared" si="38"/>
        <v>2.2624434389140274E-3</v>
      </c>
      <c r="K668" s="218">
        <f t="shared" si="39"/>
        <v>4.6998640304928334E-2</v>
      </c>
      <c r="L668" s="218">
        <f t="shared" si="40"/>
        <v>421.7</v>
      </c>
      <c r="M668" s="218" t="s">
        <v>323</v>
      </c>
      <c r="P668" s="218">
        <v>663</v>
      </c>
      <c r="Q668" s="218">
        <v>427.7</v>
      </c>
      <c r="R668" s="218">
        <v>443</v>
      </c>
      <c r="S668" s="218">
        <v>378</v>
      </c>
      <c r="T668" s="218">
        <v>416.23333333333335</v>
      </c>
      <c r="U668" s="273">
        <v>2.4024985985424841E-3</v>
      </c>
      <c r="V668" s="218">
        <v>2.4073279355983305E-3</v>
      </c>
      <c r="W668" s="250">
        <v>4.1121744628182751E-5</v>
      </c>
      <c r="X668" s="250">
        <v>0.91883738042678442</v>
      </c>
      <c r="Z668" s="218">
        <v>660</v>
      </c>
      <c r="AA668" s="435">
        <v>0.91589403973509942</v>
      </c>
    </row>
    <row r="669" spans="1:27">
      <c r="A669" s="429">
        <v>0.68493055555555549</v>
      </c>
      <c r="B669" s="218">
        <v>441</v>
      </c>
      <c r="C669" s="218" t="s">
        <v>314</v>
      </c>
      <c r="D669" s="218">
        <v>221</v>
      </c>
      <c r="E669" s="218" t="s">
        <v>315</v>
      </c>
      <c r="F669" s="218">
        <v>22.8</v>
      </c>
      <c r="G669" s="218" t="s">
        <v>316</v>
      </c>
      <c r="H669" s="218">
        <v>612</v>
      </c>
      <c r="I669" s="218">
        <f t="shared" si="37"/>
        <v>442</v>
      </c>
      <c r="J669" s="218">
        <f t="shared" si="38"/>
        <v>2.2624434389140274E-3</v>
      </c>
      <c r="K669" s="218">
        <f t="shared" si="39"/>
        <v>4.6998640304928334E-2</v>
      </c>
      <c r="L669" s="218">
        <f t="shared" si="40"/>
        <v>421.7</v>
      </c>
      <c r="M669" s="218" t="s">
        <v>323</v>
      </c>
      <c r="P669" s="218">
        <v>664</v>
      </c>
      <c r="Q669" s="218">
        <v>427.7</v>
      </c>
      <c r="R669" s="218">
        <v>441</v>
      </c>
      <c r="S669" s="218">
        <v>378</v>
      </c>
      <c r="T669" s="218">
        <v>415.56666666666666</v>
      </c>
      <c r="U669" s="273">
        <v>2.4063527713162748E-3</v>
      </c>
      <c r="V669" s="218">
        <v>2.4044256849293797E-3</v>
      </c>
      <c r="W669" s="250">
        <v>4.107216866094923E-5</v>
      </c>
      <c r="X669" s="250">
        <v>0.91736571008094181</v>
      </c>
      <c r="Z669" s="218">
        <v>661</v>
      </c>
      <c r="AA669" s="435">
        <v>0.91736571008094181</v>
      </c>
    </row>
    <row r="670" spans="1:27">
      <c r="A670" s="429">
        <v>0.68494212962962964</v>
      </c>
      <c r="B670" s="218">
        <v>442</v>
      </c>
      <c r="C670" s="218" t="s">
        <v>314</v>
      </c>
      <c r="D670" s="218">
        <v>221</v>
      </c>
      <c r="E670" s="218" t="s">
        <v>315</v>
      </c>
      <c r="F670" s="218">
        <v>22.8</v>
      </c>
      <c r="G670" s="218" t="s">
        <v>316</v>
      </c>
      <c r="H670" s="218">
        <v>613</v>
      </c>
      <c r="I670" s="218">
        <f t="shared" si="37"/>
        <v>441</v>
      </c>
      <c r="J670" s="218">
        <f t="shared" si="38"/>
        <v>2.2675736961451248E-3</v>
      </c>
      <c r="K670" s="218">
        <f t="shared" si="39"/>
        <v>4.6993510047697237E-2</v>
      </c>
      <c r="L670" s="218">
        <f t="shared" si="40"/>
        <v>420.7</v>
      </c>
      <c r="M670" s="218" t="s">
        <v>323</v>
      </c>
      <c r="P670" s="218">
        <v>665</v>
      </c>
      <c r="Q670" s="218">
        <v>427.7</v>
      </c>
      <c r="R670" s="218">
        <v>443</v>
      </c>
      <c r="S670" s="218">
        <v>379</v>
      </c>
      <c r="T670" s="218">
        <v>416.56666666666666</v>
      </c>
      <c r="U670" s="273">
        <v>2.4005761382731856E-3</v>
      </c>
      <c r="V670" s="218">
        <v>2.4034644547947302E-3</v>
      </c>
      <c r="W670" s="250">
        <v>4.105574902009289E-5</v>
      </c>
      <c r="X670" s="250">
        <v>0.91957321559970562</v>
      </c>
      <c r="Z670" s="218">
        <v>662</v>
      </c>
      <c r="AA670" s="435">
        <v>0.91515820456217811</v>
      </c>
    </row>
    <row r="671" spans="1:27">
      <c r="A671" s="429">
        <v>0.68495370370370379</v>
      </c>
      <c r="B671" s="218">
        <v>442</v>
      </c>
      <c r="C671" s="218" t="s">
        <v>314</v>
      </c>
      <c r="D671" s="218">
        <v>221</v>
      </c>
      <c r="E671" s="218" t="s">
        <v>315</v>
      </c>
      <c r="F671" s="218">
        <v>22.8</v>
      </c>
      <c r="G671" s="218" t="s">
        <v>316</v>
      </c>
      <c r="H671" s="218">
        <v>614</v>
      </c>
      <c r="I671" s="218">
        <f t="shared" si="37"/>
        <v>442</v>
      </c>
      <c r="J671" s="218">
        <f t="shared" si="38"/>
        <v>2.2624434389140274E-3</v>
      </c>
      <c r="K671" s="218">
        <f t="shared" si="39"/>
        <v>4.6998640304928334E-2</v>
      </c>
      <c r="L671" s="218">
        <f t="shared" si="40"/>
        <v>421.7</v>
      </c>
      <c r="M671" s="218" t="s">
        <v>323</v>
      </c>
      <c r="P671" s="218">
        <v>666</v>
      </c>
      <c r="Q671" s="218">
        <v>428.7</v>
      </c>
      <c r="R671" s="218">
        <v>442</v>
      </c>
      <c r="S671" s="218">
        <v>379</v>
      </c>
      <c r="T671" s="218">
        <v>416.56666666666666</v>
      </c>
      <c r="U671" s="273">
        <v>2.4005761382731856E-3</v>
      </c>
      <c r="V671" s="218">
        <v>2.4005761382731856E-3</v>
      </c>
      <c r="W671" s="250">
        <v>4.1006411074627307E-5</v>
      </c>
      <c r="X671" s="250">
        <v>0.91957321559970562</v>
      </c>
      <c r="Z671" s="218">
        <v>663</v>
      </c>
      <c r="AA671" s="435">
        <v>0.91883738042678442</v>
      </c>
    </row>
    <row r="672" spans="1:27">
      <c r="A672" s="429">
        <v>0.68496527777777771</v>
      </c>
      <c r="B672" s="218">
        <v>442</v>
      </c>
      <c r="C672" s="218" t="s">
        <v>314</v>
      </c>
      <c r="D672" s="218">
        <v>221</v>
      </c>
      <c r="E672" s="218" t="s">
        <v>315</v>
      </c>
      <c r="F672" s="218">
        <v>22.8</v>
      </c>
      <c r="G672" s="218" t="s">
        <v>316</v>
      </c>
      <c r="H672" s="218">
        <v>615</v>
      </c>
      <c r="I672" s="218">
        <f t="shared" si="37"/>
        <v>442</v>
      </c>
      <c r="J672" s="218">
        <f t="shared" si="38"/>
        <v>2.2624434389140274E-3</v>
      </c>
      <c r="K672" s="218">
        <f t="shared" si="39"/>
        <v>4.6998640304928334E-2</v>
      </c>
      <c r="L672" s="218">
        <f t="shared" si="40"/>
        <v>421.7</v>
      </c>
      <c r="M672" s="218" t="s">
        <v>323</v>
      </c>
      <c r="P672" s="218">
        <v>667</v>
      </c>
      <c r="Q672" s="218">
        <v>427.7</v>
      </c>
      <c r="R672" s="218">
        <v>443</v>
      </c>
      <c r="S672" s="218">
        <v>380</v>
      </c>
      <c r="T672" s="218">
        <v>416.90000000000003</v>
      </c>
      <c r="U672" s="273">
        <v>2.3986567522187572E-3</v>
      </c>
      <c r="V672" s="218">
        <v>2.3996164452459714E-3</v>
      </c>
      <c r="W672" s="250">
        <v>4.099001769049257E-5</v>
      </c>
      <c r="X672" s="250">
        <v>0.92030905077262704</v>
      </c>
      <c r="Z672" s="218">
        <v>664</v>
      </c>
      <c r="AA672" s="435">
        <v>0.91736571008094181</v>
      </c>
    </row>
    <row r="673" spans="1:27">
      <c r="A673" s="429">
        <v>0.68497685185185186</v>
      </c>
      <c r="B673" s="218">
        <v>443</v>
      </c>
      <c r="C673" s="218" t="s">
        <v>314</v>
      </c>
      <c r="D673" s="218">
        <v>222</v>
      </c>
      <c r="E673" s="218" t="s">
        <v>315</v>
      </c>
      <c r="F673" s="218">
        <v>22.8</v>
      </c>
      <c r="G673" s="218" t="s">
        <v>316</v>
      </c>
      <c r="H673" s="218">
        <v>616</v>
      </c>
      <c r="I673" s="218">
        <f t="shared" si="37"/>
        <v>442</v>
      </c>
      <c r="J673" s="218">
        <f t="shared" si="38"/>
        <v>2.2624434389140274E-3</v>
      </c>
      <c r="K673" s="218">
        <f t="shared" si="39"/>
        <v>4.6998640304928334E-2</v>
      </c>
      <c r="L673" s="218">
        <f t="shared" si="40"/>
        <v>421.7</v>
      </c>
      <c r="M673" s="218" t="s">
        <v>323</v>
      </c>
      <c r="P673" s="218">
        <v>668</v>
      </c>
      <c r="Q673" s="218">
        <v>428.7</v>
      </c>
      <c r="R673" s="218">
        <v>443</v>
      </c>
      <c r="S673" s="218">
        <v>380</v>
      </c>
      <c r="T673" s="218">
        <v>417.23333333333335</v>
      </c>
      <c r="U673" s="273">
        <v>2.3967404330111049E-3</v>
      </c>
      <c r="V673" s="218">
        <v>2.3976985926149313E-3</v>
      </c>
      <c r="W673" s="250">
        <v>4.0957257116014163E-5</v>
      </c>
      <c r="X673" s="250">
        <v>0.92104488594554823</v>
      </c>
      <c r="Z673" s="218">
        <v>665</v>
      </c>
      <c r="AA673" s="435">
        <v>0.91957321559970562</v>
      </c>
    </row>
    <row r="674" spans="1:27">
      <c r="A674" s="429">
        <v>0.6849884259259259</v>
      </c>
      <c r="B674" s="218">
        <v>442</v>
      </c>
      <c r="C674" s="218" t="s">
        <v>314</v>
      </c>
      <c r="D674" s="218">
        <v>221</v>
      </c>
      <c r="E674" s="218" t="s">
        <v>315</v>
      </c>
      <c r="F674" s="218">
        <v>22.8</v>
      </c>
      <c r="G674" s="218" t="s">
        <v>316</v>
      </c>
      <c r="H674" s="218">
        <v>617</v>
      </c>
      <c r="I674" s="218">
        <f t="shared" si="37"/>
        <v>443</v>
      </c>
      <c r="J674" s="218">
        <f t="shared" si="38"/>
        <v>2.257336343115124E-3</v>
      </c>
      <c r="K674" s="218">
        <f t="shared" si="39"/>
        <v>4.7003747400727235E-2</v>
      </c>
      <c r="L674" s="218">
        <f t="shared" si="40"/>
        <v>422.7</v>
      </c>
      <c r="M674" s="218" t="s">
        <v>323</v>
      </c>
      <c r="P674" s="218">
        <v>669</v>
      </c>
      <c r="Q674" s="218">
        <v>426.7</v>
      </c>
      <c r="R674" s="218">
        <v>443</v>
      </c>
      <c r="S674" s="218">
        <v>382</v>
      </c>
      <c r="T674" s="218">
        <v>417.23333333333335</v>
      </c>
      <c r="U674" s="273">
        <v>2.3967404330111049E-3</v>
      </c>
      <c r="V674" s="218">
        <v>2.3967404330111049E-3</v>
      </c>
      <c r="W674" s="250">
        <v>4.0940889925670486E-5</v>
      </c>
      <c r="X674" s="250">
        <v>0.92104488594554823</v>
      </c>
      <c r="Z674" s="218">
        <v>666</v>
      </c>
      <c r="AA674" s="435">
        <v>0.91957321559970562</v>
      </c>
    </row>
    <row r="675" spans="1:27">
      <c r="A675" s="429">
        <v>0.68500000000000005</v>
      </c>
      <c r="B675" s="218">
        <v>444</v>
      </c>
      <c r="C675" s="218" t="s">
        <v>314</v>
      </c>
      <c r="D675" s="218">
        <v>222</v>
      </c>
      <c r="E675" s="218" t="s">
        <v>315</v>
      </c>
      <c r="F675" s="218">
        <v>22.8</v>
      </c>
      <c r="G675" s="218" t="s">
        <v>316</v>
      </c>
      <c r="H675" s="218">
        <v>618</v>
      </c>
      <c r="I675" s="218">
        <f t="shared" si="37"/>
        <v>442</v>
      </c>
      <c r="J675" s="218">
        <f t="shared" si="38"/>
        <v>2.2624434389140274E-3</v>
      </c>
      <c r="K675" s="218">
        <f t="shared" si="39"/>
        <v>4.6998640304928334E-2</v>
      </c>
      <c r="L675" s="218">
        <f t="shared" si="40"/>
        <v>421.7</v>
      </c>
      <c r="M675" s="218" t="s">
        <v>323</v>
      </c>
      <c r="P675" s="218">
        <v>670</v>
      </c>
      <c r="Q675" s="218">
        <v>428.7</v>
      </c>
      <c r="R675" s="218">
        <v>443</v>
      </c>
      <c r="S675" s="218">
        <v>382</v>
      </c>
      <c r="T675" s="218">
        <v>417.90000000000003</v>
      </c>
      <c r="U675" s="273">
        <v>2.3929169657812871E-3</v>
      </c>
      <c r="V675" s="218">
        <v>2.3948286993961962E-3</v>
      </c>
      <c r="W675" s="250">
        <v>4.0908233875638042E-5</v>
      </c>
      <c r="X675" s="250">
        <v>0.92251655629139084</v>
      </c>
      <c r="Z675" s="218">
        <v>667</v>
      </c>
      <c r="AA675" s="435">
        <v>0.92030905077262704</v>
      </c>
    </row>
    <row r="676" spans="1:27">
      <c r="A676" s="429">
        <v>0.68501157407407398</v>
      </c>
      <c r="B676" s="218">
        <v>441</v>
      </c>
      <c r="C676" s="218" t="s">
        <v>314</v>
      </c>
      <c r="D676" s="218">
        <v>221</v>
      </c>
      <c r="E676" s="218" t="s">
        <v>315</v>
      </c>
      <c r="F676" s="218">
        <v>22.8</v>
      </c>
      <c r="G676" s="218" t="s">
        <v>316</v>
      </c>
      <c r="H676" s="218">
        <v>619</v>
      </c>
      <c r="I676" s="218">
        <f t="shared" si="37"/>
        <v>444</v>
      </c>
      <c r="J676" s="218">
        <f t="shared" si="38"/>
        <v>2.2522522522522522E-3</v>
      </c>
      <c r="K676" s="218">
        <f t="shared" si="39"/>
        <v>4.700883149159011E-2</v>
      </c>
      <c r="L676" s="218">
        <f t="shared" si="40"/>
        <v>423.7</v>
      </c>
      <c r="M676" s="218" t="s">
        <v>323</v>
      </c>
      <c r="P676" s="218">
        <v>671</v>
      </c>
      <c r="Q676" s="218">
        <v>426.7</v>
      </c>
      <c r="R676" s="218">
        <v>443</v>
      </c>
      <c r="S676" s="218">
        <v>381</v>
      </c>
      <c r="T676" s="218">
        <v>416.90000000000003</v>
      </c>
      <c r="U676" s="273">
        <v>2.3986567522187572E-3</v>
      </c>
      <c r="V676" s="218">
        <v>2.3957868590000222E-3</v>
      </c>
      <c r="W676" s="250">
        <v>4.0924601065981712E-5</v>
      </c>
      <c r="X676" s="250">
        <v>0.92030905077262704</v>
      </c>
      <c r="Z676" s="218">
        <v>668</v>
      </c>
      <c r="AA676" s="435">
        <v>0.92104488594554823</v>
      </c>
    </row>
    <row r="677" spans="1:27">
      <c r="A677" s="429">
        <v>0.68502314814814813</v>
      </c>
      <c r="B677" s="218">
        <v>444</v>
      </c>
      <c r="C677" s="218" t="s">
        <v>314</v>
      </c>
      <c r="D677" s="218">
        <v>222</v>
      </c>
      <c r="E677" s="218" t="s">
        <v>315</v>
      </c>
      <c r="F677" s="218">
        <v>22.8</v>
      </c>
      <c r="G677" s="218" t="s">
        <v>316</v>
      </c>
      <c r="H677" s="218">
        <v>620</v>
      </c>
      <c r="I677" s="218">
        <f t="shared" si="37"/>
        <v>441</v>
      </c>
      <c r="J677" s="218">
        <f t="shared" si="38"/>
        <v>2.2675736961451248E-3</v>
      </c>
      <c r="K677" s="218">
        <f t="shared" si="39"/>
        <v>4.6993510047697237E-2</v>
      </c>
      <c r="L677" s="218">
        <f t="shared" si="40"/>
        <v>420.7</v>
      </c>
      <c r="M677" s="218" t="s">
        <v>323</v>
      </c>
      <c r="P677" s="218">
        <v>672</v>
      </c>
      <c r="Q677" s="218">
        <v>427.7</v>
      </c>
      <c r="R677" s="218">
        <v>444</v>
      </c>
      <c r="S677" s="218">
        <v>381</v>
      </c>
      <c r="T677" s="218">
        <v>417.56666666666666</v>
      </c>
      <c r="U677" s="273">
        <v>2.3948271733056597E-3</v>
      </c>
      <c r="V677" s="218">
        <v>2.3967419627622085E-3</v>
      </c>
      <c r="W677" s="250">
        <v>4.0940916056731939E-5</v>
      </c>
      <c r="X677" s="250">
        <v>0.92178072111846943</v>
      </c>
      <c r="Z677" s="218">
        <v>669</v>
      </c>
      <c r="AA677" s="435">
        <v>0.92104488594554823</v>
      </c>
    </row>
    <row r="678" spans="1:27">
      <c r="A678" s="429">
        <v>0.68503472222222228</v>
      </c>
      <c r="B678" s="218">
        <v>442</v>
      </c>
      <c r="C678" s="218" t="s">
        <v>314</v>
      </c>
      <c r="D678" s="218">
        <v>221</v>
      </c>
      <c r="E678" s="218" t="s">
        <v>315</v>
      </c>
      <c r="F678" s="218">
        <v>22.8</v>
      </c>
      <c r="G678" s="218" t="s">
        <v>316</v>
      </c>
      <c r="H678" s="218">
        <v>621</v>
      </c>
      <c r="I678" s="218">
        <f t="shared" si="37"/>
        <v>444</v>
      </c>
      <c r="J678" s="218">
        <f t="shared" si="38"/>
        <v>2.2522522522522522E-3</v>
      </c>
      <c r="K678" s="218">
        <f t="shared" si="39"/>
        <v>4.700883149159011E-2</v>
      </c>
      <c r="L678" s="218">
        <f t="shared" si="40"/>
        <v>423.7</v>
      </c>
      <c r="M678" s="218" t="s">
        <v>323</v>
      </c>
      <c r="P678" s="218">
        <v>673</v>
      </c>
      <c r="Q678" s="218">
        <v>427.7</v>
      </c>
      <c r="R678" s="218">
        <v>442</v>
      </c>
      <c r="S678" s="218">
        <v>384</v>
      </c>
      <c r="T678" s="218">
        <v>417.90000000000003</v>
      </c>
      <c r="U678" s="273">
        <v>2.3929169657812871E-3</v>
      </c>
      <c r="V678" s="218">
        <v>2.3938720695434734E-3</v>
      </c>
      <c r="W678" s="250">
        <v>4.0891892816355825E-5</v>
      </c>
      <c r="X678" s="250">
        <v>0.92251655629139084</v>
      </c>
      <c r="Z678" s="218">
        <v>670</v>
      </c>
      <c r="AA678" s="435">
        <v>0.92251655629139084</v>
      </c>
    </row>
    <row r="679" spans="1:27">
      <c r="A679" s="429">
        <v>0.68504629629629632</v>
      </c>
      <c r="B679" s="218">
        <v>443</v>
      </c>
      <c r="C679" s="218" t="s">
        <v>314</v>
      </c>
      <c r="D679" s="218">
        <v>222</v>
      </c>
      <c r="E679" s="218" t="s">
        <v>315</v>
      </c>
      <c r="F679" s="218">
        <v>22.8</v>
      </c>
      <c r="G679" s="218" t="s">
        <v>316</v>
      </c>
      <c r="H679" s="218">
        <v>622</v>
      </c>
      <c r="I679" s="218">
        <f t="shared" si="37"/>
        <v>442</v>
      </c>
      <c r="J679" s="218">
        <f t="shared" si="38"/>
        <v>2.2624434389140274E-3</v>
      </c>
      <c r="K679" s="218">
        <f t="shared" si="39"/>
        <v>4.6998640304928334E-2</v>
      </c>
      <c r="L679" s="218">
        <f t="shared" si="40"/>
        <v>421.7</v>
      </c>
      <c r="M679" s="218" t="s">
        <v>323</v>
      </c>
      <c r="P679" s="218">
        <v>674</v>
      </c>
      <c r="Q679" s="218">
        <v>428.7</v>
      </c>
      <c r="R679" s="218">
        <v>445</v>
      </c>
      <c r="S679" s="218">
        <v>384</v>
      </c>
      <c r="T679" s="218">
        <v>419.23333333333335</v>
      </c>
      <c r="U679" s="273">
        <v>2.3853065118867776E-3</v>
      </c>
      <c r="V679" s="218">
        <v>2.3891117388340323E-3</v>
      </c>
      <c r="W679" s="250">
        <v>4.0810577304295897E-5</v>
      </c>
      <c r="X679" s="250">
        <v>0.92545989698307585</v>
      </c>
      <c r="Z679" s="218">
        <v>671</v>
      </c>
      <c r="AA679" s="435">
        <v>0.92030905077262704</v>
      </c>
    </row>
    <row r="680" spans="1:27">
      <c r="A680" s="429">
        <v>0.68505787037037036</v>
      </c>
      <c r="B680" s="218">
        <v>443</v>
      </c>
      <c r="C680" s="218" t="s">
        <v>314</v>
      </c>
      <c r="D680" s="218">
        <v>222</v>
      </c>
      <c r="E680" s="218" t="s">
        <v>315</v>
      </c>
      <c r="F680" s="218">
        <v>22.8</v>
      </c>
      <c r="G680" s="218" t="s">
        <v>316</v>
      </c>
      <c r="H680" s="218">
        <v>623</v>
      </c>
      <c r="I680" s="218">
        <f t="shared" si="37"/>
        <v>443</v>
      </c>
      <c r="J680" s="218">
        <f t="shared" si="38"/>
        <v>2.257336343115124E-3</v>
      </c>
      <c r="K680" s="218">
        <f t="shared" si="39"/>
        <v>4.7003747400727235E-2</v>
      </c>
      <c r="L680" s="218">
        <f t="shared" si="40"/>
        <v>422.7</v>
      </c>
      <c r="M680" s="218" t="s">
        <v>323</v>
      </c>
      <c r="P680" s="218">
        <v>675</v>
      </c>
      <c r="Q680" s="218">
        <v>428.7</v>
      </c>
      <c r="R680" s="218">
        <v>442</v>
      </c>
      <c r="S680" s="218">
        <v>384</v>
      </c>
      <c r="T680" s="218">
        <v>418.23333333333335</v>
      </c>
      <c r="U680" s="273">
        <v>2.3910098031401927E-3</v>
      </c>
      <c r="V680" s="218">
        <v>2.3881581575134854E-3</v>
      </c>
      <c r="W680" s="250">
        <v>4.0794288319747562E-5</v>
      </c>
      <c r="X680" s="250">
        <v>0.92325239146431204</v>
      </c>
      <c r="Z680" s="218">
        <v>672</v>
      </c>
      <c r="AA680" s="435">
        <v>0.92178072111846943</v>
      </c>
    </row>
    <row r="681" spans="1:27">
      <c r="A681" s="429">
        <v>0.6850694444444444</v>
      </c>
      <c r="B681" s="218">
        <v>443</v>
      </c>
      <c r="C681" s="218" t="s">
        <v>314</v>
      </c>
      <c r="D681" s="218">
        <v>222</v>
      </c>
      <c r="E681" s="218" t="s">
        <v>315</v>
      </c>
      <c r="F681" s="218">
        <v>22.8</v>
      </c>
      <c r="G681" s="218" t="s">
        <v>316</v>
      </c>
      <c r="H681" s="218">
        <v>624</v>
      </c>
      <c r="I681" s="218">
        <f t="shared" si="37"/>
        <v>443</v>
      </c>
      <c r="J681" s="218">
        <f t="shared" si="38"/>
        <v>2.257336343115124E-3</v>
      </c>
      <c r="K681" s="218">
        <f t="shared" si="39"/>
        <v>4.7003747400727235E-2</v>
      </c>
      <c r="L681" s="218">
        <f t="shared" si="40"/>
        <v>422.7</v>
      </c>
      <c r="M681" s="218" t="s">
        <v>323</v>
      </c>
      <c r="P681" s="218">
        <v>676</v>
      </c>
      <c r="Q681" s="218">
        <v>428.7</v>
      </c>
      <c r="R681" s="218">
        <v>444</v>
      </c>
      <c r="S681" s="218">
        <v>384</v>
      </c>
      <c r="T681" s="218">
        <v>418.90000000000003</v>
      </c>
      <c r="U681" s="273">
        <v>2.3872045834327999E-3</v>
      </c>
      <c r="V681" s="218">
        <v>2.3891071932864963E-3</v>
      </c>
      <c r="W681" s="250">
        <v>4.0810499657689386E-5</v>
      </c>
      <c r="X681" s="250">
        <v>0.92472406181015465</v>
      </c>
      <c r="Z681" s="218">
        <v>673</v>
      </c>
      <c r="AA681" s="435">
        <v>0.92251655629139084</v>
      </c>
    </row>
    <row r="682" spans="1:27">
      <c r="A682" s="429">
        <v>0.68508101851851855</v>
      </c>
      <c r="B682" s="218">
        <v>444</v>
      </c>
      <c r="C682" s="218" t="s">
        <v>314</v>
      </c>
      <c r="D682" s="218">
        <v>222</v>
      </c>
      <c r="E682" s="218" t="s">
        <v>315</v>
      </c>
      <c r="F682" s="218">
        <v>22.8</v>
      </c>
      <c r="G682" s="218" t="s">
        <v>316</v>
      </c>
      <c r="H682" s="218">
        <v>625</v>
      </c>
      <c r="I682" s="218">
        <f t="shared" si="37"/>
        <v>443</v>
      </c>
      <c r="J682" s="218">
        <f t="shared" si="38"/>
        <v>2.257336343115124E-3</v>
      </c>
      <c r="K682" s="218">
        <f t="shared" si="39"/>
        <v>4.7003747400727235E-2</v>
      </c>
      <c r="L682" s="218">
        <f t="shared" si="40"/>
        <v>422.7</v>
      </c>
      <c r="M682" s="218" t="s">
        <v>323</v>
      </c>
      <c r="P682" s="218">
        <v>677</v>
      </c>
      <c r="Q682" s="218">
        <v>428.7</v>
      </c>
      <c r="R682" s="218">
        <v>443</v>
      </c>
      <c r="S682" s="218">
        <v>385</v>
      </c>
      <c r="T682" s="218">
        <v>418.90000000000003</v>
      </c>
      <c r="U682" s="273">
        <v>2.3872045834327999E-3</v>
      </c>
      <c r="V682" s="218">
        <v>2.3872045834327999E-3</v>
      </c>
      <c r="W682" s="250">
        <v>4.0777999458869845E-5</v>
      </c>
      <c r="X682" s="250">
        <v>0.92472406181015465</v>
      </c>
      <c r="Z682" s="218">
        <v>674</v>
      </c>
      <c r="AA682" s="435">
        <v>0.92545989698307585</v>
      </c>
    </row>
    <row r="683" spans="1:27">
      <c r="A683" s="429">
        <v>0.6850925925925927</v>
      </c>
      <c r="B683" s="218">
        <v>444</v>
      </c>
      <c r="C683" s="218" t="s">
        <v>314</v>
      </c>
      <c r="D683" s="218">
        <v>222</v>
      </c>
      <c r="E683" s="218" t="s">
        <v>315</v>
      </c>
      <c r="F683" s="218">
        <v>22.8</v>
      </c>
      <c r="G683" s="218" t="s">
        <v>316</v>
      </c>
      <c r="H683" s="218">
        <v>626</v>
      </c>
      <c r="I683" s="218">
        <f t="shared" si="37"/>
        <v>444</v>
      </c>
      <c r="J683" s="218">
        <f t="shared" si="38"/>
        <v>2.2522522522522522E-3</v>
      </c>
      <c r="K683" s="218">
        <f t="shared" si="39"/>
        <v>4.700883149159011E-2</v>
      </c>
      <c r="L683" s="218">
        <f t="shared" si="40"/>
        <v>423.7</v>
      </c>
      <c r="M683" s="218" t="s">
        <v>323</v>
      </c>
      <c r="P683" s="218">
        <v>678</v>
      </c>
      <c r="Q683" s="218">
        <v>428.7</v>
      </c>
      <c r="R683" s="218">
        <v>444</v>
      </c>
      <c r="S683" s="218">
        <v>385</v>
      </c>
      <c r="T683" s="218">
        <v>419.23333333333335</v>
      </c>
      <c r="U683" s="273">
        <v>2.3853065118867776E-3</v>
      </c>
      <c r="V683" s="218">
        <v>2.3862555476597885E-3</v>
      </c>
      <c r="W683" s="250">
        <v>4.0761788120928021E-5</v>
      </c>
      <c r="X683" s="250">
        <v>0.92545989698307585</v>
      </c>
      <c r="Z683" s="218">
        <v>675</v>
      </c>
      <c r="AA683" s="435">
        <v>0.92325239146431204</v>
      </c>
    </row>
    <row r="684" spans="1:27">
      <c r="A684" s="429">
        <v>0.68510416666666663</v>
      </c>
      <c r="B684" s="218">
        <v>443</v>
      </c>
      <c r="C684" s="218" t="s">
        <v>314</v>
      </c>
      <c r="D684" s="218">
        <v>222</v>
      </c>
      <c r="E684" s="218" t="s">
        <v>315</v>
      </c>
      <c r="F684" s="218">
        <v>22.8</v>
      </c>
      <c r="G684" s="218" t="s">
        <v>316</v>
      </c>
      <c r="H684" s="218">
        <v>627</v>
      </c>
      <c r="I684" s="218">
        <f t="shared" si="37"/>
        <v>444</v>
      </c>
      <c r="J684" s="218">
        <f t="shared" si="38"/>
        <v>2.2522522522522522E-3</v>
      </c>
      <c r="K684" s="218">
        <f t="shared" si="39"/>
        <v>4.700883149159011E-2</v>
      </c>
      <c r="L684" s="218">
        <f t="shared" si="40"/>
        <v>423.7</v>
      </c>
      <c r="M684" s="218" t="s">
        <v>323</v>
      </c>
      <c r="P684" s="218">
        <v>679</v>
      </c>
      <c r="Q684" s="218">
        <v>427.7</v>
      </c>
      <c r="R684" s="218">
        <v>444</v>
      </c>
      <c r="S684" s="218">
        <v>386</v>
      </c>
      <c r="T684" s="218">
        <v>419.23333333333335</v>
      </c>
      <c r="U684" s="273">
        <v>2.3853065118867776E-3</v>
      </c>
      <c r="V684" s="218">
        <v>2.3853065118867776E-3</v>
      </c>
      <c r="W684" s="250">
        <v>4.0745576782986204E-5</v>
      </c>
      <c r="X684" s="250">
        <v>0.92545989698307585</v>
      </c>
      <c r="Z684" s="218">
        <v>676</v>
      </c>
      <c r="AA684" s="435">
        <v>0.92472406181015465</v>
      </c>
    </row>
    <row r="685" spans="1:27">
      <c r="A685" s="429">
        <v>0.68511574074074078</v>
      </c>
      <c r="B685" s="218">
        <v>444</v>
      </c>
      <c r="C685" s="218" t="s">
        <v>314</v>
      </c>
      <c r="D685" s="218">
        <v>222</v>
      </c>
      <c r="E685" s="218" t="s">
        <v>315</v>
      </c>
      <c r="F685" s="218">
        <v>22.8</v>
      </c>
      <c r="G685" s="218" t="s">
        <v>316</v>
      </c>
      <c r="H685" s="218">
        <v>628</v>
      </c>
      <c r="I685" s="218">
        <f t="shared" si="37"/>
        <v>443</v>
      </c>
      <c r="J685" s="218">
        <f t="shared" si="38"/>
        <v>2.257336343115124E-3</v>
      </c>
      <c r="K685" s="218">
        <f t="shared" si="39"/>
        <v>4.7003747400727235E-2</v>
      </c>
      <c r="L685" s="218">
        <f t="shared" si="40"/>
        <v>422.7</v>
      </c>
      <c r="M685" s="218" t="s">
        <v>323</v>
      </c>
      <c r="P685" s="218">
        <v>680</v>
      </c>
      <c r="Q685" s="218">
        <v>428.7</v>
      </c>
      <c r="R685" s="218">
        <v>444</v>
      </c>
      <c r="S685" s="218">
        <v>386</v>
      </c>
      <c r="T685" s="218">
        <v>419.56666666666666</v>
      </c>
      <c r="U685" s="273">
        <v>2.3834114562643997E-3</v>
      </c>
      <c r="V685" s="218">
        <v>2.3843589840755889E-3</v>
      </c>
      <c r="W685" s="250">
        <v>4.0729391203903428E-5</v>
      </c>
      <c r="X685" s="250">
        <v>0.92619573215599704</v>
      </c>
      <c r="Z685" s="218">
        <v>677</v>
      </c>
      <c r="AA685" s="435">
        <v>0.92472406181015465</v>
      </c>
    </row>
    <row r="686" spans="1:27">
      <c r="A686" s="429">
        <v>0.68512731481481481</v>
      </c>
      <c r="B686" s="218">
        <v>444</v>
      </c>
      <c r="C686" s="218" t="s">
        <v>314</v>
      </c>
      <c r="D686" s="218">
        <v>222</v>
      </c>
      <c r="E686" s="218" t="s">
        <v>315</v>
      </c>
      <c r="F686" s="218">
        <v>22.8</v>
      </c>
      <c r="G686" s="218" t="s">
        <v>316</v>
      </c>
      <c r="H686" s="218">
        <v>629</v>
      </c>
      <c r="I686" s="218">
        <f t="shared" si="37"/>
        <v>444</v>
      </c>
      <c r="J686" s="218">
        <f t="shared" si="38"/>
        <v>2.2522522522522522E-3</v>
      </c>
      <c r="K686" s="218">
        <f t="shared" si="39"/>
        <v>4.700883149159011E-2</v>
      </c>
      <c r="L686" s="218">
        <f t="shared" si="40"/>
        <v>423.7</v>
      </c>
      <c r="M686" s="218" t="s">
        <v>323</v>
      </c>
      <c r="P686" s="218">
        <v>681</v>
      </c>
      <c r="Q686" s="218">
        <v>428.7</v>
      </c>
      <c r="R686" s="218">
        <v>444</v>
      </c>
      <c r="S686" s="218">
        <v>386</v>
      </c>
      <c r="T686" s="218">
        <v>419.56666666666666</v>
      </c>
      <c r="U686" s="273">
        <v>2.3834114562643997E-3</v>
      </c>
      <c r="V686" s="218">
        <v>2.3834114562643997E-3</v>
      </c>
      <c r="W686" s="250">
        <v>4.0713205624820646E-5</v>
      </c>
      <c r="X686" s="250">
        <v>0.92619573215599704</v>
      </c>
      <c r="Z686" s="218">
        <v>678</v>
      </c>
      <c r="AA686" s="435">
        <v>0.92545989698307585</v>
      </c>
    </row>
    <row r="687" spans="1:27">
      <c r="A687" s="429">
        <v>0.68513888888888896</v>
      </c>
      <c r="B687" s="218">
        <v>444</v>
      </c>
      <c r="C687" s="218" t="s">
        <v>314</v>
      </c>
      <c r="D687" s="218">
        <v>222</v>
      </c>
      <c r="E687" s="218" t="s">
        <v>315</v>
      </c>
      <c r="F687" s="218">
        <v>22.8</v>
      </c>
      <c r="G687" s="218" t="s">
        <v>316</v>
      </c>
      <c r="H687" s="218">
        <v>630</v>
      </c>
      <c r="I687" s="218">
        <f t="shared" si="37"/>
        <v>444</v>
      </c>
      <c r="J687" s="218">
        <f t="shared" si="38"/>
        <v>2.2522522522522522E-3</v>
      </c>
      <c r="K687" s="218">
        <f t="shared" si="39"/>
        <v>4.700883149159011E-2</v>
      </c>
      <c r="L687" s="218">
        <f t="shared" si="40"/>
        <v>423.7</v>
      </c>
      <c r="M687" s="218" t="s">
        <v>323</v>
      </c>
      <c r="P687" s="218">
        <v>682</v>
      </c>
      <c r="Q687" s="218">
        <v>428.7</v>
      </c>
      <c r="R687" s="218">
        <v>444</v>
      </c>
      <c r="S687" s="218">
        <v>386</v>
      </c>
      <c r="T687" s="218">
        <v>419.56666666666666</v>
      </c>
      <c r="U687" s="273">
        <v>2.3834114562643997E-3</v>
      </c>
      <c r="V687" s="218">
        <v>2.3834114562643997E-3</v>
      </c>
      <c r="W687" s="250">
        <v>4.0713205624820646E-5</v>
      </c>
      <c r="X687" s="250">
        <v>0.92619573215599704</v>
      </c>
      <c r="Z687" s="218">
        <v>679</v>
      </c>
      <c r="AA687" s="435">
        <v>0.92545989698307585</v>
      </c>
    </row>
    <row r="688" spans="1:27">
      <c r="A688" s="429">
        <v>0.68515046296296289</v>
      </c>
      <c r="B688" s="218">
        <v>445</v>
      </c>
      <c r="C688" s="218" t="s">
        <v>314</v>
      </c>
      <c r="D688" s="218">
        <v>223</v>
      </c>
      <c r="E688" s="218" t="s">
        <v>315</v>
      </c>
      <c r="F688" s="218">
        <v>22.8</v>
      </c>
      <c r="G688" s="218" t="s">
        <v>316</v>
      </c>
      <c r="H688" s="218">
        <v>631</v>
      </c>
      <c r="I688" s="218">
        <f t="shared" si="37"/>
        <v>444</v>
      </c>
      <c r="J688" s="218">
        <f t="shared" si="38"/>
        <v>2.2522522522522522E-3</v>
      </c>
      <c r="K688" s="218">
        <f t="shared" si="39"/>
        <v>4.700883149159011E-2</v>
      </c>
      <c r="L688" s="218">
        <f t="shared" si="40"/>
        <v>423.7</v>
      </c>
      <c r="M688" s="218" t="s">
        <v>323</v>
      </c>
      <c r="P688" s="218">
        <v>683</v>
      </c>
      <c r="Q688" s="218">
        <v>429.7</v>
      </c>
      <c r="R688" s="218">
        <v>444</v>
      </c>
      <c r="S688" s="218">
        <v>387</v>
      </c>
      <c r="T688" s="218">
        <v>420.23333333333335</v>
      </c>
      <c r="U688" s="273">
        <v>2.3796303640834454E-3</v>
      </c>
      <c r="V688" s="218">
        <v>2.3815209101739226E-3</v>
      </c>
      <c r="W688" s="250">
        <v>4.0680911498045977E-5</v>
      </c>
      <c r="X688" s="250">
        <v>0.92766740250183966</v>
      </c>
      <c r="Z688" s="218">
        <v>680</v>
      </c>
      <c r="AA688" s="435">
        <v>0.92619573215599704</v>
      </c>
    </row>
    <row r="689" spans="1:27">
      <c r="A689" s="429">
        <v>0.68516203703703704</v>
      </c>
      <c r="B689" s="218">
        <v>444</v>
      </c>
      <c r="C689" s="218" t="s">
        <v>314</v>
      </c>
      <c r="D689" s="218">
        <v>222</v>
      </c>
      <c r="E689" s="218" t="s">
        <v>315</v>
      </c>
      <c r="F689" s="218">
        <v>22.8</v>
      </c>
      <c r="G689" s="218" t="s">
        <v>316</v>
      </c>
      <c r="H689" s="218">
        <v>632</v>
      </c>
      <c r="I689" s="218">
        <f t="shared" si="37"/>
        <v>445</v>
      </c>
      <c r="J689" s="218">
        <f t="shared" si="38"/>
        <v>2.2471910112359553E-3</v>
      </c>
      <c r="K689" s="218">
        <f t="shared" si="39"/>
        <v>4.7013892732606408E-2</v>
      </c>
      <c r="L689" s="218">
        <f t="shared" si="40"/>
        <v>424.7</v>
      </c>
      <c r="M689" s="218" t="s">
        <v>323</v>
      </c>
      <c r="P689" s="218">
        <v>684</v>
      </c>
      <c r="Q689" s="218">
        <v>428.7</v>
      </c>
      <c r="R689" s="218">
        <v>443</v>
      </c>
      <c r="S689" s="218">
        <v>387</v>
      </c>
      <c r="T689" s="218">
        <v>419.56666666666666</v>
      </c>
      <c r="U689" s="273">
        <v>2.3834114562643997E-3</v>
      </c>
      <c r="V689" s="218">
        <v>2.3815209101739226E-3</v>
      </c>
      <c r="W689" s="250">
        <v>4.0680911498045977E-5</v>
      </c>
      <c r="X689" s="250">
        <v>0.92619573215599704</v>
      </c>
      <c r="Z689" s="218">
        <v>681</v>
      </c>
      <c r="AA689" s="435">
        <v>0.92619573215599704</v>
      </c>
    </row>
    <row r="690" spans="1:27">
      <c r="A690" s="429">
        <v>0.68517361111111119</v>
      </c>
      <c r="B690" s="218">
        <v>446</v>
      </c>
      <c r="C690" s="218" t="s">
        <v>314</v>
      </c>
      <c r="D690" s="218">
        <v>223</v>
      </c>
      <c r="E690" s="218" t="s">
        <v>315</v>
      </c>
      <c r="F690" s="218">
        <v>22.8</v>
      </c>
      <c r="G690" s="218" t="s">
        <v>316</v>
      </c>
      <c r="H690" s="218">
        <v>633</v>
      </c>
      <c r="I690" s="218">
        <f t="shared" si="37"/>
        <v>444</v>
      </c>
      <c r="J690" s="218">
        <f t="shared" si="38"/>
        <v>2.2522522522522522E-3</v>
      </c>
      <c r="K690" s="218">
        <f t="shared" si="39"/>
        <v>4.700883149159011E-2</v>
      </c>
      <c r="L690" s="218">
        <f t="shared" si="40"/>
        <v>423.7</v>
      </c>
      <c r="M690" s="218" t="s">
        <v>323</v>
      </c>
      <c r="P690" s="218">
        <v>685</v>
      </c>
      <c r="Q690" s="218">
        <v>429.7</v>
      </c>
      <c r="R690" s="218">
        <v>445</v>
      </c>
      <c r="S690" s="218">
        <v>386</v>
      </c>
      <c r="T690" s="218">
        <v>420.23333333333335</v>
      </c>
      <c r="U690" s="273">
        <v>2.3796303640834454E-3</v>
      </c>
      <c r="V690" s="218">
        <v>2.3815209101739226E-3</v>
      </c>
      <c r="W690" s="250">
        <v>4.0680911498045977E-5</v>
      </c>
      <c r="X690" s="250">
        <v>0.92766740250183966</v>
      </c>
      <c r="Z690" s="218">
        <v>682</v>
      </c>
      <c r="AA690" s="435">
        <v>0.92619573215599704</v>
      </c>
    </row>
    <row r="691" spans="1:27">
      <c r="A691" s="429">
        <v>0.68518518518518512</v>
      </c>
      <c r="B691" s="218">
        <v>443</v>
      </c>
      <c r="C691" s="218" t="s">
        <v>314</v>
      </c>
      <c r="D691" s="218">
        <v>222</v>
      </c>
      <c r="E691" s="218" t="s">
        <v>315</v>
      </c>
      <c r="F691" s="218">
        <v>22.8</v>
      </c>
      <c r="G691" s="218" t="s">
        <v>316</v>
      </c>
      <c r="H691" s="218">
        <v>634</v>
      </c>
      <c r="I691" s="218">
        <f t="shared" si="37"/>
        <v>446</v>
      </c>
      <c r="J691" s="218">
        <f t="shared" si="38"/>
        <v>2.242152466367713E-3</v>
      </c>
      <c r="K691" s="218">
        <f t="shared" si="39"/>
        <v>4.7018931277474647E-2</v>
      </c>
      <c r="L691" s="218">
        <f t="shared" si="40"/>
        <v>425.7</v>
      </c>
      <c r="M691" s="218" t="s">
        <v>323</v>
      </c>
      <c r="P691" s="218">
        <v>686</v>
      </c>
      <c r="Q691" s="218">
        <v>428.7</v>
      </c>
      <c r="R691" s="218">
        <v>443</v>
      </c>
      <c r="S691" s="218">
        <v>386</v>
      </c>
      <c r="T691" s="218">
        <v>419.23333333333335</v>
      </c>
      <c r="U691" s="273">
        <v>2.3853065118867776E-3</v>
      </c>
      <c r="V691" s="218">
        <v>2.3824684379851113E-3</v>
      </c>
      <c r="W691" s="250">
        <v>4.0697097077128752E-5</v>
      </c>
      <c r="X691" s="250">
        <v>0.92545989698307585</v>
      </c>
      <c r="Z691" s="218">
        <v>683</v>
      </c>
      <c r="AA691" s="435">
        <v>0.92766740250183966</v>
      </c>
    </row>
    <row r="692" spans="1:27">
      <c r="A692" s="429">
        <v>0.68519675925925927</v>
      </c>
      <c r="B692" s="218">
        <v>446</v>
      </c>
      <c r="C692" s="218" t="s">
        <v>314</v>
      </c>
      <c r="D692" s="218">
        <v>223</v>
      </c>
      <c r="E692" s="218" t="s">
        <v>315</v>
      </c>
      <c r="F692" s="218">
        <v>22.8</v>
      </c>
      <c r="G692" s="218" t="s">
        <v>316</v>
      </c>
      <c r="H692" s="218">
        <v>635</v>
      </c>
      <c r="I692" s="218">
        <f t="shared" si="37"/>
        <v>443</v>
      </c>
      <c r="J692" s="218">
        <f t="shared" si="38"/>
        <v>2.257336343115124E-3</v>
      </c>
      <c r="K692" s="218">
        <f t="shared" si="39"/>
        <v>4.7003747400727235E-2</v>
      </c>
      <c r="L692" s="218">
        <f t="shared" si="40"/>
        <v>422.7</v>
      </c>
      <c r="M692" s="218" t="s">
        <v>323</v>
      </c>
      <c r="P692" s="218">
        <v>687</v>
      </c>
      <c r="Q692" s="218">
        <v>430.7</v>
      </c>
      <c r="R692" s="218">
        <v>444</v>
      </c>
      <c r="S692" s="218">
        <v>386</v>
      </c>
      <c r="T692" s="218">
        <v>420.23333333333335</v>
      </c>
      <c r="U692" s="273">
        <v>2.3796303640834454E-3</v>
      </c>
      <c r="V692" s="218">
        <v>2.3824684379851113E-3</v>
      </c>
      <c r="W692" s="250">
        <v>4.0697097077128752E-5</v>
      </c>
      <c r="X692" s="250">
        <v>0.92766740250183966</v>
      </c>
      <c r="Z692" s="218">
        <v>684</v>
      </c>
      <c r="AA692" s="435">
        <v>0.92619573215599704</v>
      </c>
    </row>
    <row r="693" spans="1:27">
      <c r="A693" s="429">
        <v>0.68520833333333331</v>
      </c>
      <c r="B693" s="218">
        <v>444</v>
      </c>
      <c r="C693" s="218" t="s">
        <v>314</v>
      </c>
      <c r="D693" s="218">
        <v>222</v>
      </c>
      <c r="E693" s="218" t="s">
        <v>315</v>
      </c>
      <c r="F693" s="218">
        <v>22.8</v>
      </c>
      <c r="G693" s="218" t="s">
        <v>316</v>
      </c>
      <c r="H693" s="218">
        <v>636</v>
      </c>
      <c r="I693" s="218">
        <f t="shared" si="37"/>
        <v>446</v>
      </c>
      <c r="J693" s="218">
        <f t="shared" si="38"/>
        <v>2.242152466367713E-3</v>
      </c>
      <c r="K693" s="218">
        <f t="shared" si="39"/>
        <v>4.7018931277474647E-2</v>
      </c>
      <c r="L693" s="218">
        <f t="shared" si="40"/>
        <v>425.7</v>
      </c>
      <c r="M693" s="218" t="s">
        <v>323</v>
      </c>
      <c r="P693" s="218">
        <v>688</v>
      </c>
      <c r="Q693" s="218">
        <v>427.7</v>
      </c>
      <c r="R693" s="218">
        <v>444</v>
      </c>
      <c r="S693" s="218">
        <v>386</v>
      </c>
      <c r="T693" s="218">
        <v>419.23333333333335</v>
      </c>
      <c r="U693" s="273">
        <v>2.3853065118867776E-3</v>
      </c>
      <c r="V693" s="218">
        <v>2.3824684379851113E-3</v>
      </c>
      <c r="W693" s="250">
        <v>4.0697097077128752E-5</v>
      </c>
      <c r="X693" s="250">
        <v>0.92545989698307585</v>
      </c>
      <c r="Z693" s="218">
        <v>685</v>
      </c>
      <c r="AA693" s="435">
        <v>0.92766740250183966</v>
      </c>
    </row>
    <row r="694" spans="1:27">
      <c r="A694" s="429">
        <v>0.68521990740740746</v>
      </c>
      <c r="B694" s="218">
        <v>445</v>
      </c>
      <c r="C694" s="218" t="s">
        <v>314</v>
      </c>
      <c r="D694" s="218">
        <v>223</v>
      </c>
      <c r="E694" s="218" t="s">
        <v>315</v>
      </c>
      <c r="F694" s="218">
        <v>22.8</v>
      </c>
      <c r="G694" s="218" t="s">
        <v>316</v>
      </c>
      <c r="H694" s="218">
        <v>637</v>
      </c>
      <c r="I694" s="218">
        <f t="shared" si="37"/>
        <v>444</v>
      </c>
      <c r="J694" s="218">
        <f t="shared" si="38"/>
        <v>2.2522522522522522E-3</v>
      </c>
      <c r="K694" s="218">
        <f t="shared" si="39"/>
        <v>4.700883149159011E-2</v>
      </c>
      <c r="L694" s="218">
        <f t="shared" si="40"/>
        <v>423.7</v>
      </c>
      <c r="M694" s="218" t="s">
        <v>323</v>
      </c>
      <c r="P694" s="218">
        <v>689</v>
      </c>
      <c r="Q694" s="218">
        <v>429.7</v>
      </c>
      <c r="R694" s="218">
        <v>445</v>
      </c>
      <c r="S694" s="218">
        <v>387</v>
      </c>
      <c r="T694" s="218">
        <v>420.56666666666666</v>
      </c>
      <c r="U694" s="273">
        <v>2.3777443132281841E-3</v>
      </c>
      <c r="V694" s="218">
        <v>2.381525412557481E-3</v>
      </c>
      <c r="W694" s="250">
        <v>4.0680988407329572E-5</v>
      </c>
      <c r="X694" s="250">
        <v>0.92840323767476085</v>
      </c>
      <c r="Z694" s="218">
        <v>686</v>
      </c>
      <c r="AA694" s="435">
        <v>0.92545989698307585</v>
      </c>
    </row>
    <row r="695" spans="1:27">
      <c r="A695" s="429">
        <v>0.68523148148148139</v>
      </c>
      <c r="B695" s="218">
        <v>445</v>
      </c>
      <c r="C695" s="218" t="s">
        <v>314</v>
      </c>
      <c r="D695" s="218">
        <v>223</v>
      </c>
      <c r="E695" s="218" t="s">
        <v>315</v>
      </c>
      <c r="F695" s="218">
        <v>22.8</v>
      </c>
      <c r="G695" s="218" t="s">
        <v>316</v>
      </c>
      <c r="H695" s="218">
        <v>638</v>
      </c>
      <c r="I695" s="218">
        <f t="shared" si="37"/>
        <v>445</v>
      </c>
      <c r="J695" s="218">
        <f t="shared" si="38"/>
        <v>2.2471910112359553E-3</v>
      </c>
      <c r="K695" s="218">
        <f t="shared" si="39"/>
        <v>4.7013892732606408E-2</v>
      </c>
      <c r="L695" s="218">
        <f t="shared" si="40"/>
        <v>424.7</v>
      </c>
      <c r="M695" s="218" t="s">
        <v>323</v>
      </c>
      <c r="P695" s="218">
        <v>690</v>
      </c>
      <c r="Q695" s="218">
        <v>428.7</v>
      </c>
      <c r="R695" s="218">
        <v>445</v>
      </c>
      <c r="S695" s="218">
        <v>387</v>
      </c>
      <c r="T695" s="218">
        <v>420.23333333333335</v>
      </c>
      <c r="U695" s="273">
        <v>2.3796303640834454E-3</v>
      </c>
      <c r="V695" s="218">
        <v>2.3786873386558148E-3</v>
      </c>
      <c r="W695" s="250">
        <v>4.063250870147212E-5</v>
      </c>
      <c r="X695" s="250">
        <v>0.92766740250183966</v>
      </c>
      <c r="Z695" s="218">
        <v>687</v>
      </c>
      <c r="AA695" s="435">
        <v>0.92766740250183966</v>
      </c>
    </row>
    <row r="696" spans="1:27">
      <c r="A696" s="429">
        <v>0.68524305555555554</v>
      </c>
      <c r="B696" s="218">
        <v>445</v>
      </c>
      <c r="C696" s="218" t="s">
        <v>314</v>
      </c>
      <c r="D696" s="218">
        <v>223</v>
      </c>
      <c r="E696" s="218" t="s">
        <v>315</v>
      </c>
      <c r="F696" s="218">
        <v>22.8</v>
      </c>
      <c r="G696" s="218" t="s">
        <v>316</v>
      </c>
      <c r="H696" s="218">
        <v>639</v>
      </c>
      <c r="I696" s="218">
        <f t="shared" si="37"/>
        <v>445</v>
      </c>
      <c r="J696" s="218">
        <f t="shared" si="38"/>
        <v>2.2471910112359553E-3</v>
      </c>
      <c r="K696" s="218">
        <f t="shared" si="39"/>
        <v>4.7013892732606408E-2</v>
      </c>
      <c r="L696" s="218">
        <f t="shared" si="40"/>
        <v>424.7</v>
      </c>
      <c r="M696" s="218" t="s">
        <v>323</v>
      </c>
      <c r="P696" s="218">
        <v>691</v>
      </c>
      <c r="Q696" s="218">
        <v>429.7</v>
      </c>
      <c r="R696" s="218">
        <v>444</v>
      </c>
      <c r="S696" s="218">
        <v>387</v>
      </c>
      <c r="T696" s="218">
        <v>420.23333333333335</v>
      </c>
      <c r="U696" s="273">
        <v>2.3796303640834454E-3</v>
      </c>
      <c r="V696" s="218">
        <v>2.3796303640834454E-3</v>
      </c>
      <c r="W696" s="250">
        <v>4.0648617371271308E-5</v>
      </c>
      <c r="X696" s="250">
        <v>0.92766740250183966</v>
      </c>
      <c r="Z696" s="218">
        <v>688</v>
      </c>
      <c r="AA696" s="435">
        <v>0.92545989698307585</v>
      </c>
    </row>
    <row r="697" spans="1:27">
      <c r="A697" s="429">
        <v>0.68525462962962969</v>
      </c>
      <c r="B697" s="218">
        <v>446</v>
      </c>
      <c r="C697" s="218" t="s">
        <v>314</v>
      </c>
      <c r="D697" s="218">
        <v>223</v>
      </c>
      <c r="E697" s="218" t="s">
        <v>315</v>
      </c>
      <c r="F697" s="218">
        <v>22.8</v>
      </c>
      <c r="G697" s="218" t="s">
        <v>316</v>
      </c>
      <c r="H697" s="218">
        <v>640</v>
      </c>
      <c r="I697" s="218">
        <f t="shared" si="37"/>
        <v>445</v>
      </c>
      <c r="J697" s="218">
        <f t="shared" si="38"/>
        <v>2.2471910112359553E-3</v>
      </c>
      <c r="K697" s="218">
        <f t="shared" si="39"/>
        <v>4.7013892732606408E-2</v>
      </c>
      <c r="L697" s="218">
        <f t="shared" si="40"/>
        <v>424.7</v>
      </c>
      <c r="M697" s="218" t="s">
        <v>323</v>
      </c>
      <c r="P697" s="218">
        <v>692</v>
      </c>
      <c r="Q697" s="218">
        <v>429.7</v>
      </c>
      <c r="R697" s="218">
        <v>445</v>
      </c>
      <c r="S697" s="218">
        <v>387</v>
      </c>
      <c r="T697" s="218">
        <v>420.56666666666666</v>
      </c>
      <c r="U697" s="273">
        <v>2.3777443132281841E-3</v>
      </c>
      <c r="V697" s="218">
        <v>2.3786873386558148E-3</v>
      </c>
      <c r="W697" s="250">
        <v>4.063250870147212E-5</v>
      </c>
      <c r="X697" s="250">
        <v>0.92840323767476085</v>
      </c>
      <c r="Z697" s="218">
        <v>689</v>
      </c>
      <c r="AA697" s="435">
        <v>0.92840323767476085</v>
      </c>
    </row>
    <row r="698" spans="1:27">
      <c r="A698" s="429">
        <v>0.68526620370370372</v>
      </c>
      <c r="B698" s="218">
        <v>446</v>
      </c>
      <c r="C698" s="218" t="s">
        <v>314</v>
      </c>
      <c r="D698" s="218">
        <v>223</v>
      </c>
      <c r="E698" s="218" t="s">
        <v>315</v>
      </c>
      <c r="F698" s="218">
        <v>22.8</v>
      </c>
      <c r="G698" s="218" t="s">
        <v>316</v>
      </c>
      <c r="H698" s="218">
        <v>641</v>
      </c>
      <c r="I698" s="218">
        <f t="shared" ref="I698:I761" si="41">B697</f>
        <v>446</v>
      </c>
      <c r="J698" s="218">
        <f t="shared" ref="J698:J761" si="42">1/I698</f>
        <v>2.242152466367713E-3</v>
      </c>
      <c r="K698" s="218">
        <f t="shared" ref="K698:K761" si="43">$J$57-J698</f>
        <v>4.7018931277474647E-2</v>
      </c>
      <c r="L698" s="218">
        <f t="shared" ref="L698:L761" si="44">(B697-$J$55)</f>
        <v>425.7</v>
      </c>
      <c r="M698" s="218" t="s">
        <v>323</v>
      </c>
      <c r="P698" s="218">
        <v>693</v>
      </c>
      <c r="Q698" s="218">
        <v>429.7</v>
      </c>
      <c r="R698" s="218">
        <v>445</v>
      </c>
      <c r="S698" s="218">
        <v>388</v>
      </c>
      <c r="T698" s="218">
        <v>420.90000000000003</v>
      </c>
      <c r="U698" s="273">
        <v>2.3758612497030173E-3</v>
      </c>
      <c r="V698" s="218">
        <v>2.3768027814656005E-3</v>
      </c>
      <c r="W698" s="250">
        <v>4.0600316876516648E-5</v>
      </c>
      <c r="X698" s="250">
        <v>0.92913907284768216</v>
      </c>
      <c r="Z698" s="218">
        <v>690</v>
      </c>
      <c r="AA698" s="435">
        <v>0.92766740250183966</v>
      </c>
    </row>
    <row r="699" spans="1:27">
      <c r="A699" s="429">
        <v>0.68527777777777776</v>
      </c>
      <c r="B699" s="218">
        <v>445</v>
      </c>
      <c r="C699" s="218" t="s">
        <v>314</v>
      </c>
      <c r="D699" s="218">
        <v>223</v>
      </c>
      <c r="E699" s="218" t="s">
        <v>315</v>
      </c>
      <c r="F699" s="218">
        <v>22.8</v>
      </c>
      <c r="G699" s="218" t="s">
        <v>316</v>
      </c>
      <c r="H699" s="218">
        <v>642</v>
      </c>
      <c r="I699" s="218">
        <f t="shared" si="41"/>
        <v>446</v>
      </c>
      <c r="J699" s="218">
        <f t="shared" si="42"/>
        <v>2.242152466367713E-3</v>
      </c>
      <c r="K699" s="218">
        <f t="shared" si="43"/>
        <v>4.7018931277474647E-2</v>
      </c>
      <c r="L699" s="218">
        <f t="shared" si="44"/>
        <v>425.7</v>
      </c>
      <c r="M699" s="218" t="s">
        <v>323</v>
      </c>
      <c r="P699" s="218">
        <v>694</v>
      </c>
      <c r="Q699" s="218">
        <v>430.7</v>
      </c>
      <c r="R699" s="218">
        <v>445</v>
      </c>
      <c r="S699" s="218">
        <v>388</v>
      </c>
      <c r="T699" s="218">
        <v>421.23333333333335</v>
      </c>
      <c r="U699" s="273">
        <v>2.3739811664160795E-3</v>
      </c>
      <c r="V699" s="218">
        <v>2.3749212080595482E-3</v>
      </c>
      <c r="W699" s="250">
        <v>4.0568176020275709E-5</v>
      </c>
      <c r="X699" s="250">
        <v>0.92987490802060346</v>
      </c>
      <c r="Z699" s="218">
        <v>691</v>
      </c>
      <c r="AA699" s="435">
        <v>0.92766740250183966</v>
      </c>
    </row>
    <row r="700" spans="1:27">
      <c r="A700" s="429">
        <v>0.6852893518518518</v>
      </c>
      <c r="B700" s="218">
        <v>446</v>
      </c>
      <c r="C700" s="218" t="s">
        <v>314</v>
      </c>
      <c r="D700" s="218">
        <v>223</v>
      </c>
      <c r="E700" s="218" t="s">
        <v>315</v>
      </c>
      <c r="F700" s="218">
        <v>22.8</v>
      </c>
      <c r="G700" s="218" t="s">
        <v>316</v>
      </c>
      <c r="H700" s="218">
        <v>643</v>
      </c>
      <c r="I700" s="218">
        <f t="shared" si="41"/>
        <v>445</v>
      </c>
      <c r="J700" s="218">
        <f t="shared" si="42"/>
        <v>2.2471910112359553E-3</v>
      </c>
      <c r="K700" s="218">
        <f t="shared" si="43"/>
        <v>4.7013892732606408E-2</v>
      </c>
      <c r="L700" s="218">
        <f t="shared" si="44"/>
        <v>424.7</v>
      </c>
      <c r="M700" s="218" t="s">
        <v>323</v>
      </c>
      <c r="P700" s="218">
        <v>695</v>
      </c>
      <c r="Q700" s="218">
        <v>430.7</v>
      </c>
      <c r="R700" s="218">
        <v>444</v>
      </c>
      <c r="S700" s="218">
        <v>388</v>
      </c>
      <c r="T700" s="218">
        <v>420.90000000000003</v>
      </c>
      <c r="U700" s="273">
        <v>2.3758612497030173E-3</v>
      </c>
      <c r="V700" s="218">
        <v>2.3749212080595482E-3</v>
      </c>
      <c r="W700" s="250">
        <v>4.0568176020275709E-5</v>
      </c>
      <c r="X700" s="250">
        <v>0.92913907284768216</v>
      </c>
      <c r="Z700" s="218">
        <v>692</v>
      </c>
      <c r="AA700" s="435">
        <v>0.92840323767476085</v>
      </c>
    </row>
    <row r="701" spans="1:27">
      <c r="A701" s="429">
        <v>0.68530092592592595</v>
      </c>
      <c r="B701" s="218">
        <v>445</v>
      </c>
      <c r="C701" s="218" t="s">
        <v>314</v>
      </c>
      <c r="D701" s="218">
        <v>223</v>
      </c>
      <c r="E701" s="218" t="s">
        <v>315</v>
      </c>
      <c r="F701" s="218">
        <v>22.8</v>
      </c>
      <c r="G701" s="218" t="s">
        <v>316</v>
      </c>
      <c r="H701" s="218">
        <v>644</v>
      </c>
      <c r="I701" s="218">
        <f t="shared" si="41"/>
        <v>446</v>
      </c>
      <c r="J701" s="218">
        <f t="shared" si="42"/>
        <v>2.242152466367713E-3</v>
      </c>
      <c r="K701" s="218">
        <f t="shared" si="43"/>
        <v>4.7018931277474647E-2</v>
      </c>
      <c r="L701" s="218">
        <f t="shared" si="44"/>
        <v>425.7</v>
      </c>
      <c r="M701" s="218" t="s">
        <v>323</v>
      </c>
      <c r="P701" s="218">
        <v>696</v>
      </c>
      <c r="Q701" s="218">
        <v>429.7</v>
      </c>
      <c r="R701" s="218">
        <v>446</v>
      </c>
      <c r="S701" s="218">
        <v>388</v>
      </c>
      <c r="T701" s="218">
        <v>421.23333333333335</v>
      </c>
      <c r="U701" s="273">
        <v>2.3739811664160795E-3</v>
      </c>
      <c r="V701" s="218">
        <v>2.3749212080595482E-3</v>
      </c>
      <c r="W701" s="250">
        <v>4.0568176020275709E-5</v>
      </c>
      <c r="X701" s="250">
        <v>0.92987490802060346</v>
      </c>
      <c r="Z701" s="218">
        <v>693</v>
      </c>
      <c r="AA701" s="435">
        <v>0.92913907284768216</v>
      </c>
    </row>
    <row r="702" spans="1:27">
      <c r="A702" s="429">
        <v>0.6853125000000001</v>
      </c>
      <c r="B702" s="218">
        <v>446</v>
      </c>
      <c r="C702" s="218" t="s">
        <v>314</v>
      </c>
      <c r="D702" s="218">
        <v>223</v>
      </c>
      <c r="E702" s="218" t="s">
        <v>315</v>
      </c>
      <c r="F702" s="218">
        <v>22.8</v>
      </c>
      <c r="G702" s="218" t="s">
        <v>316</v>
      </c>
      <c r="H702" s="218">
        <v>645</v>
      </c>
      <c r="I702" s="218">
        <f t="shared" si="41"/>
        <v>445</v>
      </c>
      <c r="J702" s="218">
        <f t="shared" si="42"/>
        <v>2.2471910112359553E-3</v>
      </c>
      <c r="K702" s="218">
        <f t="shared" si="43"/>
        <v>4.7013892732606408E-2</v>
      </c>
      <c r="L702" s="218">
        <f t="shared" si="44"/>
        <v>424.7</v>
      </c>
      <c r="M702" s="218" t="s">
        <v>323</v>
      </c>
      <c r="P702" s="218">
        <v>697</v>
      </c>
      <c r="Q702" s="218">
        <v>430.7</v>
      </c>
      <c r="R702" s="218">
        <v>444</v>
      </c>
      <c r="S702" s="218">
        <v>390</v>
      </c>
      <c r="T702" s="218">
        <v>421.56666666666666</v>
      </c>
      <c r="U702" s="273">
        <v>2.3721040562979362E-3</v>
      </c>
      <c r="V702" s="218">
        <v>2.3730426113570081E-3</v>
      </c>
      <c r="W702" s="250">
        <v>4.0536086011798323E-5</v>
      </c>
      <c r="X702" s="250">
        <v>0.93061074319352466</v>
      </c>
      <c r="Z702" s="218">
        <v>694</v>
      </c>
      <c r="AA702" s="435">
        <v>0.92987490802060346</v>
      </c>
    </row>
    <row r="703" spans="1:27">
      <c r="A703" s="429">
        <v>0.68532407407407403</v>
      </c>
      <c r="B703" s="218">
        <v>446</v>
      </c>
      <c r="C703" s="218" t="s">
        <v>314</v>
      </c>
      <c r="D703" s="218">
        <v>223</v>
      </c>
      <c r="E703" s="218" t="s">
        <v>315</v>
      </c>
      <c r="F703" s="218">
        <v>22.8</v>
      </c>
      <c r="G703" s="218" t="s">
        <v>316</v>
      </c>
      <c r="H703" s="218">
        <v>646</v>
      </c>
      <c r="I703" s="218">
        <f t="shared" si="41"/>
        <v>446</v>
      </c>
      <c r="J703" s="218">
        <f t="shared" si="42"/>
        <v>2.242152466367713E-3</v>
      </c>
      <c r="K703" s="218">
        <f t="shared" si="43"/>
        <v>4.7018931277474647E-2</v>
      </c>
      <c r="L703" s="218">
        <f t="shared" si="44"/>
        <v>425.7</v>
      </c>
      <c r="M703" s="218" t="s">
        <v>323</v>
      </c>
      <c r="P703" s="218">
        <v>698</v>
      </c>
      <c r="Q703" s="218">
        <v>429.7</v>
      </c>
      <c r="R703" s="218">
        <v>445</v>
      </c>
      <c r="S703" s="218">
        <v>390</v>
      </c>
      <c r="T703" s="218">
        <v>421.56666666666666</v>
      </c>
      <c r="U703" s="273">
        <v>2.3721040562979362E-3</v>
      </c>
      <c r="V703" s="218">
        <v>2.3721040562979362E-3</v>
      </c>
      <c r="W703" s="250">
        <v>4.0520053704405586E-5</v>
      </c>
      <c r="X703" s="250">
        <v>0.93061074319352466</v>
      </c>
      <c r="Z703" s="218">
        <v>695</v>
      </c>
      <c r="AA703" s="435">
        <v>0.92913907284768216</v>
      </c>
    </row>
    <row r="704" spans="1:27">
      <c r="A704" s="429">
        <v>0.68533564814814818</v>
      </c>
      <c r="B704" s="218">
        <v>446</v>
      </c>
      <c r="C704" s="218" t="s">
        <v>314</v>
      </c>
      <c r="D704" s="218">
        <v>223</v>
      </c>
      <c r="E704" s="218" t="s">
        <v>315</v>
      </c>
      <c r="F704" s="218">
        <v>22.8</v>
      </c>
      <c r="G704" s="218" t="s">
        <v>316</v>
      </c>
      <c r="H704" s="218">
        <v>647</v>
      </c>
      <c r="I704" s="218">
        <f t="shared" si="41"/>
        <v>446</v>
      </c>
      <c r="J704" s="218">
        <f t="shared" si="42"/>
        <v>2.242152466367713E-3</v>
      </c>
      <c r="K704" s="218">
        <f t="shared" si="43"/>
        <v>4.7018931277474647E-2</v>
      </c>
      <c r="L704" s="218">
        <f t="shared" si="44"/>
        <v>425.7</v>
      </c>
      <c r="M704" s="218" t="s">
        <v>323</v>
      </c>
      <c r="P704" s="218">
        <v>699</v>
      </c>
      <c r="Q704" s="218">
        <v>430.7</v>
      </c>
      <c r="R704" s="218">
        <v>445</v>
      </c>
      <c r="S704" s="218">
        <v>390</v>
      </c>
      <c r="T704" s="218">
        <v>421.90000000000003</v>
      </c>
      <c r="U704" s="273">
        <v>2.3702299123014932E-3</v>
      </c>
      <c r="V704" s="218">
        <v>2.3711669842997147E-3</v>
      </c>
      <c r="W704" s="250">
        <v>4.0504046730515877E-5</v>
      </c>
      <c r="X704" s="250">
        <v>0.93134657836644597</v>
      </c>
      <c r="Z704" s="218">
        <v>696</v>
      </c>
      <c r="AA704" s="435">
        <v>0.92987490802060346</v>
      </c>
    </row>
    <row r="705" spans="1:27">
      <c r="A705" s="429">
        <v>0.68534722222222222</v>
      </c>
      <c r="B705" s="218">
        <v>447</v>
      </c>
      <c r="C705" s="218" t="s">
        <v>314</v>
      </c>
      <c r="D705" s="218">
        <v>224</v>
      </c>
      <c r="E705" s="218" t="s">
        <v>315</v>
      </c>
      <c r="F705" s="218">
        <v>22.8</v>
      </c>
      <c r="G705" s="218" t="s">
        <v>316</v>
      </c>
      <c r="H705" s="218">
        <v>648</v>
      </c>
      <c r="I705" s="218">
        <f t="shared" si="41"/>
        <v>446</v>
      </c>
      <c r="J705" s="218">
        <f t="shared" si="42"/>
        <v>2.242152466367713E-3</v>
      </c>
      <c r="K705" s="218">
        <f t="shared" si="43"/>
        <v>4.7018931277474647E-2</v>
      </c>
      <c r="L705" s="218">
        <f t="shared" si="44"/>
        <v>425.7</v>
      </c>
      <c r="M705" s="218" t="s">
        <v>323</v>
      </c>
      <c r="P705" s="218">
        <v>700</v>
      </c>
      <c r="Q705" s="218">
        <v>430.7</v>
      </c>
      <c r="R705" s="218">
        <v>446</v>
      </c>
      <c r="S705" s="218">
        <v>390</v>
      </c>
      <c r="T705" s="218">
        <v>422.23333333333335</v>
      </c>
      <c r="U705" s="273">
        <v>2.3683587274019105E-3</v>
      </c>
      <c r="V705" s="218">
        <v>2.3692943198517016E-3</v>
      </c>
      <c r="W705" s="250">
        <v>4.0472058056240664E-5</v>
      </c>
      <c r="X705" s="250">
        <v>0.93208241353936716</v>
      </c>
      <c r="Z705" s="218">
        <v>697</v>
      </c>
      <c r="AA705" s="435">
        <v>0.93061074319352466</v>
      </c>
    </row>
    <row r="706" spans="1:27">
      <c r="A706" s="429">
        <v>0.68535879629629637</v>
      </c>
      <c r="B706" s="218">
        <v>446</v>
      </c>
      <c r="C706" s="218" t="s">
        <v>314</v>
      </c>
      <c r="D706" s="218">
        <v>223</v>
      </c>
      <c r="E706" s="218" t="s">
        <v>315</v>
      </c>
      <c r="F706" s="218">
        <v>22.8</v>
      </c>
      <c r="G706" s="218" t="s">
        <v>316</v>
      </c>
      <c r="H706" s="218">
        <v>649</v>
      </c>
      <c r="I706" s="218">
        <f t="shared" si="41"/>
        <v>447</v>
      </c>
      <c r="J706" s="218">
        <f t="shared" si="42"/>
        <v>2.2371364653243847E-3</v>
      </c>
      <c r="K706" s="218">
        <f t="shared" si="43"/>
        <v>4.7023947278517976E-2</v>
      </c>
      <c r="L706" s="218">
        <f t="shared" si="44"/>
        <v>426.7</v>
      </c>
      <c r="M706" s="218" t="s">
        <v>323</v>
      </c>
      <c r="P706" s="218">
        <v>701</v>
      </c>
      <c r="Q706" s="218">
        <v>430.7</v>
      </c>
      <c r="R706" s="218">
        <v>446</v>
      </c>
      <c r="S706" s="218">
        <v>391</v>
      </c>
      <c r="T706" s="218">
        <v>422.56666666666666</v>
      </c>
      <c r="U706" s="273">
        <v>2.3664904945965132E-3</v>
      </c>
      <c r="V706" s="218">
        <v>2.3674246109992121E-3</v>
      </c>
      <c r="W706" s="250">
        <v>4.0440119869164371E-5</v>
      </c>
      <c r="X706" s="250">
        <v>0.93281824871228847</v>
      </c>
      <c r="Z706" s="218">
        <v>698</v>
      </c>
      <c r="AA706" s="435">
        <v>0.93061074319352466</v>
      </c>
    </row>
    <row r="707" spans="1:27">
      <c r="A707" s="429">
        <v>0.6853703703703703</v>
      </c>
      <c r="B707" s="218">
        <v>447</v>
      </c>
      <c r="C707" s="218" t="s">
        <v>314</v>
      </c>
      <c r="D707" s="218">
        <v>224</v>
      </c>
      <c r="E707" s="218" t="s">
        <v>315</v>
      </c>
      <c r="F707" s="218">
        <v>22.8</v>
      </c>
      <c r="G707" s="218" t="s">
        <v>316</v>
      </c>
      <c r="H707" s="218">
        <v>650</v>
      </c>
      <c r="I707" s="218">
        <f t="shared" si="41"/>
        <v>446</v>
      </c>
      <c r="J707" s="218">
        <f t="shared" si="42"/>
        <v>2.242152466367713E-3</v>
      </c>
      <c r="K707" s="218">
        <f t="shared" si="43"/>
        <v>4.7018931277474647E-2</v>
      </c>
      <c r="L707" s="218">
        <f t="shared" si="44"/>
        <v>425.7</v>
      </c>
      <c r="M707" s="218" t="s">
        <v>323</v>
      </c>
      <c r="P707" s="218">
        <v>702</v>
      </c>
      <c r="Q707" s="218">
        <v>430.7</v>
      </c>
      <c r="R707" s="218">
        <v>445</v>
      </c>
      <c r="S707" s="218">
        <v>391</v>
      </c>
      <c r="T707" s="218">
        <v>422.23333333333335</v>
      </c>
      <c r="U707" s="273">
        <v>2.3683587274019105E-3</v>
      </c>
      <c r="V707" s="218">
        <v>2.3674246109992121E-3</v>
      </c>
      <c r="W707" s="250">
        <v>4.0440119869164371E-5</v>
      </c>
      <c r="X707" s="250">
        <v>0.93208241353936716</v>
      </c>
      <c r="Z707" s="218">
        <v>699</v>
      </c>
      <c r="AA707" s="435">
        <v>0.93134657836644597</v>
      </c>
    </row>
    <row r="708" spans="1:27">
      <c r="A708" s="429">
        <v>0.68538194444444445</v>
      </c>
      <c r="B708" s="218">
        <v>445</v>
      </c>
      <c r="C708" s="218" t="s">
        <v>314</v>
      </c>
      <c r="D708" s="218">
        <v>223</v>
      </c>
      <c r="E708" s="218" t="s">
        <v>315</v>
      </c>
      <c r="F708" s="218">
        <v>22.8</v>
      </c>
      <c r="G708" s="218" t="s">
        <v>316</v>
      </c>
      <c r="H708" s="218">
        <v>651</v>
      </c>
      <c r="I708" s="218">
        <f t="shared" si="41"/>
        <v>447</v>
      </c>
      <c r="J708" s="218">
        <f t="shared" si="42"/>
        <v>2.2371364653243847E-3</v>
      </c>
      <c r="K708" s="218">
        <f t="shared" si="43"/>
        <v>4.7023947278517976E-2</v>
      </c>
      <c r="L708" s="218">
        <f t="shared" si="44"/>
        <v>426.7</v>
      </c>
      <c r="M708" s="218" t="s">
        <v>323</v>
      </c>
      <c r="P708" s="218">
        <v>703</v>
      </c>
      <c r="Q708" s="218">
        <v>430.7</v>
      </c>
      <c r="R708" s="218">
        <v>446</v>
      </c>
      <c r="S708" s="218">
        <v>392</v>
      </c>
      <c r="T708" s="218">
        <v>422.90000000000003</v>
      </c>
      <c r="U708" s="273">
        <v>2.3646252069047056E-3</v>
      </c>
      <c r="V708" s="218">
        <v>2.366491967153308E-3</v>
      </c>
      <c r="W708" s="250">
        <v>4.0424188536547334E-5</v>
      </c>
      <c r="X708" s="250">
        <v>0.93355408388520977</v>
      </c>
      <c r="Z708" s="218">
        <v>700</v>
      </c>
      <c r="AA708" s="435">
        <v>0.93208241353936716</v>
      </c>
    </row>
    <row r="709" spans="1:27">
      <c r="A709" s="429">
        <v>0.6853935185185186</v>
      </c>
      <c r="B709" s="218">
        <v>447</v>
      </c>
      <c r="C709" s="218" t="s">
        <v>314</v>
      </c>
      <c r="D709" s="218">
        <v>224</v>
      </c>
      <c r="E709" s="218" t="s">
        <v>315</v>
      </c>
      <c r="F709" s="218">
        <v>22.8</v>
      </c>
      <c r="G709" s="218" t="s">
        <v>316</v>
      </c>
      <c r="H709" s="218">
        <v>652</v>
      </c>
      <c r="I709" s="218">
        <f t="shared" si="41"/>
        <v>445</v>
      </c>
      <c r="J709" s="218">
        <f t="shared" si="42"/>
        <v>2.2471910112359553E-3</v>
      </c>
      <c r="K709" s="218">
        <f t="shared" si="43"/>
        <v>4.7013892732606408E-2</v>
      </c>
      <c r="L709" s="218">
        <f t="shared" si="44"/>
        <v>424.7</v>
      </c>
      <c r="M709" s="218" t="s">
        <v>323</v>
      </c>
      <c r="P709" s="218">
        <v>704</v>
      </c>
      <c r="Q709" s="218">
        <v>431.7</v>
      </c>
      <c r="R709" s="218">
        <v>446</v>
      </c>
      <c r="S709" s="218">
        <v>392</v>
      </c>
      <c r="T709" s="218">
        <v>423.23333333333335</v>
      </c>
      <c r="U709" s="273">
        <v>2.362762857367882E-3</v>
      </c>
      <c r="V709" s="218">
        <v>2.363694032136294E-3</v>
      </c>
      <c r="W709" s="250">
        <v>4.0376394479263106E-5</v>
      </c>
      <c r="X709" s="250">
        <v>0.93428991905813097</v>
      </c>
      <c r="Z709" s="218">
        <v>701</v>
      </c>
      <c r="AA709" s="435">
        <v>0.93281824871228847</v>
      </c>
    </row>
    <row r="710" spans="1:27">
      <c r="A710" s="429">
        <v>0.68540509259259252</v>
      </c>
      <c r="B710" s="218">
        <v>445</v>
      </c>
      <c r="C710" s="218" t="s">
        <v>314</v>
      </c>
      <c r="D710" s="218">
        <v>223</v>
      </c>
      <c r="E710" s="218" t="s">
        <v>315</v>
      </c>
      <c r="F710" s="218">
        <v>22.8</v>
      </c>
      <c r="G710" s="218" t="s">
        <v>316</v>
      </c>
      <c r="H710" s="218">
        <v>653</v>
      </c>
      <c r="I710" s="218">
        <f t="shared" si="41"/>
        <v>447</v>
      </c>
      <c r="J710" s="218">
        <f t="shared" si="42"/>
        <v>2.2371364653243847E-3</v>
      </c>
      <c r="K710" s="218">
        <f t="shared" si="43"/>
        <v>4.7023947278517976E-2</v>
      </c>
      <c r="L710" s="218">
        <f t="shared" si="44"/>
        <v>426.7</v>
      </c>
      <c r="M710" s="218" t="s">
        <v>323</v>
      </c>
      <c r="P710" s="218">
        <v>705</v>
      </c>
      <c r="Q710" s="218">
        <v>429.7</v>
      </c>
      <c r="R710" s="218">
        <v>446</v>
      </c>
      <c r="S710" s="218">
        <v>392</v>
      </c>
      <c r="T710" s="218">
        <v>422.56666666666666</v>
      </c>
      <c r="U710" s="273">
        <v>2.3664904945965132E-3</v>
      </c>
      <c r="V710" s="218">
        <v>2.3646266759821976E-3</v>
      </c>
      <c r="W710" s="250">
        <v>4.0392325811880143E-5</v>
      </c>
      <c r="X710" s="250">
        <v>0.93281824871228847</v>
      </c>
      <c r="Z710" s="218">
        <v>702</v>
      </c>
      <c r="AA710" s="435">
        <v>0.93208241353936716</v>
      </c>
    </row>
    <row r="711" spans="1:27">
      <c r="A711" s="429">
        <v>0.68541666666666667</v>
      </c>
      <c r="B711" s="218">
        <v>447</v>
      </c>
      <c r="C711" s="218" t="s">
        <v>314</v>
      </c>
      <c r="D711" s="218">
        <v>224</v>
      </c>
      <c r="E711" s="218" t="s">
        <v>315</v>
      </c>
      <c r="F711" s="218">
        <v>22.8</v>
      </c>
      <c r="G711" s="218" t="s">
        <v>316</v>
      </c>
      <c r="H711" s="218">
        <v>654</v>
      </c>
      <c r="I711" s="218">
        <f t="shared" si="41"/>
        <v>445</v>
      </c>
      <c r="J711" s="218">
        <f t="shared" si="42"/>
        <v>2.2471910112359553E-3</v>
      </c>
      <c r="K711" s="218">
        <f t="shared" si="43"/>
        <v>4.7013892732606408E-2</v>
      </c>
      <c r="L711" s="218">
        <f t="shared" si="44"/>
        <v>424.7</v>
      </c>
      <c r="M711" s="218" t="s">
        <v>323</v>
      </c>
      <c r="P711" s="218">
        <v>706</v>
      </c>
      <c r="Q711" s="218">
        <v>431.7</v>
      </c>
      <c r="R711" s="218">
        <v>445</v>
      </c>
      <c r="S711" s="218">
        <v>392</v>
      </c>
      <c r="T711" s="218">
        <v>422.90000000000003</v>
      </c>
      <c r="U711" s="273">
        <v>2.3646252069047056E-3</v>
      </c>
      <c r="V711" s="218">
        <v>2.3655578507506096E-3</v>
      </c>
      <c r="W711" s="250">
        <v>4.0408232049856533E-5</v>
      </c>
      <c r="X711" s="250">
        <v>0.93355408388520977</v>
      </c>
      <c r="Z711" s="218">
        <v>703</v>
      </c>
      <c r="AA711" s="435">
        <v>0.93355408388520977</v>
      </c>
    </row>
    <row r="712" spans="1:27">
      <c r="A712" s="429">
        <v>0.68542824074074071</v>
      </c>
      <c r="B712" s="218">
        <v>447</v>
      </c>
      <c r="C712" s="218" t="s">
        <v>314</v>
      </c>
      <c r="D712" s="218">
        <v>224</v>
      </c>
      <c r="E712" s="218" t="s">
        <v>315</v>
      </c>
      <c r="F712" s="218">
        <v>22.8</v>
      </c>
      <c r="G712" s="218" t="s">
        <v>316</v>
      </c>
      <c r="H712" s="218">
        <v>655</v>
      </c>
      <c r="I712" s="218">
        <f t="shared" si="41"/>
        <v>447</v>
      </c>
      <c r="J712" s="218">
        <f t="shared" si="42"/>
        <v>2.2371364653243847E-3</v>
      </c>
      <c r="K712" s="218">
        <f t="shared" si="43"/>
        <v>4.7023947278517976E-2</v>
      </c>
      <c r="L712" s="218">
        <f t="shared" si="44"/>
        <v>426.7</v>
      </c>
      <c r="M712" s="218" t="s">
        <v>323</v>
      </c>
      <c r="P712" s="218">
        <v>707</v>
      </c>
      <c r="Q712" s="218">
        <v>429.7</v>
      </c>
      <c r="R712" s="218">
        <v>447</v>
      </c>
      <c r="S712" s="218">
        <v>393</v>
      </c>
      <c r="T712" s="218">
        <v>423.23333333333335</v>
      </c>
      <c r="U712" s="273">
        <v>2.362762857367882E-3</v>
      </c>
      <c r="V712" s="218">
        <v>2.363694032136294E-3</v>
      </c>
      <c r="W712" s="250">
        <v>4.0376394479263106E-5</v>
      </c>
      <c r="X712" s="250">
        <v>0.93428991905813097</v>
      </c>
      <c r="Z712" s="218">
        <v>704</v>
      </c>
      <c r="AA712" s="435">
        <v>0.93428991905813097</v>
      </c>
    </row>
    <row r="713" spans="1:27">
      <c r="A713" s="429">
        <v>0.68543981481481486</v>
      </c>
      <c r="B713" s="218">
        <v>447</v>
      </c>
      <c r="C713" s="218" t="s">
        <v>314</v>
      </c>
      <c r="D713" s="218">
        <v>224</v>
      </c>
      <c r="E713" s="218" t="s">
        <v>315</v>
      </c>
      <c r="F713" s="218">
        <v>22.8</v>
      </c>
      <c r="G713" s="218" t="s">
        <v>316</v>
      </c>
      <c r="H713" s="218">
        <v>656</v>
      </c>
      <c r="I713" s="218">
        <f t="shared" si="41"/>
        <v>447</v>
      </c>
      <c r="J713" s="218">
        <f t="shared" si="42"/>
        <v>2.2371364653243847E-3</v>
      </c>
      <c r="K713" s="218">
        <f t="shared" si="43"/>
        <v>4.7023947278517976E-2</v>
      </c>
      <c r="L713" s="218">
        <f t="shared" si="44"/>
        <v>426.7</v>
      </c>
      <c r="M713" s="218" t="s">
        <v>323</v>
      </c>
      <c r="P713" s="218">
        <v>708</v>
      </c>
      <c r="Q713" s="218">
        <v>431.7</v>
      </c>
      <c r="R713" s="218">
        <v>445</v>
      </c>
      <c r="S713" s="218">
        <v>393</v>
      </c>
      <c r="T713" s="218">
        <v>423.23333333333335</v>
      </c>
      <c r="U713" s="273">
        <v>2.362762857367882E-3</v>
      </c>
      <c r="V713" s="218">
        <v>2.362762857367882E-3</v>
      </c>
      <c r="W713" s="250">
        <v>4.0360488241286715E-5</v>
      </c>
      <c r="X713" s="250">
        <v>0.93428991905813097</v>
      </c>
      <c r="Z713" s="218">
        <v>705</v>
      </c>
      <c r="AA713" s="435">
        <v>0.93281824871228847</v>
      </c>
    </row>
    <row r="714" spans="1:27">
      <c r="A714" s="429">
        <v>0.68545138888888879</v>
      </c>
      <c r="B714" s="218">
        <v>448</v>
      </c>
      <c r="C714" s="218" t="s">
        <v>314</v>
      </c>
      <c r="D714" s="218">
        <v>224</v>
      </c>
      <c r="E714" s="218" t="s">
        <v>315</v>
      </c>
      <c r="F714" s="218">
        <v>22.8</v>
      </c>
      <c r="G714" s="218" t="s">
        <v>316</v>
      </c>
      <c r="H714" s="218">
        <v>657</v>
      </c>
      <c r="I714" s="218">
        <f t="shared" si="41"/>
        <v>447</v>
      </c>
      <c r="J714" s="218">
        <f t="shared" si="42"/>
        <v>2.2371364653243847E-3</v>
      </c>
      <c r="K714" s="218">
        <f t="shared" si="43"/>
        <v>4.7023947278517976E-2</v>
      </c>
      <c r="L714" s="218">
        <f t="shared" si="44"/>
        <v>426.7</v>
      </c>
      <c r="M714" s="218" t="s">
        <v>323</v>
      </c>
      <c r="P714" s="218">
        <v>709</v>
      </c>
      <c r="Q714" s="218">
        <v>429.7</v>
      </c>
      <c r="R714" s="218">
        <v>446</v>
      </c>
      <c r="S714" s="218">
        <v>390</v>
      </c>
      <c r="T714" s="218">
        <v>421.90000000000003</v>
      </c>
      <c r="U714" s="273">
        <v>2.3702299123014932E-3</v>
      </c>
      <c r="V714" s="218">
        <v>2.3664963848346876E-3</v>
      </c>
      <c r="W714" s="250">
        <v>4.0424263998956442E-5</v>
      </c>
      <c r="X714" s="250">
        <v>0.93134657836644597</v>
      </c>
      <c r="Z714" s="218">
        <v>706</v>
      </c>
      <c r="AA714" s="435">
        <v>0.93355408388520977</v>
      </c>
    </row>
    <row r="715" spans="1:27">
      <c r="A715" s="429">
        <v>0.68546296296296294</v>
      </c>
      <c r="B715" s="218">
        <v>448</v>
      </c>
      <c r="C715" s="218" t="s">
        <v>314</v>
      </c>
      <c r="D715" s="218">
        <v>224</v>
      </c>
      <c r="E715" s="218" t="s">
        <v>315</v>
      </c>
      <c r="F715" s="218">
        <v>22.8</v>
      </c>
      <c r="G715" s="218" t="s">
        <v>316</v>
      </c>
      <c r="H715" s="218">
        <v>658</v>
      </c>
      <c r="I715" s="218">
        <f t="shared" si="41"/>
        <v>448</v>
      </c>
      <c r="J715" s="218">
        <f t="shared" si="42"/>
        <v>2.232142857142857E-3</v>
      </c>
      <c r="K715" s="218">
        <f t="shared" si="43"/>
        <v>4.7028940886699504E-2</v>
      </c>
      <c r="L715" s="218">
        <f t="shared" si="44"/>
        <v>427.7</v>
      </c>
      <c r="M715" s="218" t="s">
        <v>323</v>
      </c>
      <c r="P715" s="218">
        <v>710</v>
      </c>
      <c r="Q715" s="218">
        <v>430.7</v>
      </c>
      <c r="R715" s="218">
        <v>445</v>
      </c>
      <c r="S715" s="218">
        <v>390</v>
      </c>
      <c r="T715" s="218">
        <v>421.90000000000003</v>
      </c>
      <c r="U715" s="273">
        <v>2.3702299123014932E-3</v>
      </c>
      <c r="V715" s="218">
        <v>2.3702299123014932E-3</v>
      </c>
      <c r="W715" s="250">
        <v>4.0488039756626169E-5</v>
      </c>
      <c r="X715" s="250">
        <v>0.93134657836644597</v>
      </c>
      <c r="Z715" s="218">
        <v>707</v>
      </c>
      <c r="AA715" s="435">
        <v>0.93428991905813097</v>
      </c>
    </row>
    <row r="716" spans="1:27">
      <c r="A716" s="429">
        <v>0.68547453703703709</v>
      </c>
      <c r="B716" s="218">
        <v>447</v>
      </c>
      <c r="C716" s="218" t="s">
        <v>314</v>
      </c>
      <c r="D716" s="218">
        <v>224</v>
      </c>
      <c r="E716" s="218" t="s">
        <v>315</v>
      </c>
      <c r="F716" s="218">
        <v>22.8</v>
      </c>
      <c r="G716" s="218" t="s">
        <v>316</v>
      </c>
      <c r="H716" s="218">
        <v>659</v>
      </c>
      <c r="I716" s="218">
        <f t="shared" si="41"/>
        <v>448</v>
      </c>
      <c r="J716" s="218">
        <f t="shared" si="42"/>
        <v>2.232142857142857E-3</v>
      </c>
      <c r="K716" s="218">
        <f t="shared" si="43"/>
        <v>4.7028940886699504E-2</v>
      </c>
      <c r="L716" s="218">
        <f t="shared" si="44"/>
        <v>427.7</v>
      </c>
      <c r="M716" s="218" t="s">
        <v>323</v>
      </c>
      <c r="P716" s="218">
        <v>711</v>
      </c>
      <c r="Q716" s="218">
        <v>430.7</v>
      </c>
      <c r="R716" s="218">
        <v>446</v>
      </c>
      <c r="S716" s="218">
        <v>392</v>
      </c>
      <c r="T716" s="218">
        <v>422.90000000000003</v>
      </c>
      <c r="U716" s="273">
        <v>2.3646252069047056E-3</v>
      </c>
      <c r="V716" s="218">
        <v>2.3674275596030992E-3</v>
      </c>
      <c r="W716" s="250">
        <v>4.0440170236932826E-5</v>
      </c>
      <c r="X716" s="250">
        <v>0.93355408388520977</v>
      </c>
      <c r="Z716" s="218">
        <v>708</v>
      </c>
      <c r="AA716" s="435">
        <v>0.93428991905813097</v>
      </c>
    </row>
    <row r="717" spans="1:27">
      <c r="A717" s="429">
        <v>0.68548611111111113</v>
      </c>
      <c r="B717" s="218">
        <v>448</v>
      </c>
      <c r="C717" s="218" t="s">
        <v>314</v>
      </c>
      <c r="D717" s="218">
        <v>224</v>
      </c>
      <c r="E717" s="218" t="s">
        <v>315</v>
      </c>
      <c r="F717" s="218">
        <v>22.8</v>
      </c>
      <c r="G717" s="218" t="s">
        <v>316</v>
      </c>
      <c r="H717" s="218">
        <v>660</v>
      </c>
      <c r="I717" s="218">
        <f t="shared" si="41"/>
        <v>447</v>
      </c>
      <c r="J717" s="218">
        <f t="shared" si="42"/>
        <v>2.2371364653243847E-3</v>
      </c>
      <c r="K717" s="218">
        <f t="shared" si="43"/>
        <v>4.7023947278517976E-2</v>
      </c>
      <c r="L717" s="218">
        <f t="shared" si="44"/>
        <v>426.7</v>
      </c>
      <c r="M717" s="218" t="s">
        <v>323</v>
      </c>
      <c r="P717" s="218">
        <v>712</v>
      </c>
      <c r="Q717" s="218">
        <v>430.7</v>
      </c>
      <c r="R717" s="218">
        <v>446</v>
      </c>
      <c r="S717" s="218">
        <v>392</v>
      </c>
      <c r="T717" s="218">
        <v>422.90000000000003</v>
      </c>
      <c r="U717" s="273">
        <v>2.3646252069047056E-3</v>
      </c>
      <c r="V717" s="218">
        <v>2.3646252069047056E-3</v>
      </c>
      <c r="W717" s="250">
        <v>4.039230071723949E-5</v>
      </c>
      <c r="X717" s="250">
        <v>0.93355408388520977</v>
      </c>
      <c r="Z717" s="218">
        <v>709</v>
      </c>
      <c r="AA717" s="435">
        <v>0.93134657836644597</v>
      </c>
    </row>
    <row r="718" spans="1:27">
      <c r="A718" s="429">
        <v>0.68549768518518517</v>
      </c>
      <c r="B718" s="218">
        <v>447</v>
      </c>
      <c r="C718" s="218" t="s">
        <v>314</v>
      </c>
      <c r="D718" s="218">
        <v>224</v>
      </c>
      <c r="E718" s="218" t="s">
        <v>315</v>
      </c>
      <c r="F718" s="218">
        <v>22.8</v>
      </c>
      <c r="G718" s="218" t="s">
        <v>316</v>
      </c>
      <c r="H718" s="218">
        <v>661</v>
      </c>
      <c r="I718" s="218">
        <f t="shared" si="41"/>
        <v>448</v>
      </c>
      <c r="J718" s="218">
        <f t="shared" si="42"/>
        <v>2.232142857142857E-3</v>
      </c>
      <c r="K718" s="218">
        <f t="shared" si="43"/>
        <v>4.7028940886699504E-2</v>
      </c>
      <c r="L718" s="218">
        <f t="shared" si="44"/>
        <v>427.7</v>
      </c>
      <c r="M718" s="218" t="s">
        <v>323</v>
      </c>
      <c r="P718" s="218">
        <v>713</v>
      </c>
      <c r="Q718" s="218">
        <v>431.7</v>
      </c>
      <c r="R718" s="218">
        <v>445</v>
      </c>
      <c r="S718" s="218">
        <v>393</v>
      </c>
      <c r="T718" s="218">
        <v>423.23333333333335</v>
      </c>
      <c r="U718" s="273">
        <v>2.362762857367882E-3</v>
      </c>
      <c r="V718" s="218">
        <v>2.363694032136294E-3</v>
      </c>
      <c r="W718" s="250">
        <v>4.0376394479263106E-5</v>
      </c>
      <c r="X718" s="250">
        <v>0.93428991905813097</v>
      </c>
      <c r="Z718" s="218">
        <v>710</v>
      </c>
      <c r="AA718" s="435">
        <v>0.93134657836644597</v>
      </c>
    </row>
    <row r="719" spans="1:27">
      <c r="A719" s="429">
        <v>0.68550925925925921</v>
      </c>
      <c r="B719" s="218">
        <v>448</v>
      </c>
      <c r="C719" s="218" t="s">
        <v>314</v>
      </c>
      <c r="D719" s="218">
        <v>224</v>
      </c>
      <c r="E719" s="218" t="s">
        <v>315</v>
      </c>
      <c r="F719" s="218">
        <v>22.8</v>
      </c>
      <c r="G719" s="218" t="s">
        <v>316</v>
      </c>
      <c r="H719" s="218">
        <v>662</v>
      </c>
      <c r="I719" s="218">
        <f t="shared" si="41"/>
        <v>447</v>
      </c>
      <c r="J719" s="218">
        <f t="shared" si="42"/>
        <v>2.2371364653243847E-3</v>
      </c>
      <c r="K719" s="218">
        <f t="shared" si="43"/>
        <v>4.7023947278517976E-2</v>
      </c>
      <c r="L719" s="218">
        <f t="shared" si="44"/>
        <v>426.7</v>
      </c>
      <c r="M719" s="218" t="s">
        <v>323</v>
      </c>
      <c r="P719" s="218">
        <v>714</v>
      </c>
      <c r="Q719" s="218">
        <v>431.7</v>
      </c>
      <c r="R719" s="218">
        <v>446</v>
      </c>
      <c r="S719" s="218">
        <v>393</v>
      </c>
      <c r="T719" s="218">
        <v>423.56666666666666</v>
      </c>
      <c r="U719" s="273">
        <v>2.360903439049343E-3</v>
      </c>
      <c r="V719" s="218">
        <v>2.3618331482086127E-3</v>
      </c>
      <c r="W719" s="250">
        <v>4.034460703870496E-5</v>
      </c>
      <c r="X719" s="250">
        <v>0.93502575423105228</v>
      </c>
      <c r="Z719" s="218">
        <v>711</v>
      </c>
      <c r="AA719" s="435">
        <v>0.93355408388520977</v>
      </c>
    </row>
    <row r="720" spans="1:27">
      <c r="A720" s="429">
        <v>0.68552083333333336</v>
      </c>
      <c r="B720" s="218">
        <v>448</v>
      </c>
      <c r="C720" s="218" t="s">
        <v>314</v>
      </c>
      <c r="D720" s="218">
        <v>224</v>
      </c>
      <c r="E720" s="218" t="s">
        <v>315</v>
      </c>
      <c r="F720" s="218">
        <v>22.8</v>
      </c>
      <c r="G720" s="218" t="s">
        <v>316</v>
      </c>
      <c r="H720" s="218">
        <v>663</v>
      </c>
      <c r="I720" s="218">
        <f t="shared" si="41"/>
        <v>448</v>
      </c>
      <c r="J720" s="218">
        <f t="shared" si="42"/>
        <v>2.232142857142857E-3</v>
      </c>
      <c r="K720" s="218">
        <f t="shared" si="43"/>
        <v>4.7028940886699504E-2</v>
      </c>
      <c r="L720" s="218">
        <f t="shared" si="44"/>
        <v>427.7</v>
      </c>
      <c r="M720" s="218" t="s">
        <v>323</v>
      </c>
      <c r="P720" s="218">
        <v>715</v>
      </c>
      <c r="Q720" s="218">
        <v>431.7</v>
      </c>
      <c r="R720" s="218">
        <v>446</v>
      </c>
      <c r="S720" s="218">
        <v>393</v>
      </c>
      <c r="T720" s="218">
        <v>423.56666666666666</v>
      </c>
      <c r="U720" s="273">
        <v>2.360903439049343E-3</v>
      </c>
      <c r="V720" s="218">
        <v>2.360903439049343E-3</v>
      </c>
      <c r="W720" s="250">
        <v>4.0328725836123197E-5</v>
      </c>
      <c r="X720" s="250">
        <v>0.93502575423105228</v>
      </c>
      <c r="Z720" s="218">
        <v>712</v>
      </c>
      <c r="AA720" s="435">
        <v>0.93355408388520977</v>
      </c>
    </row>
    <row r="721" spans="1:27">
      <c r="A721" s="429">
        <v>0.68553240740740751</v>
      </c>
      <c r="B721" s="218">
        <v>448</v>
      </c>
      <c r="C721" s="218" t="s">
        <v>314</v>
      </c>
      <c r="D721" s="218">
        <v>224</v>
      </c>
      <c r="E721" s="218" t="s">
        <v>315</v>
      </c>
      <c r="F721" s="218">
        <v>22.8</v>
      </c>
      <c r="G721" s="218" t="s">
        <v>316</v>
      </c>
      <c r="H721" s="218">
        <v>664</v>
      </c>
      <c r="I721" s="218">
        <f t="shared" si="41"/>
        <v>448</v>
      </c>
      <c r="J721" s="218">
        <f t="shared" si="42"/>
        <v>2.232142857142857E-3</v>
      </c>
      <c r="K721" s="218">
        <f t="shared" si="43"/>
        <v>4.7028940886699504E-2</v>
      </c>
      <c r="L721" s="218">
        <f t="shared" si="44"/>
        <v>427.7</v>
      </c>
      <c r="M721" s="218" t="s">
        <v>323</v>
      </c>
      <c r="P721" s="218">
        <v>716</v>
      </c>
      <c r="Q721" s="218">
        <v>431.7</v>
      </c>
      <c r="R721" s="218">
        <v>447</v>
      </c>
      <c r="S721" s="218">
        <v>393</v>
      </c>
      <c r="T721" s="218">
        <v>423.90000000000003</v>
      </c>
      <c r="U721" s="273">
        <v>2.3590469450342059E-3</v>
      </c>
      <c r="V721" s="218">
        <v>2.3599751920417742E-3</v>
      </c>
      <c r="W721" s="250">
        <v>4.0312869609876387E-5</v>
      </c>
      <c r="X721" s="250">
        <v>0.93576158940397358</v>
      </c>
      <c r="Z721" s="218">
        <v>713</v>
      </c>
      <c r="AA721" s="435">
        <v>0.93428991905813097</v>
      </c>
    </row>
    <row r="722" spans="1:27">
      <c r="A722" s="429">
        <v>0.68554398148148143</v>
      </c>
      <c r="B722" s="218">
        <v>449</v>
      </c>
      <c r="C722" s="218" t="s">
        <v>314</v>
      </c>
      <c r="D722" s="218">
        <v>225</v>
      </c>
      <c r="E722" s="218" t="s">
        <v>315</v>
      </c>
      <c r="F722" s="218">
        <v>22.8</v>
      </c>
      <c r="G722" s="218" t="s">
        <v>316</v>
      </c>
      <c r="H722" s="218">
        <v>665</v>
      </c>
      <c r="I722" s="218">
        <f t="shared" si="41"/>
        <v>448</v>
      </c>
      <c r="J722" s="218">
        <f t="shared" si="42"/>
        <v>2.232142857142857E-3</v>
      </c>
      <c r="K722" s="218">
        <f t="shared" si="43"/>
        <v>4.7028940886699504E-2</v>
      </c>
      <c r="L722" s="218">
        <f t="shared" si="44"/>
        <v>427.7</v>
      </c>
      <c r="M722" s="218" t="s">
        <v>323</v>
      </c>
      <c r="P722" s="218">
        <v>717</v>
      </c>
      <c r="Q722" s="218">
        <v>430.7</v>
      </c>
      <c r="R722" s="218">
        <v>445</v>
      </c>
      <c r="S722" s="218">
        <v>395</v>
      </c>
      <c r="T722" s="218">
        <v>423.56666666666666</v>
      </c>
      <c r="U722" s="273">
        <v>2.360903439049343E-3</v>
      </c>
      <c r="V722" s="218">
        <v>2.3599751920417742E-3</v>
      </c>
      <c r="W722" s="250">
        <v>4.0312869609876387E-5</v>
      </c>
      <c r="X722" s="250">
        <v>0.93502575423105228</v>
      </c>
      <c r="Z722" s="218">
        <v>714</v>
      </c>
      <c r="AA722" s="435">
        <v>0.93502575423105228</v>
      </c>
    </row>
    <row r="723" spans="1:27">
      <c r="A723" s="429">
        <v>0.68555555555555558</v>
      </c>
      <c r="B723" s="218">
        <v>448</v>
      </c>
      <c r="C723" s="218" t="s">
        <v>314</v>
      </c>
      <c r="D723" s="218">
        <v>224</v>
      </c>
      <c r="E723" s="218" t="s">
        <v>315</v>
      </c>
      <c r="F723" s="218">
        <v>22.8</v>
      </c>
      <c r="G723" s="218" t="s">
        <v>316</v>
      </c>
      <c r="H723" s="218">
        <v>666</v>
      </c>
      <c r="I723" s="218">
        <f t="shared" si="41"/>
        <v>449</v>
      </c>
      <c r="J723" s="218">
        <f t="shared" si="42"/>
        <v>2.2271714922048997E-3</v>
      </c>
      <c r="K723" s="218">
        <f t="shared" si="43"/>
        <v>4.7033912251637458E-2</v>
      </c>
      <c r="L723" s="218">
        <f t="shared" si="44"/>
        <v>428.7</v>
      </c>
      <c r="M723" s="218" t="s">
        <v>323</v>
      </c>
      <c r="P723" s="218">
        <v>718</v>
      </c>
      <c r="Q723" s="218">
        <v>431.7</v>
      </c>
      <c r="R723" s="218">
        <v>447</v>
      </c>
      <c r="S723" s="218">
        <v>395</v>
      </c>
      <c r="T723" s="218">
        <v>424.56666666666666</v>
      </c>
      <c r="U723" s="273">
        <v>2.3553427023631939E-3</v>
      </c>
      <c r="V723" s="218">
        <v>2.3581230707062683E-3</v>
      </c>
      <c r="W723" s="250">
        <v>4.0281231851076332E-5</v>
      </c>
      <c r="X723" s="250">
        <v>0.93723325974981608</v>
      </c>
      <c r="Z723" s="218">
        <v>715</v>
      </c>
      <c r="AA723" s="435">
        <v>0.93502575423105228</v>
      </c>
    </row>
    <row r="724" spans="1:27">
      <c r="A724" s="429">
        <v>0.68556712962962962</v>
      </c>
      <c r="B724" s="218">
        <v>449</v>
      </c>
      <c r="C724" s="218" t="s">
        <v>314</v>
      </c>
      <c r="D724" s="218">
        <v>225</v>
      </c>
      <c r="E724" s="218" t="s">
        <v>315</v>
      </c>
      <c r="F724" s="218">
        <v>22.8</v>
      </c>
      <c r="G724" s="218" t="s">
        <v>316</v>
      </c>
      <c r="H724" s="218">
        <v>667</v>
      </c>
      <c r="I724" s="218">
        <f t="shared" si="41"/>
        <v>448</v>
      </c>
      <c r="J724" s="218">
        <f t="shared" si="42"/>
        <v>2.232142857142857E-3</v>
      </c>
      <c r="K724" s="218">
        <f t="shared" si="43"/>
        <v>4.7028940886699504E-2</v>
      </c>
      <c r="L724" s="218">
        <f t="shared" si="44"/>
        <v>427.7</v>
      </c>
      <c r="M724" s="218" t="s">
        <v>323</v>
      </c>
      <c r="P724" s="218">
        <v>719</v>
      </c>
      <c r="Q724" s="218">
        <v>430.7</v>
      </c>
      <c r="R724" s="218">
        <v>445</v>
      </c>
      <c r="S724" s="218">
        <v>395</v>
      </c>
      <c r="T724" s="218">
        <v>423.56666666666666</v>
      </c>
      <c r="U724" s="273">
        <v>2.360903439049343E-3</v>
      </c>
      <c r="V724" s="218">
        <v>2.3581230707062683E-3</v>
      </c>
      <c r="W724" s="250">
        <v>4.0281231851076332E-5</v>
      </c>
      <c r="X724" s="250">
        <v>0.93502575423105228</v>
      </c>
      <c r="Z724" s="218">
        <v>716</v>
      </c>
      <c r="AA724" s="435">
        <v>0.93576158940397358</v>
      </c>
    </row>
    <row r="725" spans="1:27">
      <c r="A725" s="429">
        <v>0.68557870370370377</v>
      </c>
      <c r="B725" s="218">
        <v>447</v>
      </c>
      <c r="C725" s="218" t="s">
        <v>314</v>
      </c>
      <c r="D725" s="218">
        <v>224</v>
      </c>
      <c r="E725" s="218" t="s">
        <v>315</v>
      </c>
      <c r="F725" s="218">
        <v>22.8</v>
      </c>
      <c r="G725" s="218" t="s">
        <v>316</v>
      </c>
      <c r="H725" s="218">
        <v>668</v>
      </c>
      <c r="I725" s="218">
        <f t="shared" si="41"/>
        <v>449</v>
      </c>
      <c r="J725" s="218">
        <f t="shared" si="42"/>
        <v>2.2271714922048997E-3</v>
      </c>
      <c r="K725" s="218">
        <f t="shared" si="43"/>
        <v>4.7033912251637458E-2</v>
      </c>
      <c r="L725" s="218">
        <f t="shared" si="44"/>
        <v>428.7</v>
      </c>
      <c r="M725" s="218" t="s">
        <v>323</v>
      </c>
      <c r="P725" s="218">
        <v>720</v>
      </c>
      <c r="Q725" s="218">
        <v>430.7</v>
      </c>
      <c r="R725" s="218">
        <v>447</v>
      </c>
      <c r="S725" s="218">
        <v>395</v>
      </c>
      <c r="T725" s="218">
        <v>424.23333333333335</v>
      </c>
      <c r="U725" s="273">
        <v>2.3571933684293236E-3</v>
      </c>
      <c r="V725" s="218">
        <v>2.3590484037393335E-3</v>
      </c>
      <c r="W725" s="250">
        <v>4.0297038301090493E-5</v>
      </c>
      <c r="X725" s="250">
        <v>0.93649742457689478</v>
      </c>
      <c r="Z725" s="218">
        <v>717</v>
      </c>
      <c r="AA725" s="435">
        <v>0.93502575423105228</v>
      </c>
    </row>
    <row r="726" spans="1:27">
      <c r="A726" s="429">
        <v>0.6855902777777777</v>
      </c>
      <c r="B726" s="218">
        <v>449</v>
      </c>
      <c r="C726" s="218" t="s">
        <v>314</v>
      </c>
      <c r="D726" s="218">
        <v>225</v>
      </c>
      <c r="E726" s="218" t="s">
        <v>315</v>
      </c>
      <c r="F726" s="218">
        <v>22.8</v>
      </c>
      <c r="G726" s="218" t="s">
        <v>316</v>
      </c>
      <c r="H726" s="218">
        <v>669</v>
      </c>
      <c r="I726" s="218">
        <f t="shared" si="41"/>
        <v>447</v>
      </c>
      <c r="J726" s="218">
        <f t="shared" si="42"/>
        <v>2.2371364653243847E-3</v>
      </c>
      <c r="K726" s="218">
        <f t="shared" si="43"/>
        <v>4.7023947278517976E-2</v>
      </c>
      <c r="L726" s="218">
        <f t="shared" si="44"/>
        <v>426.7</v>
      </c>
      <c r="M726" s="218" t="s">
        <v>323</v>
      </c>
      <c r="P726" s="218">
        <v>721</v>
      </c>
      <c r="Q726" s="218">
        <v>431.7</v>
      </c>
      <c r="R726" s="218">
        <v>446</v>
      </c>
      <c r="S726" s="218">
        <v>398</v>
      </c>
      <c r="T726" s="218">
        <v>425.23333333333335</v>
      </c>
      <c r="U726" s="273">
        <v>2.3516500744689191E-3</v>
      </c>
      <c r="V726" s="218">
        <v>2.3544217214491216E-3</v>
      </c>
      <c r="W726" s="250">
        <v>4.021800575849403E-5</v>
      </c>
      <c r="X726" s="250">
        <v>0.93870493009565859</v>
      </c>
      <c r="Z726" s="218">
        <v>718</v>
      </c>
      <c r="AA726" s="435">
        <v>0.93723325974981608</v>
      </c>
    </row>
    <row r="727" spans="1:27">
      <c r="A727" s="429">
        <v>0.68560185185185185</v>
      </c>
      <c r="B727" s="218">
        <v>447</v>
      </c>
      <c r="C727" s="218" t="s">
        <v>314</v>
      </c>
      <c r="D727" s="218">
        <v>224</v>
      </c>
      <c r="E727" s="218" t="s">
        <v>315</v>
      </c>
      <c r="F727" s="218">
        <v>22.8</v>
      </c>
      <c r="G727" s="218" t="s">
        <v>316</v>
      </c>
      <c r="H727" s="218">
        <v>670</v>
      </c>
      <c r="I727" s="218">
        <f t="shared" si="41"/>
        <v>449</v>
      </c>
      <c r="J727" s="218">
        <f t="shared" si="42"/>
        <v>2.2271714922048997E-3</v>
      </c>
      <c r="K727" s="218">
        <f t="shared" si="43"/>
        <v>4.7033912251637458E-2</v>
      </c>
      <c r="L727" s="218">
        <f t="shared" si="44"/>
        <v>428.7</v>
      </c>
      <c r="M727" s="218" t="s">
        <v>323</v>
      </c>
      <c r="P727" s="218">
        <v>722</v>
      </c>
      <c r="Q727" s="218">
        <v>431.7</v>
      </c>
      <c r="R727" s="218">
        <v>447</v>
      </c>
      <c r="S727" s="218">
        <v>398</v>
      </c>
      <c r="T727" s="218">
        <v>425.56666666666666</v>
      </c>
      <c r="U727" s="273">
        <v>2.3498080990052481E-3</v>
      </c>
      <c r="V727" s="218">
        <v>2.3507290867370838E-3</v>
      </c>
      <c r="W727" s="250">
        <v>4.0154928526934454E-5</v>
      </c>
      <c r="X727" s="250">
        <v>0.93944076526857978</v>
      </c>
      <c r="Z727" s="218">
        <v>719</v>
      </c>
      <c r="AA727" s="435">
        <v>0.93502575423105228</v>
      </c>
    </row>
    <row r="728" spans="1:27">
      <c r="A728" s="429">
        <v>0.685613425925926</v>
      </c>
      <c r="B728" s="218">
        <v>448</v>
      </c>
      <c r="C728" s="218" t="s">
        <v>314</v>
      </c>
      <c r="D728" s="218">
        <v>224</v>
      </c>
      <c r="E728" s="218" t="s">
        <v>315</v>
      </c>
      <c r="F728" s="218">
        <v>22.8</v>
      </c>
      <c r="G728" s="218" t="s">
        <v>316</v>
      </c>
      <c r="H728" s="218">
        <v>671</v>
      </c>
      <c r="I728" s="218">
        <f t="shared" si="41"/>
        <v>447</v>
      </c>
      <c r="J728" s="218">
        <f t="shared" si="42"/>
        <v>2.2371364653243847E-3</v>
      </c>
      <c r="K728" s="218">
        <f t="shared" si="43"/>
        <v>4.7023947278517976E-2</v>
      </c>
      <c r="L728" s="218">
        <f t="shared" si="44"/>
        <v>426.7</v>
      </c>
      <c r="M728" s="218" t="s">
        <v>323</v>
      </c>
      <c r="P728" s="218">
        <v>723</v>
      </c>
      <c r="Q728" s="218">
        <v>431.7</v>
      </c>
      <c r="R728" s="218">
        <v>447</v>
      </c>
      <c r="S728" s="218">
        <v>398</v>
      </c>
      <c r="T728" s="218">
        <v>425.56666666666666</v>
      </c>
      <c r="U728" s="273">
        <v>2.3498080990052481E-3</v>
      </c>
      <c r="V728" s="218">
        <v>2.3498080990052481E-3</v>
      </c>
      <c r="W728" s="250">
        <v>4.0139196302938629E-5</v>
      </c>
      <c r="X728" s="250">
        <v>0.93944076526857978</v>
      </c>
      <c r="Z728" s="218">
        <v>720</v>
      </c>
      <c r="AA728" s="435">
        <v>0.93649742457689478</v>
      </c>
    </row>
    <row r="729" spans="1:27">
      <c r="A729" s="429">
        <v>0.68562499999999993</v>
      </c>
      <c r="B729" s="218">
        <v>448</v>
      </c>
      <c r="C729" s="218" t="s">
        <v>314</v>
      </c>
      <c r="D729" s="218">
        <v>224</v>
      </c>
      <c r="E729" s="218" t="s">
        <v>315</v>
      </c>
      <c r="F729" s="218">
        <v>22.8</v>
      </c>
      <c r="G729" s="218" t="s">
        <v>316</v>
      </c>
      <c r="H729" s="218">
        <v>672</v>
      </c>
      <c r="I729" s="218">
        <f t="shared" si="41"/>
        <v>448</v>
      </c>
      <c r="J729" s="218">
        <f t="shared" si="42"/>
        <v>2.232142857142857E-3</v>
      </c>
      <c r="K729" s="218">
        <f t="shared" si="43"/>
        <v>4.7028940886699504E-2</v>
      </c>
      <c r="L729" s="218">
        <f t="shared" si="44"/>
        <v>427.7</v>
      </c>
      <c r="M729" s="218" t="s">
        <v>323</v>
      </c>
      <c r="P729" s="218">
        <v>724</v>
      </c>
      <c r="Q729" s="218">
        <v>431.7</v>
      </c>
      <c r="R729" s="218">
        <v>446</v>
      </c>
      <c r="S729" s="218">
        <v>398</v>
      </c>
      <c r="T729" s="218">
        <v>425.23333333333335</v>
      </c>
      <c r="U729" s="273">
        <v>2.3516500744689191E-3</v>
      </c>
      <c r="V729" s="218">
        <v>2.3507290867370838E-3</v>
      </c>
      <c r="W729" s="250">
        <v>4.0154928526934454E-5</v>
      </c>
      <c r="X729" s="250">
        <v>0.93870493009565859</v>
      </c>
      <c r="Z729" s="218">
        <v>721</v>
      </c>
      <c r="AA729" s="435">
        <v>0.93870493009565859</v>
      </c>
    </row>
    <row r="730" spans="1:27">
      <c r="A730" s="429">
        <v>0.68563657407407408</v>
      </c>
      <c r="B730" s="218">
        <v>449</v>
      </c>
      <c r="C730" s="218" t="s">
        <v>314</v>
      </c>
      <c r="D730" s="218">
        <v>225</v>
      </c>
      <c r="E730" s="218" t="s">
        <v>315</v>
      </c>
      <c r="F730" s="218">
        <v>22.8</v>
      </c>
      <c r="G730" s="218" t="s">
        <v>316</v>
      </c>
      <c r="H730" s="218">
        <v>673</v>
      </c>
      <c r="I730" s="218">
        <f t="shared" si="41"/>
        <v>448</v>
      </c>
      <c r="J730" s="218">
        <f t="shared" si="42"/>
        <v>2.232142857142857E-3</v>
      </c>
      <c r="K730" s="218">
        <f t="shared" si="43"/>
        <v>4.7028940886699504E-2</v>
      </c>
      <c r="L730" s="218">
        <f t="shared" si="44"/>
        <v>427.7</v>
      </c>
      <c r="M730" s="218" t="s">
        <v>323</v>
      </c>
      <c r="P730" s="218">
        <v>725</v>
      </c>
      <c r="Q730" s="218">
        <v>432.7</v>
      </c>
      <c r="R730" s="218">
        <v>447</v>
      </c>
      <c r="S730" s="218">
        <v>399</v>
      </c>
      <c r="T730" s="218">
        <v>426.23333333333335</v>
      </c>
      <c r="U730" s="273">
        <v>2.3461327911159769E-3</v>
      </c>
      <c r="V730" s="218">
        <v>2.3488914327924482E-3</v>
      </c>
      <c r="W730" s="250">
        <v>4.0123537898715995E-5</v>
      </c>
      <c r="X730" s="250">
        <v>0.94091243561442239</v>
      </c>
      <c r="Z730" s="218">
        <v>722</v>
      </c>
      <c r="AA730" s="435">
        <v>0.93944076526857978</v>
      </c>
    </row>
    <row r="731" spans="1:27">
      <c r="A731" s="429">
        <v>0.68564814814814812</v>
      </c>
      <c r="B731" s="218">
        <v>449</v>
      </c>
      <c r="C731" s="218" t="s">
        <v>314</v>
      </c>
      <c r="D731" s="218">
        <v>225</v>
      </c>
      <c r="E731" s="218" t="s">
        <v>315</v>
      </c>
      <c r="F731" s="218">
        <v>22.8</v>
      </c>
      <c r="G731" s="218" t="s">
        <v>316</v>
      </c>
      <c r="H731" s="218">
        <v>674</v>
      </c>
      <c r="I731" s="218">
        <f t="shared" si="41"/>
        <v>449</v>
      </c>
      <c r="J731" s="218">
        <f t="shared" si="42"/>
        <v>2.2271714922048997E-3</v>
      </c>
      <c r="K731" s="218">
        <f t="shared" si="43"/>
        <v>4.7033912251637458E-2</v>
      </c>
      <c r="L731" s="218">
        <f t="shared" si="44"/>
        <v>428.7</v>
      </c>
      <c r="M731" s="218" t="s">
        <v>323</v>
      </c>
      <c r="P731" s="218">
        <v>726</v>
      </c>
      <c r="Q731" s="218">
        <v>430.7</v>
      </c>
      <c r="R731" s="218">
        <v>447</v>
      </c>
      <c r="S731" s="218">
        <v>399</v>
      </c>
      <c r="T731" s="218">
        <v>425.56666666666666</v>
      </c>
      <c r="U731" s="273">
        <v>2.3498080990052481E-3</v>
      </c>
      <c r="V731" s="218">
        <v>2.3479704450606125E-3</v>
      </c>
      <c r="W731" s="250">
        <v>4.010780567472017E-5</v>
      </c>
      <c r="X731" s="250">
        <v>0.93944076526857978</v>
      </c>
      <c r="Z731" s="218">
        <v>723</v>
      </c>
      <c r="AA731" s="435">
        <v>0.93944076526857978</v>
      </c>
    </row>
    <row r="732" spans="1:27">
      <c r="A732" s="429">
        <v>0.68565972222222227</v>
      </c>
      <c r="B732" s="218">
        <v>449</v>
      </c>
      <c r="C732" s="218" t="s">
        <v>314</v>
      </c>
      <c r="D732" s="218">
        <v>225</v>
      </c>
      <c r="E732" s="218" t="s">
        <v>315</v>
      </c>
      <c r="F732" s="218">
        <v>22.8</v>
      </c>
      <c r="G732" s="218" t="s">
        <v>316</v>
      </c>
      <c r="H732" s="218">
        <v>675</v>
      </c>
      <c r="I732" s="218">
        <f t="shared" si="41"/>
        <v>449</v>
      </c>
      <c r="J732" s="218">
        <f t="shared" si="42"/>
        <v>2.2271714922048997E-3</v>
      </c>
      <c r="K732" s="218">
        <f t="shared" si="43"/>
        <v>4.7033912251637458E-2</v>
      </c>
      <c r="L732" s="218">
        <f t="shared" si="44"/>
        <v>428.7</v>
      </c>
      <c r="M732" s="218" t="s">
        <v>323</v>
      </c>
      <c r="P732" s="218">
        <v>727</v>
      </c>
      <c r="Q732" s="218">
        <v>432.7</v>
      </c>
      <c r="R732" s="218">
        <v>448</v>
      </c>
      <c r="S732" s="218">
        <v>400</v>
      </c>
      <c r="T732" s="218">
        <v>426.90000000000003</v>
      </c>
      <c r="U732" s="273">
        <v>2.3424689622862497E-3</v>
      </c>
      <c r="V732" s="218">
        <v>2.3461385306457489E-3</v>
      </c>
      <c r="W732" s="250">
        <v>4.0076513088598132E-5</v>
      </c>
      <c r="X732" s="250">
        <v>0.94238410596026501</v>
      </c>
      <c r="Z732" s="218">
        <v>724</v>
      </c>
      <c r="AA732" s="435">
        <v>0.93870493009565859</v>
      </c>
    </row>
    <row r="733" spans="1:27">
      <c r="A733" s="429">
        <v>0.6856712962962962</v>
      </c>
      <c r="B733" s="218">
        <v>449</v>
      </c>
      <c r="C733" s="218" t="s">
        <v>314</v>
      </c>
      <c r="D733" s="218">
        <v>225</v>
      </c>
      <c r="E733" s="218" t="s">
        <v>315</v>
      </c>
      <c r="F733" s="218">
        <v>22.8</v>
      </c>
      <c r="G733" s="218" t="s">
        <v>316</v>
      </c>
      <c r="H733" s="218">
        <v>676</v>
      </c>
      <c r="I733" s="218">
        <f t="shared" si="41"/>
        <v>449</v>
      </c>
      <c r="J733" s="218">
        <f t="shared" si="42"/>
        <v>2.2271714922048997E-3</v>
      </c>
      <c r="K733" s="218">
        <f t="shared" si="43"/>
        <v>4.7033912251637458E-2</v>
      </c>
      <c r="L733" s="218">
        <f t="shared" si="44"/>
        <v>428.7</v>
      </c>
      <c r="M733" s="218" t="s">
        <v>323</v>
      </c>
      <c r="P733" s="218">
        <v>728</v>
      </c>
      <c r="Q733" s="218">
        <v>430.7</v>
      </c>
      <c r="R733" s="218">
        <v>445</v>
      </c>
      <c r="S733" s="218">
        <v>400</v>
      </c>
      <c r="T733" s="218">
        <v>425.23333333333335</v>
      </c>
      <c r="U733" s="273">
        <v>2.3516500744689191E-3</v>
      </c>
      <c r="V733" s="218">
        <v>2.3470595183775842E-3</v>
      </c>
      <c r="W733" s="250">
        <v>4.0092245312593943E-5</v>
      </c>
      <c r="X733" s="250">
        <v>0.93870493009565859</v>
      </c>
      <c r="Z733" s="218">
        <v>725</v>
      </c>
      <c r="AA733" s="435">
        <v>0.94091243561442239</v>
      </c>
    </row>
    <row r="734" spans="1:27">
      <c r="A734" s="429">
        <v>0.68568287037037035</v>
      </c>
      <c r="B734" s="218">
        <v>449</v>
      </c>
      <c r="C734" s="218" t="s">
        <v>314</v>
      </c>
      <c r="D734" s="218">
        <v>225</v>
      </c>
      <c r="E734" s="218" t="s">
        <v>315</v>
      </c>
      <c r="F734" s="218">
        <v>22.8</v>
      </c>
      <c r="G734" s="218" t="s">
        <v>316</v>
      </c>
      <c r="H734" s="218">
        <v>677</v>
      </c>
      <c r="I734" s="218">
        <f t="shared" si="41"/>
        <v>449</v>
      </c>
      <c r="J734" s="218">
        <f t="shared" si="42"/>
        <v>2.2271714922048997E-3</v>
      </c>
      <c r="K734" s="218">
        <f t="shared" si="43"/>
        <v>4.7033912251637458E-2</v>
      </c>
      <c r="L734" s="218">
        <f t="shared" si="44"/>
        <v>428.7</v>
      </c>
      <c r="M734" s="218" t="s">
        <v>323</v>
      </c>
      <c r="P734" s="218">
        <v>729</v>
      </c>
      <c r="Q734" s="218">
        <v>431.7</v>
      </c>
      <c r="R734" s="218">
        <v>447</v>
      </c>
      <c r="S734" s="218">
        <v>400</v>
      </c>
      <c r="T734" s="218">
        <v>426.23333333333335</v>
      </c>
      <c r="U734" s="273">
        <v>2.3461327911159769E-3</v>
      </c>
      <c r="V734" s="218">
        <v>2.3488914327924482E-3</v>
      </c>
      <c r="W734" s="250">
        <v>4.0123537898715995E-5</v>
      </c>
      <c r="X734" s="250">
        <v>0.94091243561442239</v>
      </c>
      <c r="Z734" s="218">
        <v>726</v>
      </c>
      <c r="AA734" s="435">
        <v>0.93944076526857978</v>
      </c>
    </row>
    <row r="735" spans="1:27">
      <c r="A735" s="429">
        <v>0.6856944444444445</v>
      </c>
      <c r="B735" s="218">
        <v>448</v>
      </c>
      <c r="C735" s="218" t="s">
        <v>314</v>
      </c>
      <c r="D735" s="218">
        <v>224</v>
      </c>
      <c r="E735" s="218" t="s">
        <v>315</v>
      </c>
      <c r="F735" s="218">
        <v>22.8</v>
      </c>
      <c r="G735" s="218" t="s">
        <v>316</v>
      </c>
      <c r="H735" s="218">
        <v>678</v>
      </c>
      <c r="I735" s="218">
        <f t="shared" si="41"/>
        <v>449</v>
      </c>
      <c r="J735" s="218">
        <f t="shared" si="42"/>
        <v>2.2271714922048997E-3</v>
      </c>
      <c r="K735" s="218">
        <f t="shared" si="43"/>
        <v>4.7033912251637458E-2</v>
      </c>
      <c r="L735" s="218">
        <f t="shared" si="44"/>
        <v>428.7</v>
      </c>
      <c r="M735" s="218" t="s">
        <v>323</v>
      </c>
      <c r="P735" s="218">
        <v>730</v>
      </c>
      <c r="Q735" s="218">
        <v>430.7</v>
      </c>
      <c r="R735" s="218">
        <v>446</v>
      </c>
      <c r="S735" s="218">
        <v>400</v>
      </c>
      <c r="T735" s="218">
        <v>425.56666666666666</v>
      </c>
      <c r="U735" s="273">
        <v>2.3498080990052481E-3</v>
      </c>
      <c r="V735" s="218">
        <v>2.3479704450606125E-3</v>
      </c>
      <c r="W735" s="250">
        <v>4.010780567472017E-5</v>
      </c>
      <c r="X735" s="250">
        <v>0.93944076526857978</v>
      </c>
      <c r="Z735" s="218">
        <v>727</v>
      </c>
      <c r="AA735" s="435">
        <v>0.94238410596026501</v>
      </c>
    </row>
    <row r="736" spans="1:27">
      <c r="A736" s="429">
        <v>0.68570601851851853</v>
      </c>
      <c r="B736" s="218">
        <v>449</v>
      </c>
      <c r="C736" s="218" t="s">
        <v>314</v>
      </c>
      <c r="D736" s="218">
        <v>225</v>
      </c>
      <c r="E736" s="218" t="s">
        <v>315</v>
      </c>
      <c r="F736" s="218">
        <v>22.8</v>
      </c>
      <c r="G736" s="218" t="s">
        <v>316</v>
      </c>
      <c r="H736" s="218">
        <v>679</v>
      </c>
      <c r="I736" s="218">
        <f t="shared" si="41"/>
        <v>448</v>
      </c>
      <c r="J736" s="218">
        <f t="shared" si="42"/>
        <v>2.232142857142857E-3</v>
      </c>
      <c r="K736" s="218">
        <f t="shared" si="43"/>
        <v>4.7028940886699504E-2</v>
      </c>
      <c r="L736" s="218">
        <f t="shared" si="44"/>
        <v>427.7</v>
      </c>
      <c r="M736" s="218" t="s">
        <v>323</v>
      </c>
      <c r="P736" s="218">
        <v>731</v>
      </c>
      <c r="Q736" s="218">
        <v>431.7</v>
      </c>
      <c r="R736" s="218">
        <v>447</v>
      </c>
      <c r="S736" s="218">
        <v>401</v>
      </c>
      <c r="T736" s="218">
        <v>426.56666666666666</v>
      </c>
      <c r="U736" s="273">
        <v>2.3442994451824645E-3</v>
      </c>
      <c r="V736" s="218">
        <v>2.3470537720938563E-3</v>
      </c>
      <c r="W736" s="250">
        <v>4.0092147155127102E-5</v>
      </c>
      <c r="X736" s="250">
        <v>0.94164827078734359</v>
      </c>
      <c r="Z736" s="218">
        <v>728</v>
      </c>
      <c r="AA736" s="435">
        <v>0.93870493009565859</v>
      </c>
    </row>
    <row r="737" spans="1:27">
      <c r="A737" s="429">
        <v>0.68571759259259257</v>
      </c>
      <c r="B737" s="218">
        <v>449</v>
      </c>
      <c r="C737" s="218" t="s">
        <v>314</v>
      </c>
      <c r="D737" s="218">
        <v>225</v>
      </c>
      <c r="E737" s="218" t="s">
        <v>315</v>
      </c>
      <c r="F737" s="218">
        <v>22.8</v>
      </c>
      <c r="G737" s="218" t="s">
        <v>316</v>
      </c>
      <c r="H737" s="218">
        <v>680</v>
      </c>
      <c r="I737" s="218">
        <f t="shared" si="41"/>
        <v>449</v>
      </c>
      <c r="J737" s="218">
        <f t="shared" si="42"/>
        <v>2.2271714922048997E-3</v>
      </c>
      <c r="K737" s="218">
        <f t="shared" si="43"/>
        <v>4.7033912251637458E-2</v>
      </c>
      <c r="L737" s="218">
        <f t="shared" si="44"/>
        <v>428.7</v>
      </c>
      <c r="M737" s="218" t="s">
        <v>323</v>
      </c>
      <c r="P737" s="218">
        <v>732</v>
      </c>
      <c r="Q737" s="218">
        <v>431.7</v>
      </c>
      <c r="R737" s="218">
        <v>447</v>
      </c>
      <c r="S737" s="218">
        <v>401</v>
      </c>
      <c r="T737" s="218">
        <v>426.56666666666666</v>
      </c>
      <c r="U737" s="273">
        <v>2.3442994451824645E-3</v>
      </c>
      <c r="V737" s="218">
        <v>2.3442994451824645E-3</v>
      </c>
      <c r="W737" s="250">
        <v>4.0045098007315575E-5</v>
      </c>
      <c r="X737" s="250">
        <v>0.94164827078734359</v>
      </c>
      <c r="Z737" s="218">
        <v>729</v>
      </c>
      <c r="AA737" s="435">
        <v>0.94091243561442239</v>
      </c>
    </row>
    <row r="738" spans="1:27">
      <c r="A738" s="429">
        <v>0.68572916666666661</v>
      </c>
      <c r="B738" s="218">
        <v>449</v>
      </c>
      <c r="C738" s="218" t="s">
        <v>314</v>
      </c>
      <c r="D738" s="218">
        <v>225</v>
      </c>
      <c r="E738" s="218" t="s">
        <v>315</v>
      </c>
      <c r="F738" s="218">
        <v>22.8</v>
      </c>
      <c r="G738" s="218" t="s">
        <v>316</v>
      </c>
      <c r="H738" s="218">
        <v>681</v>
      </c>
      <c r="I738" s="218">
        <f t="shared" si="41"/>
        <v>449</v>
      </c>
      <c r="J738" s="218">
        <f t="shared" si="42"/>
        <v>2.2271714922048997E-3</v>
      </c>
      <c r="K738" s="218">
        <f t="shared" si="43"/>
        <v>4.7033912251637458E-2</v>
      </c>
      <c r="L738" s="218">
        <f t="shared" si="44"/>
        <v>428.7</v>
      </c>
      <c r="M738" s="218" t="s">
        <v>323</v>
      </c>
      <c r="P738" s="218">
        <v>733</v>
      </c>
      <c r="Q738" s="218">
        <v>431.7</v>
      </c>
      <c r="R738" s="218">
        <v>447</v>
      </c>
      <c r="S738" s="218">
        <v>398</v>
      </c>
      <c r="T738" s="218">
        <v>425.56666666666666</v>
      </c>
      <c r="U738" s="273">
        <v>2.3498080990052481E-3</v>
      </c>
      <c r="V738" s="218">
        <v>2.3470537720938563E-3</v>
      </c>
      <c r="W738" s="250">
        <v>4.0092147155127102E-5</v>
      </c>
      <c r="X738" s="250">
        <v>0.93944076526857978</v>
      </c>
      <c r="Z738" s="218">
        <v>730</v>
      </c>
      <c r="AA738" s="435">
        <v>0.93944076526857978</v>
      </c>
    </row>
    <row r="739" spans="1:27">
      <c r="A739" s="429">
        <v>0.68574074074074076</v>
      </c>
      <c r="B739" s="218">
        <v>450</v>
      </c>
      <c r="C739" s="218" t="s">
        <v>314</v>
      </c>
      <c r="D739" s="218">
        <v>225</v>
      </c>
      <c r="E739" s="218" t="s">
        <v>315</v>
      </c>
      <c r="F739" s="218">
        <v>22.8</v>
      </c>
      <c r="G739" s="218" t="s">
        <v>316</v>
      </c>
      <c r="H739" s="218">
        <v>682</v>
      </c>
      <c r="I739" s="218">
        <f t="shared" si="41"/>
        <v>449</v>
      </c>
      <c r="J739" s="218">
        <f t="shared" si="42"/>
        <v>2.2271714922048997E-3</v>
      </c>
      <c r="K739" s="218">
        <f t="shared" si="43"/>
        <v>4.7033912251637458E-2</v>
      </c>
      <c r="L739" s="218">
        <f t="shared" si="44"/>
        <v>428.7</v>
      </c>
      <c r="M739" s="218" t="s">
        <v>323</v>
      </c>
      <c r="P739" s="218">
        <v>734</v>
      </c>
      <c r="Q739" s="218">
        <v>432.7</v>
      </c>
      <c r="R739" s="218">
        <v>448</v>
      </c>
      <c r="S739" s="218">
        <v>398</v>
      </c>
      <c r="T739" s="218">
        <v>426.23333333333335</v>
      </c>
      <c r="U739" s="273">
        <v>2.3461327911159769E-3</v>
      </c>
      <c r="V739" s="218">
        <v>2.3479704450606125E-3</v>
      </c>
      <c r="W739" s="250">
        <v>4.010780567472017E-5</v>
      </c>
      <c r="X739" s="250">
        <v>0.94091243561442239</v>
      </c>
      <c r="Z739" s="218">
        <v>731</v>
      </c>
      <c r="AA739" s="435">
        <v>0.94164827078734359</v>
      </c>
    </row>
    <row r="740" spans="1:27">
      <c r="A740" s="429">
        <v>0.68575231481481491</v>
      </c>
      <c r="B740" s="218">
        <v>449</v>
      </c>
      <c r="C740" s="218" t="s">
        <v>314</v>
      </c>
      <c r="D740" s="218">
        <v>225</v>
      </c>
      <c r="E740" s="218" t="s">
        <v>315</v>
      </c>
      <c r="F740" s="218">
        <v>22.8</v>
      </c>
      <c r="G740" s="218" t="s">
        <v>316</v>
      </c>
      <c r="H740" s="218">
        <v>683</v>
      </c>
      <c r="I740" s="218">
        <f t="shared" si="41"/>
        <v>450</v>
      </c>
      <c r="J740" s="218">
        <f t="shared" si="42"/>
        <v>2.2222222222222222E-3</v>
      </c>
      <c r="K740" s="218">
        <f t="shared" si="43"/>
        <v>4.7038861521620137E-2</v>
      </c>
      <c r="L740" s="218">
        <f t="shared" si="44"/>
        <v>429.7</v>
      </c>
      <c r="M740" s="218" t="s">
        <v>323</v>
      </c>
      <c r="P740" s="218">
        <v>735</v>
      </c>
      <c r="Q740" s="218">
        <v>432.7</v>
      </c>
      <c r="R740" s="218">
        <v>447</v>
      </c>
      <c r="S740" s="218">
        <v>400</v>
      </c>
      <c r="T740" s="218">
        <v>426.56666666666666</v>
      </c>
      <c r="U740" s="273">
        <v>2.3442994451824645E-3</v>
      </c>
      <c r="V740" s="218">
        <v>2.3452161181492207E-3</v>
      </c>
      <c r="W740" s="250">
        <v>4.0060756526908643E-5</v>
      </c>
      <c r="X740" s="250">
        <v>0.94164827078734359</v>
      </c>
      <c r="Z740" s="218">
        <v>732</v>
      </c>
      <c r="AA740" s="435">
        <v>0.94164827078734359</v>
      </c>
    </row>
    <row r="741" spans="1:27">
      <c r="A741" s="429">
        <v>0.68576388888888884</v>
      </c>
      <c r="B741" s="218">
        <v>450</v>
      </c>
      <c r="C741" s="218" t="s">
        <v>314</v>
      </c>
      <c r="D741" s="218">
        <v>225</v>
      </c>
      <c r="E741" s="218" t="s">
        <v>315</v>
      </c>
      <c r="F741" s="218">
        <v>22.8</v>
      </c>
      <c r="G741" s="218" t="s">
        <v>316</v>
      </c>
      <c r="H741" s="218">
        <v>684</v>
      </c>
      <c r="I741" s="218">
        <f t="shared" si="41"/>
        <v>449</v>
      </c>
      <c r="J741" s="218">
        <f t="shared" si="42"/>
        <v>2.2271714922048997E-3</v>
      </c>
      <c r="K741" s="218">
        <f t="shared" si="43"/>
        <v>4.7033912251637458E-2</v>
      </c>
      <c r="L741" s="218">
        <f t="shared" si="44"/>
        <v>428.7</v>
      </c>
      <c r="M741" s="218" t="s">
        <v>323</v>
      </c>
      <c r="P741" s="218">
        <v>736</v>
      </c>
      <c r="Q741" s="218">
        <v>432.7</v>
      </c>
      <c r="R741" s="218">
        <v>447</v>
      </c>
      <c r="S741" s="218">
        <v>400</v>
      </c>
      <c r="T741" s="218">
        <v>426.56666666666666</v>
      </c>
      <c r="U741" s="273">
        <v>2.3442994451824645E-3</v>
      </c>
      <c r="V741" s="218">
        <v>2.3442994451824645E-3</v>
      </c>
      <c r="W741" s="250">
        <v>4.0045098007315575E-5</v>
      </c>
      <c r="X741" s="250">
        <v>0.94164827078734359</v>
      </c>
      <c r="Z741" s="218">
        <v>733</v>
      </c>
      <c r="AA741" s="435">
        <v>0.93944076526857978</v>
      </c>
    </row>
    <row r="742" spans="1:27">
      <c r="A742" s="429">
        <v>0.68577546296296299</v>
      </c>
      <c r="B742" s="218">
        <v>449</v>
      </c>
      <c r="C742" s="218" t="s">
        <v>314</v>
      </c>
      <c r="D742" s="218">
        <v>225</v>
      </c>
      <c r="E742" s="218" t="s">
        <v>315</v>
      </c>
      <c r="F742" s="218">
        <v>22.8</v>
      </c>
      <c r="G742" s="218" t="s">
        <v>316</v>
      </c>
      <c r="H742" s="218">
        <v>685</v>
      </c>
      <c r="I742" s="218">
        <f t="shared" si="41"/>
        <v>450</v>
      </c>
      <c r="J742" s="218">
        <f t="shared" si="42"/>
        <v>2.2222222222222222E-3</v>
      </c>
      <c r="K742" s="218">
        <f t="shared" si="43"/>
        <v>4.7038861521620137E-2</v>
      </c>
      <c r="L742" s="218">
        <f t="shared" si="44"/>
        <v>429.7</v>
      </c>
      <c r="M742" s="218" t="s">
        <v>323</v>
      </c>
      <c r="P742" s="218">
        <v>737</v>
      </c>
      <c r="Q742" s="218">
        <v>432.7</v>
      </c>
      <c r="R742" s="218">
        <v>447</v>
      </c>
      <c r="S742" s="218">
        <v>401</v>
      </c>
      <c r="T742" s="218">
        <v>426.90000000000003</v>
      </c>
      <c r="U742" s="273">
        <v>2.3424689622862497E-3</v>
      </c>
      <c r="V742" s="218">
        <v>2.3433842037343571E-3</v>
      </c>
      <c r="W742" s="250">
        <v>4.0029463940786598E-5</v>
      </c>
      <c r="X742" s="250">
        <v>0.94238410596026501</v>
      </c>
      <c r="Z742" s="218">
        <v>734</v>
      </c>
      <c r="AA742" s="435">
        <v>0.94091243561442239</v>
      </c>
    </row>
    <row r="743" spans="1:27">
      <c r="A743" s="429">
        <v>0.68578703703703703</v>
      </c>
      <c r="B743" s="218">
        <v>451</v>
      </c>
      <c r="C743" s="218" t="s">
        <v>314</v>
      </c>
      <c r="D743" s="218">
        <v>226</v>
      </c>
      <c r="E743" s="218" t="s">
        <v>315</v>
      </c>
      <c r="F743" s="218">
        <v>22.8</v>
      </c>
      <c r="G743" s="218" t="s">
        <v>316</v>
      </c>
      <c r="H743" s="218">
        <v>686</v>
      </c>
      <c r="I743" s="218">
        <f t="shared" si="41"/>
        <v>449</v>
      </c>
      <c r="J743" s="218">
        <f t="shared" si="42"/>
        <v>2.2271714922048997E-3</v>
      </c>
      <c r="K743" s="218">
        <f t="shared" si="43"/>
        <v>4.7033912251637458E-2</v>
      </c>
      <c r="L743" s="218">
        <f t="shared" si="44"/>
        <v>428.7</v>
      </c>
      <c r="M743" s="218" t="s">
        <v>323</v>
      </c>
      <c r="P743" s="218">
        <v>738</v>
      </c>
      <c r="Q743" s="218">
        <v>431.7</v>
      </c>
      <c r="R743" s="218">
        <v>448</v>
      </c>
      <c r="S743" s="218">
        <v>401</v>
      </c>
      <c r="T743" s="218">
        <v>426.90000000000003</v>
      </c>
      <c r="U743" s="273">
        <v>2.3424689622862497E-3</v>
      </c>
      <c r="V743" s="218">
        <v>2.3424689622862497E-3</v>
      </c>
      <c r="W743" s="250">
        <v>4.0013829874257629E-5</v>
      </c>
      <c r="X743" s="250">
        <v>0.94238410596026501</v>
      </c>
      <c r="Z743" s="218">
        <v>735</v>
      </c>
      <c r="AA743" s="435">
        <v>0.94164827078734359</v>
      </c>
    </row>
    <row r="744" spans="1:27">
      <c r="A744" s="429">
        <v>0.68579861111111118</v>
      </c>
      <c r="B744" s="218">
        <v>448</v>
      </c>
      <c r="C744" s="218" t="s">
        <v>314</v>
      </c>
      <c r="D744" s="218">
        <v>224</v>
      </c>
      <c r="E744" s="218" t="s">
        <v>315</v>
      </c>
      <c r="F744" s="218">
        <v>22.8</v>
      </c>
      <c r="G744" s="218" t="s">
        <v>316</v>
      </c>
      <c r="H744" s="218">
        <v>687</v>
      </c>
      <c r="I744" s="218">
        <f t="shared" si="41"/>
        <v>451</v>
      </c>
      <c r="J744" s="218">
        <f t="shared" si="42"/>
        <v>2.2172949002217295E-3</v>
      </c>
      <c r="K744" s="218">
        <f t="shared" si="43"/>
        <v>4.7043788843620628E-2</v>
      </c>
      <c r="L744" s="218">
        <f t="shared" si="44"/>
        <v>430.7</v>
      </c>
      <c r="M744" s="218" t="s">
        <v>323</v>
      </c>
      <c r="P744" s="218">
        <v>739</v>
      </c>
      <c r="Q744" s="218">
        <v>432.7</v>
      </c>
      <c r="R744" s="218">
        <v>446</v>
      </c>
      <c r="S744" s="218">
        <v>402</v>
      </c>
      <c r="T744" s="218">
        <v>426.90000000000003</v>
      </c>
      <c r="U744" s="273">
        <v>2.3424689622862497E-3</v>
      </c>
      <c r="V744" s="218">
        <v>2.3424689622862497E-3</v>
      </c>
      <c r="W744" s="250">
        <v>4.0013829874257629E-5</v>
      </c>
      <c r="X744" s="250">
        <v>0.94238410596026501</v>
      </c>
      <c r="Z744" s="218">
        <v>736</v>
      </c>
      <c r="AA744" s="435">
        <v>0.94164827078734359</v>
      </c>
    </row>
    <row r="745" spans="1:27">
      <c r="A745" s="429">
        <v>0.68581018518518511</v>
      </c>
      <c r="B745" s="218">
        <v>450</v>
      </c>
      <c r="C745" s="218" t="s">
        <v>314</v>
      </c>
      <c r="D745" s="218">
        <v>225</v>
      </c>
      <c r="E745" s="218" t="s">
        <v>315</v>
      </c>
      <c r="F745" s="218">
        <v>22.8</v>
      </c>
      <c r="G745" s="218" t="s">
        <v>316</v>
      </c>
      <c r="H745" s="218">
        <v>688</v>
      </c>
      <c r="I745" s="218">
        <f t="shared" si="41"/>
        <v>448</v>
      </c>
      <c r="J745" s="218">
        <f t="shared" si="42"/>
        <v>2.232142857142857E-3</v>
      </c>
      <c r="K745" s="218">
        <f t="shared" si="43"/>
        <v>4.7028940886699504E-2</v>
      </c>
      <c r="L745" s="218">
        <f t="shared" si="44"/>
        <v>427.7</v>
      </c>
      <c r="M745" s="218" t="s">
        <v>323</v>
      </c>
      <c r="P745" s="218">
        <v>740</v>
      </c>
      <c r="Q745" s="218">
        <v>431.7</v>
      </c>
      <c r="R745" s="218">
        <v>447</v>
      </c>
      <c r="S745" s="218">
        <v>402</v>
      </c>
      <c r="T745" s="218">
        <v>426.90000000000003</v>
      </c>
      <c r="U745" s="273">
        <v>2.3424689622862497E-3</v>
      </c>
      <c r="V745" s="218">
        <v>2.3424689622862497E-3</v>
      </c>
      <c r="W745" s="250">
        <v>4.0013829874257629E-5</v>
      </c>
      <c r="X745" s="250">
        <v>0.94238410596026501</v>
      </c>
      <c r="Z745" s="218">
        <v>737</v>
      </c>
      <c r="AA745" s="435">
        <v>0.94238410596026501</v>
      </c>
    </row>
    <row r="746" spans="1:27">
      <c r="A746" s="429">
        <v>0.68582175925925926</v>
      </c>
      <c r="B746" s="218">
        <v>449</v>
      </c>
      <c r="C746" s="218" t="s">
        <v>314</v>
      </c>
      <c r="D746" s="218">
        <v>225</v>
      </c>
      <c r="E746" s="218" t="s">
        <v>315</v>
      </c>
      <c r="F746" s="218">
        <v>22.8</v>
      </c>
      <c r="G746" s="218" t="s">
        <v>316</v>
      </c>
      <c r="H746" s="218">
        <v>689</v>
      </c>
      <c r="I746" s="218">
        <f t="shared" si="41"/>
        <v>450</v>
      </c>
      <c r="J746" s="218">
        <f t="shared" si="42"/>
        <v>2.2222222222222222E-3</v>
      </c>
      <c r="K746" s="218">
        <f t="shared" si="43"/>
        <v>4.7038861521620137E-2</v>
      </c>
      <c r="L746" s="218">
        <f t="shared" si="44"/>
        <v>429.7</v>
      </c>
      <c r="M746" s="218" t="s">
        <v>323</v>
      </c>
      <c r="P746" s="218">
        <v>741</v>
      </c>
      <c r="Q746" s="218">
        <v>432.7</v>
      </c>
      <c r="R746" s="218">
        <v>447</v>
      </c>
      <c r="S746" s="218">
        <v>403</v>
      </c>
      <c r="T746" s="218">
        <v>427.56666666666666</v>
      </c>
      <c r="U746" s="273">
        <v>2.3388165588212363E-3</v>
      </c>
      <c r="V746" s="218">
        <v>2.3406427605537428E-3</v>
      </c>
      <c r="W746" s="250">
        <v>3.9982634871627035E-5</v>
      </c>
      <c r="X746" s="250">
        <v>0.9438557763061074</v>
      </c>
      <c r="Z746" s="218">
        <v>738</v>
      </c>
      <c r="AA746" s="435">
        <v>0.94238410596026501</v>
      </c>
    </row>
    <row r="747" spans="1:27">
      <c r="A747" s="429">
        <v>0.68583333333333341</v>
      </c>
      <c r="B747" s="218">
        <v>450</v>
      </c>
      <c r="C747" s="218" t="s">
        <v>314</v>
      </c>
      <c r="D747" s="218">
        <v>225</v>
      </c>
      <c r="E747" s="218" t="s">
        <v>315</v>
      </c>
      <c r="F747" s="218">
        <v>22.8</v>
      </c>
      <c r="G747" s="218" t="s">
        <v>316</v>
      </c>
      <c r="H747" s="218">
        <v>690</v>
      </c>
      <c r="I747" s="218">
        <f t="shared" si="41"/>
        <v>449</v>
      </c>
      <c r="J747" s="218">
        <f t="shared" si="42"/>
        <v>2.2271714922048997E-3</v>
      </c>
      <c r="K747" s="218">
        <f t="shared" si="43"/>
        <v>4.7033912251637458E-2</v>
      </c>
      <c r="L747" s="218">
        <f t="shared" si="44"/>
        <v>428.7</v>
      </c>
      <c r="M747" s="218" t="s">
        <v>323</v>
      </c>
      <c r="P747" s="218">
        <v>742</v>
      </c>
      <c r="Q747" s="218">
        <v>432.7</v>
      </c>
      <c r="R747" s="218">
        <v>448</v>
      </c>
      <c r="S747" s="218">
        <v>403</v>
      </c>
      <c r="T747" s="218">
        <v>427.90000000000003</v>
      </c>
      <c r="U747" s="273">
        <v>2.3369946249123625E-3</v>
      </c>
      <c r="V747" s="218">
        <v>2.3379055918667994E-3</v>
      </c>
      <c r="W747" s="250">
        <v>3.9935878818957889E-5</v>
      </c>
      <c r="X747" s="250">
        <v>0.94459161147902881</v>
      </c>
      <c r="Z747" s="218">
        <v>739</v>
      </c>
      <c r="AA747" s="435">
        <v>0.94238410596026501</v>
      </c>
    </row>
    <row r="748" spans="1:27">
      <c r="A748" s="429">
        <v>0.68584490740740733</v>
      </c>
      <c r="B748" s="218">
        <v>450</v>
      </c>
      <c r="C748" s="218" t="s">
        <v>314</v>
      </c>
      <c r="D748" s="218">
        <v>225</v>
      </c>
      <c r="E748" s="218" t="s">
        <v>315</v>
      </c>
      <c r="F748" s="218">
        <v>22.8</v>
      </c>
      <c r="G748" s="218" t="s">
        <v>316</v>
      </c>
      <c r="H748" s="218">
        <v>691</v>
      </c>
      <c r="I748" s="218">
        <f t="shared" si="41"/>
        <v>450</v>
      </c>
      <c r="J748" s="218">
        <f t="shared" si="42"/>
        <v>2.2222222222222222E-3</v>
      </c>
      <c r="K748" s="218">
        <f t="shared" si="43"/>
        <v>4.7038861521620137E-2</v>
      </c>
      <c r="L748" s="218">
        <f t="shared" si="44"/>
        <v>429.7</v>
      </c>
      <c r="M748" s="218" t="s">
        <v>323</v>
      </c>
      <c r="P748" s="218">
        <v>743</v>
      </c>
      <c r="Q748" s="218">
        <v>432.7</v>
      </c>
      <c r="R748" s="218">
        <v>448</v>
      </c>
      <c r="S748" s="218">
        <v>404</v>
      </c>
      <c r="T748" s="218">
        <v>428.23333333333335</v>
      </c>
      <c r="U748" s="273">
        <v>2.3351755273604731E-3</v>
      </c>
      <c r="V748" s="218">
        <v>2.3360850761364178E-3</v>
      </c>
      <c r="W748" s="250">
        <v>3.9904780944069587E-5</v>
      </c>
      <c r="X748" s="250">
        <v>0.94532744665195001</v>
      </c>
      <c r="Z748" s="218">
        <v>740</v>
      </c>
      <c r="AA748" s="435">
        <v>0.94238410596026501</v>
      </c>
    </row>
    <row r="749" spans="1:27">
      <c r="A749" s="429">
        <v>0.68585648148148148</v>
      </c>
      <c r="B749" s="218">
        <v>450</v>
      </c>
      <c r="C749" s="218" t="s">
        <v>314</v>
      </c>
      <c r="D749" s="218">
        <v>225</v>
      </c>
      <c r="E749" s="218" t="s">
        <v>315</v>
      </c>
      <c r="F749" s="218">
        <v>22.8</v>
      </c>
      <c r="G749" s="218" t="s">
        <v>316</v>
      </c>
      <c r="H749" s="218">
        <v>692</v>
      </c>
      <c r="I749" s="218">
        <f t="shared" si="41"/>
        <v>450</v>
      </c>
      <c r="J749" s="218">
        <f t="shared" si="42"/>
        <v>2.2222222222222222E-3</v>
      </c>
      <c r="K749" s="218">
        <f t="shared" si="43"/>
        <v>4.7038861521620137E-2</v>
      </c>
      <c r="L749" s="218">
        <f t="shared" si="44"/>
        <v>429.7</v>
      </c>
      <c r="M749" s="218" t="s">
        <v>323</v>
      </c>
      <c r="P749" s="218">
        <v>744</v>
      </c>
      <c r="Q749" s="218">
        <v>432.7</v>
      </c>
      <c r="R749" s="218">
        <v>447</v>
      </c>
      <c r="S749" s="218">
        <v>404</v>
      </c>
      <c r="T749" s="218">
        <v>427.90000000000003</v>
      </c>
      <c r="U749" s="273">
        <v>2.3369946249123625E-3</v>
      </c>
      <c r="V749" s="218">
        <v>2.3360850761364178E-3</v>
      </c>
      <c r="W749" s="250">
        <v>3.9904780944069587E-5</v>
      </c>
      <c r="X749" s="250">
        <v>0.94459161147902881</v>
      </c>
      <c r="Z749" s="218">
        <v>741</v>
      </c>
      <c r="AA749" s="435">
        <v>0.9438557763061074</v>
      </c>
    </row>
    <row r="750" spans="1:27">
      <c r="A750" s="429">
        <v>0.68586805555555552</v>
      </c>
      <c r="B750" s="218">
        <v>451</v>
      </c>
      <c r="C750" s="218" t="s">
        <v>314</v>
      </c>
      <c r="D750" s="218">
        <v>226</v>
      </c>
      <c r="E750" s="218" t="s">
        <v>315</v>
      </c>
      <c r="F750" s="218">
        <v>22.8</v>
      </c>
      <c r="G750" s="218" t="s">
        <v>316</v>
      </c>
      <c r="H750" s="218">
        <v>693</v>
      </c>
      <c r="I750" s="218">
        <f t="shared" si="41"/>
        <v>450</v>
      </c>
      <c r="J750" s="218">
        <f t="shared" si="42"/>
        <v>2.2222222222222222E-3</v>
      </c>
      <c r="K750" s="218">
        <f t="shared" si="43"/>
        <v>4.7038861521620137E-2</v>
      </c>
      <c r="L750" s="218">
        <f t="shared" si="44"/>
        <v>429.7</v>
      </c>
      <c r="M750" s="218" t="s">
        <v>323</v>
      </c>
      <c r="P750" s="218">
        <v>745</v>
      </c>
      <c r="Q750" s="218">
        <v>432.7</v>
      </c>
      <c r="R750" s="218">
        <v>448</v>
      </c>
      <c r="S750" s="218">
        <v>407</v>
      </c>
      <c r="T750" s="218">
        <v>429.23333333333335</v>
      </c>
      <c r="U750" s="273">
        <v>2.3297351867671043E-3</v>
      </c>
      <c r="V750" s="218">
        <v>2.3333649058397332E-3</v>
      </c>
      <c r="W750" s="250">
        <v>3.9858315256270542E-5</v>
      </c>
      <c r="X750" s="250">
        <v>0.94753495217071382</v>
      </c>
      <c r="Z750" s="218">
        <v>742</v>
      </c>
      <c r="AA750" s="435">
        <v>0.94459161147902881</v>
      </c>
    </row>
    <row r="751" spans="1:27">
      <c r="A751" s="429">
        <v>0.68587962962962967</v>
      </c>
      <c r="B751" s="218">
        <v>451</v>
      </c>
      <c r="C751" s="218" t="s">
        <v>314</v>
      </c>
      <c r="D751" s="218">
        <v>226</v>
      </c>
      <c r="E751" s="218" t="s">
        <v>315</v>
      </c>
      <c r="F751" s="218">
        <v>22.8</v>
      </c>
      <c r="G751" s="218" t="s">
        <v>316</v>
      </c>
      <c r="H751" s="218">
        <v>694</v>
      </c>
      <c r="I751" s="218">
        <f t="shared" si="41"/>
        <v>451</v>
      </c>
      <c r="J751" s="218">
        <f t="shared" si="42"/>
        <v>2.2172949002217295E-3</v>
      </c>
      <c r="K751" s="218">
        <f t="shared" si="43"/>
        <v>4.7043788843620628E-2</v>
      </c>
      <c r="L751" s="218">
        <f t="shared" si="44"/>
        <v>430.7</v>
      </c>
      <c r="M751" s="218" t="s">
        <v>323</v>
      </c>
      <c r="P751" s="218">
        <v>746</v>
      </c>
      <c r="Q751" s="218">
        <v>433.7</v>
      </c>
      <c r="R751" s="218">
        <v>448</v>
      </c>
      <c r="S751" s="218">
        <v>407</v>
      </c>
      <c r="T751" s="218">
        <v>429.56666666666666</v>
      </c>
      <c r="U751" s="273">
        <v>2.3279273686660977E-3</v>
      </c>
      <c r="V751" s="218">
        <v>2.328831277716601E-3</v>
      </c>
      <c r="W751" s="250">
        <v>3.9780872256020452E-5</v>
      </c>
      <c r="X751" s="250">
        <v>0.94827078734363501</v>
      </c>
      <c r="Z751" s="218">
        <v>743</v>
      </c>
      <c r="AA751" s="435">
        <v>0.94532744665195001</v>
      </c>
    </row>
    <row r="752" spans="1:27">
      <c r="A752" s="429">
        <v>0.6858912037037036</v>
      </c>
      <c r="B752" s="218">
        <v>450</v>
      </c>
      <c r="C752" s="218" t="s">
        <v>314</v>
      </c>
      <c r="D752" s="218">
        <v>225</v>
      </c>
      <c r="E752" s="218" t="s">
        <v>315</v>
      </c>
      <c r="F752" s="218">
        <v>22.8</v>
      </c>
      <c r="G752" s="218" t="s">
        <v>316</v>
      </c>
      <c r="H752" s="218">
        <v>695</v>
      </c>
      <c r="I752" s="218">
        <f t="shared" si="41"/>
        <v>451</v>
      </c>
      <c r="J752" s="218">
        <f t="shared" si="42"/>
        <v>2.2172949002217295E-3</v>
      </c>
      <c r="K752" s="218">
        <f t="shared" si="43"/>
        <v>4.7043788843620628E-2</v>
      </c>
      <c r="L752" s="218">
        <f t="shared" si="44"/>
        <v>430.7</v>
      </c>
      <c r="M752" s="218" t="s">
        <v>323</v>
      </c>
      <c r="P752" s="218">
        <v>747</v>
      </c>
      <c r="Q752" s="218">
        <v>431.7</v>
      </c>
      <c r="R752" s="218">
        <v>448</v>
      </c>
      <c r="S752" s="218">
        <v>406</v>
      </c>
      <c r="T752" s="218">
        <v>428.56666666666666</v>
      </c>
      <c r="U752" s="273">
        <v>2.3333592595473282E-3</v>
      </c>
      <c r="V752" s="218">
        <v>2.3306433141067132E-3</v>
      </c>
      <c r="W752" s="250">
        <v>3.9811825287632513E-5</v>
      </c>
      <c r="X752" s="250">
        <v>0.94606328182487121</v>
      </c>
      <c r="Z752" s="218">
        <v>744</v>
      </c>
      <c r="AA752" s="435">
        <v>0.94459161147902881</v>
      </c>
    </row>
    <row r="753" spans="1:27">
      <c r="A753" s="429">
        <v>0.68590277777777775</v>
      </c>
      <c r="B753" s="218">
        <v>451</v>
      </c>
      <c r="C753" s="218" t="s">
        <v>314</v>
      </c>
      <c r="D753" s="218">
        <v>226</v>
      </c>
      <c r="E753" s="218" t="s">
        <v>315</v>
      </c>
      <c r="F753" s="218">
        <v>22.8</v>
      </c>
      <c r="G753" s="218" t="s">
        <v>316</v>
      </c>
      <c r="H753" s="218">
        <v>696</v>
      </c>
      <c r="I753" s="218">
        <f t="shared" si="41"/>
        <v>450</v>
      </c>
      <c r="J753" s="218">
        <f t="shared" si="42"/>
        <v>2.2222222222222222E-3</v>
      </c>
      <c r="K753" s="218">
        <f t="shared" si="43"/>
        <v>4.7038861521620137E-2</v>
      </c>
      <c r="L753" s="218">
        <f t="shared" si="44"/>
        <v>429.7</v>
      </c>
      <c r="M753" s="218" t="s">
        <v>323</v>
      </c>
      <c r="P753" s="218">
        <v>748</v>
      </c>
      <c r="Q753" s="218">
        <v>433.7</v>
      </c>
      <c r="R753" s="218">
        <v>447</v>
      </c>
      <c r="S753" s="218">
        <v>406</v>
      </c>
      <c r="T753" s="218">
        <v>428.90000000000003</v>
      </c>
      <c r="U753" s="273">
        <v>2.3315458148752623E-3</v>
      </c>
      <c r="V753" s="218">
        <v>2.332452537211295E-3</v>
      </c>
      <c r="W753" s="250">
        <v>3.9842730262971291E-5</v>
      </c>
      <c r="X753" s="250">
        <v>0.94679911699779262</v>
      </c>
      <c r="Z753" s="218">
        <v>745</v>
      </c>
      <c r="AA753" s="435">
        <v>0.94753495217071382</v>
      </c>
    </row>
    <row r="754" spans="1:27">
      <c r="A754" s="429">
        <v>0.6859143518518519</v>
      </c>
      <c r="B754" s="218">
        <v>450</v>
      </c>
      <c r="C754" s="218" t="s">
        <v>314</v>
      </c>
      <c r="D754" s="218">
        <v>225</v>
      </c>
      <c r="E754" s="218" t="s">
        <v>315</v>
      </c>
      <c r="F754" s="218">
        <v>22.8</v>
      </c>
      <c r="G754" s="218" t="s">
        <v>316</v>
      </c>
      <c r="H754" s="218">
        <v>697</v>
      </c>
      <c r="I754" s="218">
        <f t="shared" si="41"/>
        <v>451</v>
      </c>
      <c r="J754" s="218">
        <f t="shared" si="42"/>
        <v>2.2172949002217295E-3</v>
      </c>
      <c r="K754" s="218">
        <f t="shared" si="43"/>
        <v>4.7043788843620628E-2</v>
      </c>
      <c r="L754" s="218">
        <f t="shared" si="44"/>
        <v>430.7</v>
      </c>
      <c r="M754" s="218" t="s">
        <v>323</v>
      </c>
      <c r="P754" s="218">
        <v>749</v>
      </c>
      <c r="Q754" s="218">
        <v>430.7</v>
      </c>
      <c r="R754" s="218">
        <v>449</v>
      </c>
      <c r="S754" s="218">
        <v>407</v>
      </c>
      <c r="T754" s="218">
        <v>428.90000000000003</v>
      </c>
      <c r="U754" s="273">
        <v>2.3315458148752623E-3</v>
      </c>
      <c r="V754" s="218">
        <v>2.3315458148752623E-3</v>
      </c>
      <c r="W754" s="250">
        <v>3.9827241719096714E-5</v>
      </c>
      <c r="X754" s="250">
        <v>0.94679911699779262</v>
      </c>
      <c r="Z754" s="218">
        <v>746</v>
      </c>
      <c r="AA754" s="435">
        <v>0.94827078734363501</v>
      </c>
    </row>
    <row r="755" spans="1:27">
      <c r="A755" s="429">
        <v>0.68592592592592594</v>
      </c>
      <c r="B755" s="218">
        <v>451</v>
      </c>
      <c r="C755" s="218" t="s">
        <v>314</v>
      </c>
      <c r="D755" s="218">
        <v>226</v>
      </c>
      <c r="E755" s="218" t="s">
        <v>315</v>
      </c>
      <c r="F755" s="218">
        <v>22.8</v>
      </c>
      <c r="G755" s="218" t="s">
        <v>316</v>
      </c>
      <c r="H755" s="218">
        <v>698</v>
      </c>
      <c r="I755" s="218">
        <f t="shared" si="41"/>
        <v>450</v>
      </c>
      <c r="J755" s="218">
        <f t="shared" si="42"/>
        <v>2.2222222222222222E-3</v>
      </c>
      <c r="K755" s="218">
        <f t="shared" si="43"/>
        <v>4.7038861521620137E-2</v>
      </c>
      <c r="L755" s="218">
        <f t="shared" si="44"/>
        <v>429.7</v>
      </c>
      <c r="M755" s="218" t="s">
        <v>323</v>
      </c>
      <c r="P755" s="218">
        <v>750</v>
      </c>
      <c r="Q755" s="218">
        <v>432.7</v>
      </c>
      <c r="R755" s="218">
        <v>447</v>
      </c>
      <c r="S755" s="218">
        <v>407</v>
      </c>
      <c r="T755" s="218">
        <v>428.90000000000003</v>
      </c>
      <c r="U755" s="273">
        <v>2.3315458148752623E-3</v>
      </c>
      <c r="V755" s="218">
        <v>2.3315458148752623E-3</v>
      </c>
      <c r="W755" s="250">
        <v>3.9827241719096714E-5</v>
      </c>
      <c r="X755" s="250">
        <v>0.94679911699779262</v>
      </c>
      <c r="Z755" s="218">
        <v>747</v>
      </c>
      <c r="AA755" s="435">
        <v>0.94606328182487121</v>
      </c>
    </row>
    <row r="756" spans="1:27">
      <c r="A756" s="429">
        <v>0.68593749999999998</v>
      </c>
      <c r="B756" s="218">
        <v>451</v>
      </c>
      <c r="C756" s="218" t="s">
        <v>314</v>
      </c>
      <c r="D756" s="218">
        <v>226</v>
      </c>
      <c r="E756" s="218" t="s">
        <v>315</v>
      </c>
      <c r="F756" s="218">
        <v>22.8</v>
      </c>
      <c r="G756" s="218" t="s">
        <v>316</v>
      </c>
      <c r="H756" s="218">
        <v>699</v>
      </c>
      <c r="I756" s="218">
        <f t="shared" si="41"/>
        <v>451</v>
      </c>
      <c r="J756" s="218">
        <f t="shared" si="42"/>
        <v>2.2172949002217295E-3</v>
      </c>
      <c r="K756" s="218">
        <f t="shared" si="43"/>
        <v>4.7043788843620628E-2</v>
      </c>
      <c r="L756" s="218">
        <f t="shared" si="44"/>
        <v>430.7</v>
      </c>
      <c r="M756" s="218" t="s">
        <v>323</v>
      </c>
      <c r="P756" s="218">
        <v>751</v>
      </c>
      <c r="Q756" s="218">
        <v>431.7</v>
      </c>
      <c r="R756" s="218">
        <v>448</v>
      </c>
      <c r="S756" s="218">
        <v>407</v>
      </c>
      <c r="T756" s="218">
        <v>428.90000000000003</v>
      </c>
      <c r="U756" s="273">
        <v>2.3315458148752623E-3</v>
      </c>
      <c r="V756" s="218">
        <v>2.3315458148752623E-3</v>
      </c>
      <c r="W756" s="250">
        <v>3.9827241719096714E-5</v>
      </c>
      <c r="X756" s="250">
        <v>0.94679911699779262</v>
      </c>
      <c r="Z756" s="218">
        <v>748</v>
      </c>
      <c r="AA756" s="435">
        <v>0.94679911699779262</v>
      </c>
    </row>
    <row r="757" spans="1:27">
      <c r="A757" s="429">
        <v>0.68594907407407402</v>
      </c>
      <c r="B757" s="218">
        <v>451</v>
      </c>
      <c r="C757" s="218" t="s">
        <v>314</v>
      </c>
      <c r="D757" s="218">
        <v>226</v>
      </c>
      <c r="E757" s="218" t="s">
        <v>315</v>
      </c>
      <c r="F757" s="218">
        <v>22.8</v>
      </c>
      <c r="G757" s="218" t="s">
        <v>316</v>
      </c>
      <c r="H757" s="218">
        <v>700</v>
      </c>
      <c r="I757" s="218">
        <f t="shared" si="41"/>
        <v>451</v>
      </c>
      <c r="J757" s="218">
        <f t="shared" si="42"/>
        <v>2.2172949002217295E-3</v>
      </c>
      <c r="K757" s="218">
        <f t="shared" si="43"/>
        <v>4.7043788843620628E-2</v>
      </c>
      <c r="L757" s="218">
        <f t="shared" si="44"/>
        <v>430.7</v>
      </c>
      <c r="M757" s="218" t="s">
        <v>323</v>
      </c>
      <c r="P757" s="218">
        <v>752</v>
      </c>
      <c r="Q757" s="218">
        <v>432.7</v>
      </c>
      <c r="R757" s="218">
        <v>448</v>
      </c>
      <c r="S757" s="218">
        <v>407</v>
      </c>
      <c r="T757" s="218">
        <v>429.23333333333335</v>
      </c>
      <c r="U757" s="273">
        <v>2.3297351867671043E-3</v>
      </c>
      <c r="V757" s="218">
        <v>2.3306405008211833E-3</v>
      </c>
      <c r="W757" s="250">
        <v>3.9811777231359238E-5</v>
      </c>
      <c r="X757" s="250">
        <v>0.94753495217071382</v>
      </c>
      <c r="Z757" s="218">
        <v>749</v>
      </c>
      <c r="AA757" s="435">
        <v>0.94679911699779262</v>
      </c>
    </row>
    <row r="758" spans="1:27">
      <c r="A758" s="429">
        <v>0.68596064814814817</v>
      </c>
      <c r="B758" s="218">
        <v>451</v>
      </c>
      <c r="C758" s="218" t="s">
        <v>314</v>
      </c>
      <c r="D758" s="218">
        <v>226</v>
      </c>
      <c r="E758" s="218" t="s">
        <v>315</v>
      </c>
      <c r="F758" s="218">
        <v>22.8</v>
      </c>
      <c r="G758" s="218" t="s">
        <v>316</v>
      </c>
      <c r="H758" s="218">
        <v>701</v>
      </c>
      <c r="I758" s="218">
        <f t="shared" si="41"/>
        <v>451</v>
      </c>
      <c r="J758" s="218">
        <f t="shared" si="42"/>
        <v>2.2172949002217295E-3</v>
      </c>
      <c r="K758" s="218">
        <f t="shared" si="43"/>
        <v>4.7043788843620628E-2</v>
      </c>
      <c r="L758" s="218">
        <f t="shared" si="44"/>
        <v>430.7</v>
      </c>
      <c r="M758" s="218" t="s">
        <v>323</v>
      </c>
      <c r="P758" s="218">
        <v>753</v>
      </c>
      <c r="Q758" s="218">
        <v>432.7</v>
      </c>
      <c r="R758" s="218">
        <v>448</v>
      </c>
      <c r="S758" s="218">
        <v>407</v>
      </c>
      <c r="T758" s="218">
        <v>429.23333333333335</v>
      </c>
      <c r="U758" s="273">
        <v>2.3297351867671043E-3</v>
      </c>
      <c r="V758" s="218">
        <v>2.3297351867671043E-3</v>
      </c>
      <c r="W758" s="250">
        <v>3.9796312743621768E-5</v>
      </c>
      <c r="X758" s="250">
        <v>0.94753495217071382</v>
      </c>
      <c r="Z758" s="218">
        <v>750</v>
      </c>
      <c r="AA758" s="435">
        <v>0.94679911699779262</v>
      </c>
    </row>
    <row r="759" spans="1:27">
      <c r="A759" s="429">
        <v>0.68597222222222232</v>
      </c>
      <c r="B759" s="218">
        <v>451</v>
      </c>
      <c r="C759" s="218" t="s">
        <v>314</v>
      </c>
      <c r="D759" s="218">
        <v>226</v>
      </c>
      <c r="E759" s="218" t="s">
        <v>315</v>
      </c>
      <c r="F759" s="218">
        <v>22.8</v>
      </c>
      <c r="G759" s="218" t="s">
        <v>316</v>
      </c>
      <c r="H759" s="218">
        <v>702</v>
      </c>
      <c r="I759" s="218">
        <f t="shared" si="41"/>
        <v>451</v>
      </c>
      <c r="J759" s="218">
        <f t="shared" si="42"/>
        <v>2.2172949002217295E-3</v>
      </c>
      <c r="K759" s="218">
        <f t="shared" si="43"/>
        <v>4.7043788843620628E-2</v>
      </c>
      <c r="L759" s="218">
        <f t="shared" si="44"/>
        <v>430.7</v>
      </c>
      <c r="M759" s="218" t="s">
        <v>323</v>
      </c>
      <c r="P759" s="218">
        <v>754</v>
      </c>
      <c r="Q759" s="218">
        <v>432.7</v>
      </c>
      <c r="R759" s="218">
        <v>449</v>
      </c>
      <c r="S759" s="218">
        <v>407</v>
      </c>
      <c r="T759" s="218">
        <v>429.56666666666666</v>
      </c>
      <c r="U759" s="273">
        <v>2.3279273686660977E-3</v>
      </c>
      <c r="V759" s="218">
        <v>2.328831277716601E-3</v>
      </c>
      <c r="W759" s="250">
        <v>3.9780872256020452E-5</v>
      </c>
      <c r="X759" s="250">
        <v>0.94827078734363501</v>
      </c>
      <c r="Z759" s="218">
        <v>751</v>
      </c>
      <c r="AA759" s="435">
        <v>0.94679911699779262</v>
      </c>
    </row>
    <row r="760" spans="1:27">
      <c r="A760" s="429">
        <v>0.68598379629629624</v>
      </c>
      <c r="B760" s="218">
        <v>452</v>
      </c>
      <c r="C760" s="218" t="s">
        <v>314</v>
      </c>
      <c r="D760" s="218">
        <v>226</v>
      </c>
      <c r="E760" s="218" t="s">
        <v>315</v>
      </c>
      <c r="F760" s="218">
        <v>22.8</v>
      </c>
      <c r="G760" s="218" t="s">
        <v>316</v>
      </c>
      <c r="H760" s="218">
        <v>703</v>
      </c>
      <c r="I760" s="218">
        <f t="shared" si="41"/>
        <v>451</v>
      </c>
      <c r="J760" s="218">
        <f t="shared" si="42"/>
        <v>2.2172949002217295E-3</v>
      </c>
      <c r="K760" s="218">
        <f t="shared" si="43"/>
        <v>4.7043788843620628E-2</v>
      </c>
      <c r="L760" s="218">
        <f t="shared" si="44"/>
        <v>430.7</v>
      </c>
      <c r="M760" s="218" t="s">
        <v>323</v>
      </c>
      <c r="P760" s="218">
        <v>755</v>
      </c>
      <c r="Q760" s="218">
        <v>433.7</v>
      </c>
      <c r="R760" s="218">
        <v>448</v>
      </c>
      <c r="S760" s="218">
        <v>408</v>
      </c>
      <c r="T760" s="218">
        <v>429.90000000000003</v>
      </c>
      <c r="U760" s="273">
        <v>2.3261223540358223E-3</v>
      </c>
      <c r="V760" s="218">
        <v>2.3270248613509598E-3</v>
      </c>
      <c r="W760" s="250">
        <v>3.9750015225126732E-5</v>
      </c>
      <c r="X760" s="250">
        <v>0.94900662251655632</v>
      </c>
      <c r="Z760" s="218">
        <v>752</v>
      </c>
      <c r="AA760" s="435">
        <v>0.94753495217071382</v>
      </c>
    </row>
    <row r="761" spans="1:27">
      <c r="A761" s="429">
        <v>0.68599537037037039</v>
      </c>
      <c r="B761" s="218">
        <v>450</v>
      </c>
      <c r="C761" s="218" t="s">
        <v>314</v>
      </c>
      <c r="D761" s="218">
        <v>225</v>
      </c>
      <c r="E761" s="218" t="s">
        <v>315</v>
      </c>
      <c r="F761" s="218">
        <v>22.8</v>
      </c>
      <c r="G761" s="218" t="s">
        <v>316</v>
      </c>
      <c r="H761" s="218">
        <v>704</v>
      </c>
      <c r="I761" s="218">
        <f t="shared" si="41"/>
        <v>452</v>
      </c>
      <c r="J761" s="218">
        <f t="shared" si="42"/>
        <v>2.2123893805309734E-3</v>
      </c>
      <c r="K761" s="218">
        <f t="shared" si="43"/>
        <v>4.7048694363311383E-2</v>
      </c>
      <c r="L761" s="218">
        <f t="shared" si="44"/>
        <v>431.7</v>
      </c>
      <c r="M761" s="218" t="s">
        <v>323</v>
      </c>
      <c r="P761" s="218">
        <v>756</v>
      </c>
      <c r="Q761" s="218">
        <v>433.7</v>
      </c>
      <c r="R761" s="218">
        <v>448</v>
      </c>
      <c r="S761" s="218">
        <v>408</v>
      </c>
      <c r="T761" s="218">
        <v>429.90000000000003</v>
      </c>
      <c r="U761" s="273">
        <v>2.3261223540358223E-3</v>
      </c>
      <c r="V761" s="218">
        <v>2.3261223540358223E-3</v>
      </c>
      <c r="W761" s="250">
        <v>3.9734598681834335E-5</v>
      </c>
      <c r="X761" s="250">
        <v>0.94900662251655632</v>
      </c>
      <c r="Z761" s="218">
        <v>753</v>
      </c>
      <c r="AA761" s="435">
        <v>0.94753495217071382</v>
      </c>
    </row>
    <row r="762" spans="1:27">
      <c r="A762" s="429">
        <v>0.68600694444444443</v>
      </c>
      <c r="B762" s="218">
        <v>452</v>
      </c>
      <c r="C762" s="218" t="s">
        <v>314</v>
      </c>
      <c r="D762" s="218">
        <v>226</v>
      </c>
      <c r="E762" s="218" t="s">
        <v>315</v>
      </c>
      <c r="F762" s="218">
        <v>22.8</v>
      </c>
      <c r="G762" s="218" t="s">
        <v>316</v>
      </c>
      <c r="H762" s="218">
        <v>705</v>
      </c>
      <c r="I762" s="218">
        <f t="shared" ref="I762:I825" si="45">B761</f>
        <v>450</v>
      </c>
      <c r="J762" s="218">
        <f t="shared" ref="J762:J825" si="46">1/I762</f>
        <v>2.2222222222222222E-3</v>
      </c>
      <c r="K762" s="218">
        <f t="shared" ref="K762:K825" si="47">$J$57-J762</f>
        <v>4.7038861521620137E-2</v>
      </c>
      <c r="L762" s="218">
        <f t="shared" ref="L762:L825" si="48">(B761-$J$55)</f>
        <v>429.7</v>
      </c>
      <c r="M762" s="218" t="s">
        <v>323</v>
      </c>
      <c r="P762" s="218">
        <v>757</v>
      </c>
      <c r="Q762" s="218">
        <v>433.7</v>
      </c>
      <c r="R762" s="218">
        <v>448</v>
      </c>
      <c r="S762" s="218">
        <v>405</v>
      </c>
      <c r="T762" s="218">
        <v>428.90000000000003</v>
      </c>
      <c r="U762" s="273">
        <v>2.3315458148752623E-3</v>
      </c>
      <c r="V762" s="218">
        <v>2.3288340844555425E-3</v>
      </c>
      <c r="W762" s="250">
        <v>3.9780920200465531E-5</v>
      </c>
      <c r="X762" s="250">
        <v>0.94679911699779262</v>
      </c>
      <c r="Z762" s="218">
        <v>754</v>
      </c>
      <c r="AA762" s="435">
        <v>0.94827078734363501</v>
      </c>
    </row>
    <row r="763" spans="1:27">
      <c r="A763" s="429">
        <v>0.68601851851851858</v>
      </c>
      <c r="B763" s="218">
        <v>450</v>
      </c>
      <c r="C763" s="218" t="s">
        <v>314</v>
      </c>
      <c r="D763" s="218">
        <v>225</v>
      </c>
      <c r="E763" s="218" t="s">
        <v>315</v>
      </c>
      <c r="F763" s="218">
        <v>22.8</v>
      </c>
      <c r="G763" s="218" t="s">
        <v>316</v>
      </c>
      <c r="H763" s="218">
        <v>706</v>
      </c>
      <c r="I763" s="218">
        <f t="shared" si="45"/>
        <v>452</v>
      </c>
      <c r="J763" s="218">
        <f t="shared" si="46"/>
        <v>2.2123893805309734E-3</v>
      </c>
      <c r="K763" s="218">
        <f t="shared" si="47"/>
        <v>4.7048694363311383E-2</v>
      </c>
      <c r="L763" s="218">
        <f t="shared" si="48"/>
        <v>431.7</v>
      </c>
      <c r="M763" s="218" t="s">
        <v>323</v>
      </c>
      <c r="P763" s="218">
        <v>758</v>
      </c>
      <c r="Q763" s="218">
        <v>433.7</v>
      </c>
      <c r="R763" s="218">
        <v>450</v>
      </c>
      <c r="S763" s="218">
        <v>405</v>
      </c>
      <c r="T763" s="218">
        <v>429.56666666666666</v>
      </c>
      <c r="U763" s="273">
        <v>2.3279273686660977E-3</v>
      </c>
      <c r="V763" s="218">
        <v>2.32973659177068E-3</v>
      </c>
      <c r="W763" s="250">
        <v>3.9796336743757929E-5</v>
      </c>
      <c r="X763" s="250">
        <v>0.94827078734363501</v>
      </c>
      <c r="Z763" s="218">
        <v>755</v>
      </c>
      <c r="AA763" s="435">
        <v>0.94900662251655632</v>
      </c>
    </row>
    <row r="764" spans="1:27">
      <c r="A764" s="429">
        <v>0.68603009259259251</v>
      </c>
      <c r="B764" s="218">
        <v>452</v>
      </c>
      <c r="C764" s="218" t="s">
        <v>314</v>
      </c>
      <c r="D764" s="218">
        <v>226</v>
      </c>
      <c r="E764" s="218" t="s">
        <v>315</v>
      </c>
      <c r="F764" s="218">
        <v>22.8</v>
      </c>
      <c r="G764" s="218" t="s">
        <v>316</v>
      </c>
      <c r="H764" s="218">
        <v>707</v>
      </c>
      <c r="I764" s="218">
        <f t="shared" si="45"/>
        <v>450</v>
      </c>
      <c r="J764" s="218">
        <f t="shared" si="46"/>
        <v>2.2222222222222222E-3</v>
      </c>
      <c r="K764" s="218">
        <f t="shared" si="47"/>
        <v>4.7038861521620137E-2</v>
      </c>
      <c r="L764" s="218">
        <f t="shared" si="48"/>
        <v>429.7</v>
      </c>
      <c r="M764" s="218" t="s">
        <v>323</v>
      </c>
      <c r="P764" s="218">
        <v>759</v>
      </c>
      <c r="Q764" s="218">
        <v>432.7</v>
      </c>
      <c r="R764" s="218">
        <v>447</v>
      </c>
      <c r="S764" s="218">
        <v>407</v>
      </c>
      <c r="T764" s="218">
        <v>428.90000000000003</v>
      </c>
      <c r="U764" s="273">
        <v>2.3315458148752623E-3</v>
      </c>
      <c r="V764" s="218">
        <v>2.32973659177068E-3</v>
      </c>
      <c r="W764" s="250">
        <v>3.9796336743757929E-5</v>
      </c>
      <c r="X764" s="250">
        <v>0.94679911699779262</v>
      </c>
      <c r="Z764" s="218">
        <v>756</v>
      </c>
      <c r="AA764" s="435">
        <v>0.94900662251655632</v>
      </c>
    </row>
    <row r="765" spans="1:27">
      <c r="A765" s="429">
        <v>0.68604166666666666</v>
      </c>
      <c r="B765" s="218">
        <v>450</v>
      </c>
      <c r="C765" s="218" t="s">
        <v>314</v>
      </c>
      <c r="D765" s="218">
        <v>225</v>
      </c>
      <c r="E765" s="218" t="s">
        <v>315</v>
      </c>
      <c r="F765" s="218">
        <v>22.8</v>
      </c>
      <c r="G765" s="218" t="s">
        <v>316</v>
      </c>
      <c r="H765" s="218">
        <v>708</v>
      </c>
      <c r="I765" s="218">
        <f t="shared" si="45"/>
        <v>452</v>
      </c>
      <c r="J765" s="218">
        <f t="shared" si="46"/>
        <v>2.2123893805309734E-3</v>
      </c>
      <c r="K765" s="218">
        <f t="shared" si="47"/>
        <v>4.7048694363311383E-2</v>
      </c>
      <c r="L765" s="218">
        <f t="shared" si="48"/>
        <v>431.7</v>
      </c>
      <c r="M765" s="218" t="s">
        <v>323</v>
      </c>
      <c r="P765" s="218">
        <v>760</v>
      </c>
      <c r="Q765" s="218">
        <v>433.7</v>
      </c>
      <c r="R765" s="218">
        <v>449</v>
      </c>
      <c r="S765" s="218">
        <v>407</v>
      </c>
      <c r="T765" s="218">
        <v>429.90000000000003</v>
      </c>
      <c r="U765" s="273">
        <v>2.3261223540358223E-3</v>
      </c>
      <c r="V765" s="218">
        <v>2.3288340844555425E-3</v>
      </c>
      <c r="W765" s="250">
        <v>3.9780920200465531E-5</v>
      </c>
      <c r="X765" s="250">
        <v>0.94900662251655632</v>
      </c>
      <c r="Z765" s="218">
        <v>757</v>
      </c>
      <c r="AA765" s="435">
        <v>0.94679911699779262</v>
      </c>
    </row>
    <row r="766" spans="1:27">
      <c r="A766" s="429">
        <v>0.68605324074074081</v>
      </c>
      <c r="B766" s="218">
        <v>451</v>
      </c>
      <c r="C766" s="218" t="s">
        <v>314</v>
      </c>
      <c r="D766" s="218">
        <v>226</v>
      </c>
      <c r="E766" s="218" t="s">
        <v>315</v>
      </c>
      <c r="F766" s="218">
        <v>22.8</v>
      </c>
      <c r="G766" s="218" t="s">
        <v>316</v>
      </c>
      <c r="H766" s="218">
        <v>709</v>
      </c>
      <c r="I766" s="218">
        <f t="shared" si="45"/>
        <v>450</v>
      </c>
      <c r="J766" s="218">
        <f t="shared" si="46"/>
        <v>2.2222222222222222E-3</v>
      </c>
      <c r="K766" s="218">
        <f t="shared" si="47"/>
        <v>4.7038861521620137E-2</v>
      </c>
      <c r="L766" s="218">
        <f t="shared" si="48"/>
        <v>429.7</v>
      </c>
      <c r="M766" s="218" t="s">
        <v>323</v>
      </c>
      <c r="P766" s="218">
        <v>761</v>
      </c>
      <c r="Q766" s="218">
        <v>432.7</v>
      </c>
      <c r="R766" s="218">
        <v>448</v>
      </c>
      <c r="S766" s="218">
        <v>407</v>
      </c>
      <c r="T766" s="218">
        <v>429.23333333333335</v>
      </c>
      <c r="U766" s="273">
        <v>2.3297351867671043E-3</v>
      </c>
      <c r="V766" s="218">
        <v>2.3279287704014631E-3</v>
      </c>
      <c r="W766" s="250">
        <v>3.9765455712728048E-5</v>
      </c>
      <c r="X766" s="250">
        <v>0.94753495217071382</v>
      </c>
      <c r="Z766" s="218">
        <v>758</v>
      </c>
      <c r="AA766" s="435">
        <v>0.94827078734363501</v>
      </c>
    </row>
    <row r="767" spans="1:27">
      <c r="A767" s="429">
        <v>0.68606481481481485</v>
      </c>
      <c r="B767" s="218">
        <v>451</v>
      </c>
      <c r="C767" s="218" t="s">
        <v>314</v>
      </c>
      <c r="D767" s="218">
        <v>226</v>
      </c>
      <c r="E767" s="218" t="s">
        <v>315</v>
      </c>
      <c r="F767" s="218">
        <v>22.8</v>
      </c>
      <c r="G767" s="218" t="s">
        <v>316</v>
      </c>
      <c r="H767" s="218">
        <v>710</v>
      </c>
      <c r="I767" s="218">
        <f t="shared" si="45"/>
        <v>451</v>
      </c>
      <c r="J767" s="218">
        <f t="shared" si="46"/>
        <v>2.2172949002217295E-3</v>
      </c>
      <c r="K767" s="218">
        <f t="shared" si="47"/>
        <v>4.7043788843620628E-2</v>
      </c>
      <c r="L767" s="218">
        <f t="shared" si="48"/>
        <v>430.7</v>
      </c>
      <c r="M767" s="218" t="s">
        <v>323</v>
      </c>
      <c r="P767" s="218">
        <v>762</v>
      </c>
      <c r="Q767" s="218">
        <v>433.7</v>
      </c>
      <c r="R767" s="218">
        <v>449</v>
      </c>
      <c r="S767" s="218">
        <v>407</v>
      </c>
      <c r="T767" s="218">
        <v>429.90000000000003</v>
      </c>
      <c r="U767" s="273">
        <v>2.3261223540358223E-3</v>
      </c>
      <c r="V767" s="218">
        <v>2.3279287704014631E-3</v>
      </c>
      <c r="W767" s="250">
        <v>3.9765455712728048E-5</v>
      </c>
      <c r="X767" s="250">
        <v>0.94900662251655632</v>
      </c>
      <c r="Z767" s="218">
        <v>759</v>
      </c>
      <c r="AA767" s="435">
        <v>0.94679911699779262</v>
      </c>
    </row>
    <row r="768" spans="1:27">
      <c r="A768" s="429">
        <v>0.68607638888888889</v>
      </c>
      <c r="B768" s="218">
        <v>451</v>
      </c>
      <c r="C768" s="218" t="s">
        <v>314</v>
      </c>
      <c r="D768" s="218">
        <v>226</v>
      </c>
      <c r="E768" s="218" t="s">
        <v>315</v>
      </c>
      <c r="F768" s="218">
        <v>22.8</v>
      </c>
      <c r="G768" s="218" t="s">
        <v>316</v>
      </c>
      <c r="H768" s="218">
        <v>711</v>
      </c>
      <c r="I768" s="218">
        <f t="shared" si="45"/>
        <v>451</v>
      </c>
      <c r="J768" s="218">
        <f t="shared" si="46"/>
        <v>2.2172949002217295E-3</v>
      </c>
      <c r="K768" s="218">
        <f t="shared" si="47"/>
        <v>4.7043788843620628E-2</v>
      </c>
      <c r="L768" s="218">
        <f t="shared" si="48"/>
        <v>430.7</v>
      </c>
      <c r="M768" s="218" t="s">
        <v>323</v>
      </c>
      <c r="P768" s="218">
        <v>763</v>
      </c>
      <c r="Q768" s="218">
        <v>433.7</v>
      </c>
      <c r="R768" s="218">
        <v>449</v>
      </c>
      <c r="S768" s="218">
        <v>408</v>
      </c>
      <c r="T768" s="218">
        <v>430.23333333333335</v>
      </c>
      <c r="U768" s="273">
        <v>2.3243201363601146E-3</v>
      </c>
      <c r="V768" s="218">
        <v>2.3252212451979684E-3</v>
      </c>
      <c r="W768" s="250">
        <v>3.9719206027196609E-5</v>
      </c>
      <c r="X768" s="250">
        <v>0.94974245768947763</v>
      </c>
      <c r="Z768" s="218">
        <v>760</v>
      </c>
      <c r="AA768" s="435">
        <v>0.94900662251655632</v>
      </c>
    </row>
    <row r="769" spans="1:27">
      <c r="A769" s="429">
        <v>0.68608796296296293</v>
      </c>
      <c r="B769" s="218">
        <v>452</v>
      </c>
      <c r="C769" s="218" t="s">
        <v>314</v>
      </c>
      <c r="D769" s="218">
        <v>226</v>
      </c>
      <c r="E769" s="218" t="s">
        <v>315</v>
      </c>
      <c r="F769" s="218">
        <v>22.8</v>
      </c>
      <c r="G769" s="218" t="s">
        <v>316</v>
      </c>
      <c r="H769" s="218">
        <v>712</v>
      </c>
      <c r="I769" s="218">
        <f t="shared" si="45"/>
        <v>451</v>
      </c>
      <c r="J769" s="218">
        <f t="shared" si="46"/>
        <v>2.2172949002217295E-3</v>
      </c>
      <c r="K769" s="218">
        <f t="shared" si="47"/>
        <v>4.7043788843620628E-2</v>
      </c>
      <c r="L769" s="218">
        <f t="shared" si="48"/>
        <v>430.7</v>
      </c>
      <c r="M769" s="218" t="s">
        <v>323</v>
      </c>
      <c r="P769" s="218">
        <v>764</v>
      </c>
      <c r="Q769" s="218">
        <v>433.7</v>
      </c>
      <c r="R769" s="218">
        <v>448</v>
      </c>
      <c r="S769" s="218">
        <v>410</v>
      </c>
      <c r="T769" s="218">
        <v>430.56666666666666</v>
      </c>
      <c r="U769" s="273">
        <v>2.3225207091429898E-3</v>
      </c>
      <c r="V769" s="218">
        <v>2.3234204227515522E-3</v>
      </c>
      <c r="W769" s="250">
        <v>3.9688444551093925E-5</v>
      </c>
      <c r="X769" s="250">
        <v>0.95047829286239882</v>
      </c>
      <c r="Z769" s="218">
        <v>761</v>
      </c>
      <c r="AA769" s="435">
        <v>0.94753495217071382</v>
      </c>
    </row>
    <row r="770" spans="1:27">
      <c r="A770" s="429">
        <v>0.68609953703703708</v>
      </c>
      <c r="B770" s="218">
        <v>452</v>
      </c>
      <c r="C770" s="218" t="s">
        <v>314</v>
      </c>
      <c r="D770" s="218">
        <v>226</v>
      </c>
      <c r="E770" s="218" t="s">
        <v>315</v>
      </c>
      <c r="F770" s="218">
        <v>22.8</v>
      </c>
      <c r="G770" s="218" t="s">
        <v>316</v>
      </c>
      <c r="H770" s="218">
        <v>713</v>
      </c>
      <c r="I770" s="218">
        <f t="shared" si="45"/>
        <v>452</v>
      </c>
      <c r="J770" s="218">
        <f t="shared" si="46"/>
        <v>2.2123893805309734E-3</v>
      </c>
      <c r="K770" s="218">
        <f t="shared" si="47"/>
        <v>4.7048694363311383E-2</v>
      </c>
      <c r="L770" s="218">
        <f t="shared" si="48"/>
        <v>431.7</v>
      </c>
      <c r="M770" s="218" t="s">
        <v>323</v>
      </c>
      <c r="P770" s="218">
        <v>765</v>
      </c>
      <c r="Q770" s="218">
        <v>433.7</v>
      </c>
      <c r="R770" s="218">
        <v>449</v>
      </c>
      <c r="S770" s="218">
        <v>410</v>
      </c>
      <c r="T770" s="218">
        <v>430.90000000000003</v>
      </c>
      <c r="U770" s="273">
        <v>2.3207240659085635E-3</v>
      </c>
      <c r="V770" s="218">
        <v>2.3216223875257768E-3</v>
      </c>
      <c r="W770" s="250">
        <v>3.965773068602658E-5</v>
      </c>
      <c r="X770" s="250">
        <v>0.95121412803532013</v>
      </c>
      <c r="Z770" s="218">
        <v>762</v>
      </c>
      <c r="AA770" s="435">
        <v>0.94900662251655632</v>
      </c>
    </row>
    <row r="771" spans="1:27">
      <c r="A771" s="429">
        <v>0.68611111111111101</v>
      </c>
      <c r="B771" s="218">
        <v>452</v>
      </c>
      <c r="C771" s="218" t="s">
        <v>314</v>
      </c>
      <c r="D771" s="218">
        <v>226</v>
      </c>
      <c r="E771" s="218" t="s">
        <v>315</v>
      </c>
      <c r="F771" s="218">
        <v>22.8</v>
      </c>
      <c r="G771" s="218" t="s">
        <v>316</v>
      </c>
      <c r="H771" s="218">
        <v>714</v>
      </c>
      <c r="I771" s="218">
        <f t="shared" si="45"/>
        <v>452</v>
      </c>
      <c r="J771" s="218">
        <f t="shared" si="46"/>
        <v>2.2123893805309734E-3</v>
      </c>
      <c r="K771" s="218">
        <f t="shared" si="47"/>
        <v>4.7048694363311383E-2</v>
      </c>
      <c r="L771" s="218">
        <f t="shared" si="48"/>
        <v>431.7</v>
      </c>
      <c r="M771" s="218" t="s">
        <v>323</v>
      </c>
      <c r="P771" s="218">
        <v>766</v>
      </c>
      <c r="Q771" s="218">
        <v>433.7</v>
      </c>
      <c r="R771" s="218">
        <v>449</v>
      </c>
      <c r="S771" s="218">
        <v>410</v>
      </c>
      <c r="T771" s="218">
        <v>430.90000000000003</v>
      </c>
      <c r="U771" s="273">
        <v>2.3207240659085635E-3</v>
      </c>
      <c r="V771" s="218">
        <v>2.3207240659085635E-3</v>
      </c>
      <c r="W771" s="250">
        <v>3.9642385642424188E-5</v>
      </c>
      <c r="X771" s="250">
        <v>0.95121412803532013</v>
      </c>
      <c r="Z771" s="218">
        <v>763</v>
      </c>
      <c r="AA771" s="435">
        <v>0.94974245768947763</v>
      </c>
    </row>
    <row r="772" spans="1:27">
      <c r="A772" s="429">
        <v>0.68612268518518515</v>
      </c>
      <c r="B772" s="218">
        <v>452</v>
      </c>
      <c r="C772" s="218" t="s">
        <v>314</v>
      </c>
      <c r="D772" s="218">
        <v>226</v>
      </c>
      <c r="E772" s="218" t="s">
        <v>315</v>
      </c>
      <c r="F772" s="218">
        <v>22.8</v>
      </c>
      <c r="G772" s="218" t="s">
        <v>316</v>
      </c>
      <c r="H772" s="218">
        <v>715</v>
      </c>
      <c r="I772" s="218">
        <f t="shared" si="45"/>
        <v>452</v>
      </c>
      <c r="J772" s="218">
        <f t="shared" si="46"/>
        <v>2.2123893805309734E-3</v>
      </c>
      <c r="K772" s="218">
        <f t="shared" si="47"/>
        <v>4.7048694363311383E-2</v>
      </c>
      <c r="L772" s="218">
        <f t="shared" si="48"/>
        <v>431.7</v>
      </c>
      <c r="M772" s="218" t="s">
        <v>323</v>
      </c>
      <c r="P772" s="218">
        <v>767</v>
      </c>
      <c r="Q772" s="218">
        <v>434.7</v>
      </c>
      <c r="R772" s="218">
        <v>449</v>
      </c>
      <c r="S772" s="218">
        <v>412</v>
      </c>
      <c r="T772" s="218">
        <v>431.90000000000003</v>
      </c>
      <c r="U772" s="273">
        <v>2.3153507756425097E-3</v>
      </c>
      <c r="V772" s="218">
        <v>2.3180374207755366E-3</v>
      </c>
      <c r="W772" s="250">
        <v>3.9596492628251429E-5</v>
      </c>
      <c r="X772" s="250">
        <v>0.95342163355408394</v>
      </c>
      <c r="Z772" s="218">
        <v>764</v>
      </c>
      <c r="AA772" s="435">
        <v>0.95047829286239882</v>
      </c>
    </row>
    <row r="773" spans="1:27">
      <c r="A773" s="429">
        <v>0.6861342592592593</v>
      </c>
      <c r="B773" s="218">
        <v>451</v>
      </c>
      <c r="C773" s="218" t="s">
        <v>314</v>
      </c>
      <c r="D773" s="218">
        <v>226</v>
      </c>
      <c r="E773" s="218" t="s">
        <v>315</v>
      </c>
      <c r="F773" s="218">
        <v>22.8</v>
      </c>
      <c r="G773" s="218" t="s">
        <v>316</v>
      </c>
      <c r="H773" s="218">
        <v>716</v>
      </c>
      <c r="I773" s="218">
        <f t="shared" si="45"/>
        <v>452</v>
      </c>
      <c r="J773" s="218">
        <f t="shared" si="46"/>
        <v>2.2123893805309734E-3</v>
      </c>
      <c r="K773" s="218">
        <f t="shared" si="47"/>
        <v>4.7048694363311383E-2</v>
      </c>
      <c r="L773" s="218">
        <f t="shared" si="48"/>
        <v>431.7</v>
      </c>
      <c r="M773" s="218" t="s">
        <v>323</v>
      </c>
      <c r="P773" s="218">
        <v>768</v>
      </c>
      <c r="Q773" s="218">
        <v>433.7</v>
      </c>
      <c r="R773" s="218">
        <v>448</v>
      </c>
      <c r="S773" s="218">
        <v>412</v>
      </c>
      <c r="T773" s="218">
        <v>431.23333333333335</v>
      </c>
      <c r="U773" s="273">
        <v>2.3189302002009737E-3</v>
      </c>
      <c r="V773" s="218">
        <v>2.3171404879217417E-3</v>
      </c>
      <c r="W773" s="250">
        <v>3.9581171307372394E-5</v>
      </c>
      <c r="X773" s="250">
        <v>0.95194996320824143</v>
      </c>
      <c r="Z773" s="218">
        <v>765</v>
      </c>
      <c r="AA773" s="435">
        <v>0.95121412803532013</v>
      </c>
    </row>
    <row r="774" spans="1:27">
      <c r="A774" s="429">
        <v>0.68614583333333334</v>
      </c>
      <c r="B774" s="218">
        <v>452</v>
      </c>
      <c r="C774" s="218" t="s">
        <v>314</v>
      </c>
      <c r="D774" s="218">
        <v>226</v>
      </c>
      <c r="E774" s="218" t="s">
        <v>315</v>
      </c>
      <c r="F774" s="218">
        <v>22.8</v>
      </c>
      <c r="G774" s="218" t="s">
        <v>316</v>
      </c>
      <c r="H774" s="218">
        <v>717</v>
      </c>
      <c r="I774" s="218">
        <f t="shared" si="45"/>
        <v>451</v>
      </c>
      <c r="J774" s="218">
        <f t="shared" si="46"/>
        <v>2.2172949002217295E-3</v>
      </c>
      <c r="K774" s="218">
        <f t="shared" si="47"/>
        <v>4.7043788843620628E-2</v>
      </c>
      <c r="L774" s="218">
        <f t="shared" si="48"/>
        <v>430.7</v>
      </c>
      <c r="M774" s="218" t="s">
        <v>323</v>
      </c>
      <c r="P774" s="218">
        <v>769</v>
      </c>
      <c r="Q774" s="218">
        <v>434.7</v>
      </c>
      <c r="R774" s="218">
        <v>450</v>
      </c>
      <c r="S774" s="218">
        <v>410</v>
      </c>
      <c r="T774" s="218">
        <v>431.56666666666666</v>
      </c>
      <c r="U774" s="273">
        <v>2.3171391055843054E-3</v>
      </c>
      <c r="V774" s="218">
        <v>2.3180346528926393E-3</v>
      </c>
      <c r="W774" s="250">
        <v>3.9596445347541571E-5</v>
      </c>
      <c r="X774" s="250">
        <v>0.95268579838116263</v>
      </c>
      <c r="Z774" s="218">
        <v>766</v>
      </c>
      <c r="AA774" s="435">
        <v>0.95121412803532013</v>
      </c>
    </row>
    <row r="775" spans="1:27">
      <c r="A775" s="429">
        <v>0.68615740740740738</v>
      </c>
      <c r="B775" s="218">
        <v>451</v>
      </c>
      <c r="C775" s="218" t="s">
        <v>314</v>
      </c>
      <c r="D775" s="218">
        <v>226</v>
      </c>
      <c r="E775" s="218" t="s">
        <v>315</v>
      </c>
      <c r="F775" s="218">
        <v>22.8</v>
      </c>
      <c r="G775" s="218" t="s">
        <v>316</v>
      </c>
      <c r="H775" s="218">
        <v>718</v>
      </c>
      <c r="I775" s="218">
        <f t="shared" si="45"/>
        <v>452</v>
      </c>
      <c r="J775" s="218">
        <f t="shared" si="46"/>
        <v>2.2123893805309734E-3</v>
      </c>
      <c r="K775" s="218">
        <f t="shared" si="47"/>
        <v>4.7048694363311383E-2</v>
      </c>
      <c r="L775" s="218">
        <f t="shared" si="48"/>
        <v>431.7</v>
      </c>
      <c r="M775" s="218" t="s">
        <v>323</v>
      </c>
      <c r="P775" s="218">
        <v>770</v>
      </c>
      <c r="Q775" s="218">
        <v>432.7</v>
      </c>
      <c r="R775" s="218">
        <v>448</v>
      </c>
      <c r="S775" s="218">
        <v>410</v>
      </c>
      <c r="T775" s="218">
        <v>430.23333333333335</v>
      </c>
      <c r="U775" s="273">
        <v>2.3243201363601146E-3</v>
      </c>
      <c r="V775" s="218">
        <v>2.32072962097221E-3</v>
      </c>
      <c r="W775" s="250">
        <v>3.9642480533487958E-5</v>
      </c>
      <c r="X775" s="250">
        <v>0.94974245768947763</v>
      </c>
      <c r="Z775" s="218">
        <v>767</v>
      </c>
      <c r="AA775" s="435">
        <v>0.95342163355408394</v>
      </c>
    </row>
    <row r="776" spans="1:27">
      <c r="A776" s="429">
        <v>0.68616898148148142</v>
      </c>
      <c r="B776" s="218">
        <v>451</v>
      </c>
      <c r="C776" s="218" t="s">
        <v>314</v>
      </c>
      <c r="D776" s="218">
        <v>226</v>
      </c>
      <c r="E776" s="218" t="s">
        <v>315</v>
      </c>
      <c r="F776" s="218">
        <v>22.8</v>
      </c>
      <c r="G776" s="218" t="s">
        <v>316</v>
      </c>
      <c r="H776" s="218">
        <v>719</v>
      </c>
      <c r="I776" s="218">
        <f t="shared" si="45"/>
        <v>451</v>
      </c>
      <c r="J776" s="218">
        <f t="shared" si="46"/>
        <v>2.2172949002217295E-3</v>
      </c>
      <c r="K776" s="218">
        <f t="shared" si="47"/>
        <v>4.7043788843620628E-2</v>
      </c>
      <c r="L776" s="218">
        <f t="shared" si="48"/>
        <v>430.7</v>
      </c>
      <c r="M776" s="218" t="s">
        <v>323</v>
      </c>
      <c r="P776" s="218">
        <v>771</v>
      </c>
      <c r="Q776" s="218">
        <v>434.7</v>
      </c>
      <c r="R776" s="218">
        <v>449</v>
      </c>
      <c r="S776" s="218">
        <v>412</v>
      </c>
      <c r="T776" s="218">
        <v>431.90000000000003</v>
      </c>
      <c r="U776" s="273">
        <v>2.3153507756425097E-3</v>
      </c>
      <c r="V776" s="218">
        <v>2.3198354560013124E-3</v>
      </c>
      <c r="W776" s="250">
        <v>3.962720649331878E-5</v>
      </c>
      <c r="X776" s="250">
        <v>0.95342163355408394</v>
      </c>
      <c r="Z776" s="218">
        <v>768</v>
      </c>
      <c r="AA776" s="435">
        <v>0.95194996320824143</v>
      </c>
    </row>
    <row r="777" spans="1:27">
      <c r="A777" s="429">
        <v>0.68618055555555557</v>
      </c>
      <c r="B777" s="218">
        <v>452</v>
      </c>
      <c r="C777" s="218" t="s">
        <v>314</v>
      </c>
      <c r="D777" s="218">
        <v>226</v>
      </c>
      <c r="E777" s="218" t="s">
        <v>315</v>
      </c>
      <c r="F777" s="218">
        <v>22.8</v>
      </c>
      <c r="G777" s="218" t="s">
        <v>316</v>
      </c>
      <c r="H777" s="218">
        <v>720</v>
      </c>
      <c r="I777" s="218">
        <f t="shared" si="45"/>
        <v>451</v>
      </c>
      <c r="J777" s="218">
        <f t="shared" si="46"/>
        <v>2.2172949002217295E-3</v>
      </c>
      <c r="K777" s="218">
        <f t="shared" si="47"/>
        <v>4.7043788843620628E-2</v>
      </c>
      <c r="L777" s="218">
        <f t="shared" si="48"/>
        <v>430.7</v>
      </c>
      <c r="M777" s="218" t="s">
        <v>323</v>
      </c>
      <c r="P777" s="218">
        <v>772</v>
      </c>
      <c r="Q777" s="218">
        <v>432.7</v>
      </c>
      <c r="R777" s="218">
        <v>449</v>
      </c>
      <c r="S777" s="218">
        <v>412</v>
      </c>
      <c r="T777" s="218">
        <v>431.23333333333335</v>
      </c>
      <c r="U777" s="273">
        <v>2.3189302002009737E-3</v>
      </c>
      <c r="V777" s="218">
        <v>2.3171404879217417E-3</v>
      </c>
      <c r="W777" s="250">
        <v>3.9581171307372394E-5</v>
      </c>
      <c r="X777" s="250">
        <v>0.95194996320824143</v>
      </c>
      <c r="Z777" s="218">
        <v>769</v>
      </c>
      <c r="AA777" s="435">
        <v>0.95268579838116263</v>
      </c>
    </row>
    <row r="778" spans="1:27">
      <c r="A778" s="429">
        <v>0.68619212962962972</v>
      </c>
      <c r="B778" s="218">
        <v>452</v>
      </c>
      <c r="C778" s="218" t="s">
        <v>314</v>
      </c>
      <c r="D778" s="218">
        <v>226</v>
      </c>
      <c r="E778" s="218" t="s">
        <v>315</v>
      </c>
      <c r="F778" s="218">
        <v>22.8</v>
      </c>
      <c r="G778" s="218" t="s">
        <v>316</v>
      </c>
      <c r="H778" s="218">
        <v>721</v>
      </c>
      <c r="I778" s="218">
        <f t="shared" si="45"/>
        <v>452</v>
      </c>
      <c r="J778" s="218">
        <f t="shared" si="46"/>
        <v>2.2123893805309734E-3</v>
      </c>
      <c r="K778" s="218">
        <f t="shared" si="47"/>
        <v>4.7048694363311383E-2</v>
      </c>
      <c r="L778" s="218">
        <f t="shared" si="48"/>
        <v>431.7</v>
      </c>
      <c r="M778" s="218" t="s">
        <v>323</v>
      </c>
      <c r="P778" s="218">
        <v>773</v>
      </c>
      <c r="Q778" s="218">
        <v>434.7</v>
      </c>
      <c r="R778" s="218">
        <v>450</v>
      </c>
      <c r="S778" s="218">
        <v>412</v>
      </c>
      <c r="T778" s="218">
        <v>432.23333333333335</v>
      </c>
      <c r="U778" s="273">
        <v>2.3135652039793322E-3</v>
      </c>
      <c r="V778" s="218">
        <v>2.316247702090153E-3</v>
      </c>
      <c r="W778" s="250">
        <v>3.9565920825528449E-5</v>
      </c>
      <c r="X778" s="250">
        <v>0.95415746872700513</v>
      </c>
      <c r="Z778" s="218">
        <v>770</v>
      </c>
      <c r="AA778" s="435">
        <v>0.94974245768947763</v>
      </c>
    </row>
    <row r="779" spans="1:27">
      <c r="A779" s="429">
        <v>0.68620370370370365</v>
      </c>
      <c r="B779" s="218">
        <v>452</v>
      </c>
      <c r="C779" s="218" t="s">
        <v>314</v>
      </c>
      <c r="D779" s="218">
        <v>226</v>
      </c>
      <c r="E779" s="218" t="s">
        <v>315</v>
      </c>
      <c r="F779" s="218">
        <v>22.8</v>
      </c>
      <c r="G779" s="218" t="s">
        <v>316</v>
      </c>
      <c r="H779" s="218">
        <v>722</v>
      </c>
      <c r="I779" s="218">
        <f t="shared" si="45"/>
        <v>452</v>
      </c>
      <c r="J779" s="218">
        <f t="shared" si="46"/>
        <v>2.2123893805309734E-3</v>
      </c>
      <c r="K779" s="218">
        <f t="shared" si="47"/>
        <v>4.7048694363311383E-2</v>
      </c>
      <c r="L779" s="218">
        <f t="shared" si="48"/>
        <v>431.7</v>
      </c>
      <c r="M779" s="218" t="s">
        <v>323</v>
      </c>
      <c r="P779" s="218">
        <v>774</v>
      </c>
      <c r="Q779" s="218">
        <v>432.7</v>
      </c>
      <c r="R779" s="218">
        <v>450</v>
      </c>
      <c r="S779" s="218">
        <v>412</v>
      </c>
      <c r="T779" s="218">
        <v>431.56666666666666</v>
      </c>
      <c r="U779" s="273">
        <v>2.3171391055843054E-3</v>
      </c>
      <c r="V779" s="218">
        <v>2.315352154781819E-3</v>
      </c>
      <c r="W779" s="250">
        <v>3.9550623172403924E-5</v>
      </c>
      <c r="X779" s="250">
        <v>0.95268579838116263</v>
      </c>
      <c r="Z779" s="218">
        <v>771</v>
      </c>
      <c r="AA779" s="435">
        <v>0.95342163355408394</v>
      </c>
    </row>
    <row r="780" spans="1:27">
      <c r="A780" s="429">
        <v>0.6862152777777778</v>
      </c>
      <c r="B780" s="218">
        <v>452</v>
      </c>
      <c r="C780" s="218" t="s">
        <v>314</v>
      </c>
      <c r="D780" s="218">
        <v>226</v>
      </c>
      <c r="E780" s="218" t="s">
        <v>315</v>
      </c>
      <c r="F780" s="218">
        <v>22.8</v>
      </c>
      <c r="G780" s="218" t="s">
        <v>316</v>
      </c>
      <c r="H780" s="218">
        <v>723</v>
      </c>
      <c r="I780" s="218">
        <f t="shared" si="45"/>
        <v>452</v>
      </c>
      <c r="J780" s="218">
        <f t="shared" si="46"/>
        <v>2.2123893805309734E-3</v>
      </c>
      <c r="K780" s="218">
        <f t="shared" si="47"/>
        <v>4.7048694363311383E-2</v>
      </c>
      <c r="L780" s="218">
        <f t="shared" si="48"/>
        <v>431.7</v>
      </c>
      <c r="M780" s="218" t="s">
        <v>323</v>
      </c>
      <c r="P780" s="218">
        <v>775</v>
      </c>
      <c r="Q780" s="218">
        <v>433.7</v>
      </c>
      <c r="R780" s="218">
        <v>449</v>
      </c>
      <c r="S780" s="218">
        <v>411</v>
      </c>
      <c r="T780" s="218">
        <v>431.23333333333335</v>
      </c>
      <c r="U780" s="273">
        <v>2.3189302002009737E-3</v>
      </c>
      <c r="V780" s="218">
        <v>2.3180346528926393E-3</v>
      </c>
      <c r="W780" s="250">
        <v>3.9596445347541571E-5</v>
      </c>
      <c r="X780" s="250">
        <v>0.95194996320824143</v>
      </c>
      <c r="Z780" s="218">
        <v>772</v>
      </c>
      <c r="AA780" s="435">
        <v>0.95194996320824143</v>
      </c>
    </row>
    <row r="781" spans="1:27">
      <c r="A781" s="429">
        <v>0.68622685185185184</v>
      </c>
      <c r="B781" s="218">
        <v>453</v>
      </c>
      <c r="C781" s="218" t="s">
        <v>314</v>
      </c>
      <c r="D781" s="218">
        <v>227</v>
      </c>
      <c r="E781" s="218" t="s">
        <v>315</v>
      </c>
      <c r="F781" s="218">
        <v>22.8</v>
      </c>
      <c r="G781" s="218" t="s">
        <v>316</v>
      </c>
      <c r="H781" s="218">
        <v>724</v>
      </c>
      <c r="I781" s="218">
        <f t="shared" si="45"/>
        <v>452</v>
      </c>
      <c r="J781" s="218">
        <f t="shared" si="46"/>
        <v>2.2123893805309734E-3</v>
      </c>
      <c r="K781" s="218">
        <f t="shared" si="47"/>
        <v>4.7048694363311383E-2</v>
      </c>
      <c r="L781" s="218">
        <f t="shared" si="48"/>
        <v>431.7</v>
      </c>
      <c r="M781" s="218" t="s">
        <v>323</v>
      </c>
      <c r="P781" s="218">
        <v>776</v>
      </c>
      <c r="Q781" s="218">
        <v>433.7</v>
      </c>
      <c r="R781" s="218">
        <v>449</v>
      </c>
      <c r="S781" s="218">
        <v>411</v>
      </c>
      <c r="T781" s="218">
        <v>431.23333333333335</v>
      </c>
      <c r="U781" s="273">
        <v>2.3189302002009737E-3</v>
      </c>
      <c r="V781" s="218">
        <v>2.3189302002009737E-3</v>
      </c>
      <c r="W781" s="250">
        <v>3.9611743000666103E-5</v>
      </c>
      <c r="X781" s="250">
        <v>0.95194996320824143</v>
      </c>
      <c r="Z781" s="218">
        <v>773</v>
      </c>
      <c r="AA781" s="435">
        <v>0.95415746872700513</v>
      </c>
    </row>
    <row r="782" spans="1:27">
      <c r="A782" s="429">
        <v>0.68623842592592599</v>
      </c>
      <c r="B782" s="218">
        <v>451</v>
      </c>
      <c r="C782" s="218" t="s">
        <v>314</v>
      </c>
      <c r="D782" s="218">
        <v>226</v>
      </c>
      <c r="E782" s="218" t="s">
        <v>315</v>
      </c>
      <c r="F782" s="218">
        <v>22.8</v>
      </c>
      <c r="G782" s="218" t="s">
        <v>316</v>
      </c>
      <c r="H782" s="218">
        <v>725</v>
      </c>
      <c r="I782" s="218">
        <f t="shared" si="45"/>
        <v>453</v>
      </c>
      <c r="J782" s="218">
        <f t="shared" si="46"/>
        <v>2.2075055187637969E-3</v>
      </c>
      <c r="K782" s="218">
        <f t="shared" si="47"/>
        <v>4.7053578225078566E-2</v>
      </c>
      <c r="L782" s="218">
        <f t="shared" si="48"/>
        <v>432.7</v>
      </c>
      <c r="M782" s="218" t="s">
        <v>323</v>
      </c>
      <c r="P782" s="218">
        <v>777</v>
      </c>
      <c r="Q782" s="218">
        <v>433.7</v>
      </c>
      <c r="R782" s="218">
        <v>449</v>
      </c>
      <c r="S782" s="218">
        <v>413</v>
      </c>
      <c r="T782" s="218">
        <v>431.90000000000003</v>
      </c>
      <c r="U782" s="273">
        <v>2.3153507756425097E-3</v>
      </c>
      <c r="V782" s="218">
        <v>2.3171404879217417E-3</v>
      </c>
      <c r="W782" s="250">
        <v>3.9581171307372394E-5</v>
      </c>
      <c r="X782" s="250">
        <v>0.95342163355408394</v>
      </c>
      <c r="Z782" s="218">
        <v>774</v>
      </c>
      <c r="AA782" s="435">
        <v>0.95268579838116263</v>
      </c>
    </row>
    <row r="783" spans="1:27">
      <c r="A783" s="429">
        <v>0.68624999999999992</v>
      </c>
      <c r="B783" s="218">
        <v>453</v>
      </c>
      <c r="C783" s="218" t="s">
        <v>314</v>
      </c>
      <c r="D783" s="218">
        <v>227</v>
      </c>
      <c r="E783" s="218" t="s">
        <v>315</v>
      </c>
      <c r="F783" s="218">
        <v>22.8</v>
      </c>
      <c r="G783" s="218" t="s">
        <v>316</v>
      </c>
      <c r="H783" s="218">
        <v>726</v>
      </c>
      <c r="I783" s="218">
        <f t="shared" si="45"/>
        <v>451</v>
      </c>
      <c r="J783" s="218">
        <f t="shared" si="46"/>
        <v>2.2172949002217295E-3</v>
      </c>
      <c r="K783" s="218">
        <f t="shared" si="47"/>
        <v>4.7043788843620628E-2</v>
      </c>
      <c r="L783" s="218">
        <f t="shared" si="48"/>
        <v>430.7</v>
      </c>
      <c r="M783" s="218" t="s">
        <v>323</v>
      </c>
      <c r="P783" s="218">
        <v>778</v>
      </c>
      <c r="Q783" s="218">
        <v>434.7</v>
      </c>
      <c r="R783" s="218">
        <v>451</v>
      </c>
      <c r="S783" s="218">
        <v>413</v>
      </c>
      <c r="T783" s="218">
        <v>432.90000000000003</v>
      </c>
      <c r="U783" s="273">
        <v>2.3100023100023096E-3</v>
      </c>
      <c r="V783" s="218">
        <v>2.3126765428224099E-3</v>
      </c>
      <c r="W783" s="250">
        <v>3.950491862584343E-5</v>
      </c>
      <c r="X783" s="250">
        <v>0.95562913907284774</v>
      </c>
      <c r="Z783" s="218">
        <v>775</v>
      </c>
      <c r="AA783" s="435">
        <v>0.95194996320824143</v>
      </c>
    </row>
    <row r="784" spans="1:27">
      <c r="A784" s="429">
        <v>0.68626157407407407</v>
      </c>
      <c r="B784" s="218">
        <v>451</v>
      </c>
      <c r="C784" s="218" t="s">
        <v>314</v>
      </c>
      <c r="D784" s="218">
        <v>226</v>
      </c>
      <c r="E784" s="218" t="s">
        <v>315</v>
      </c>
      <c r="F784" s="218">
        <v>22.8</v>
      </c>
      <c r="G784" s="218" t="s">
        <v>316</v>
      </c>
      <c r="H784" s="218">
        <v>727</v>
      </c>
      <c r="I784" s="218">
        <f t="shared" si="45"/>
        <v>453</v>
      </c>
      <c r="J784" s="218">
        <f t="shared" si="46"/>
        <v>2.2075055187637969E-3</v>
      </c>
      <c r="K784" s="218">
        <f t="shared" si="47"/>
        <v>4.7053578225078566E-2</v>
      </c>
      <c r="L784" s="218">
        <f t="shared" si="48"/>
        <v>432.7</v>
      </c>
      <c r="M784" s="218" t="s">
        <v>323</v>
      </c>
      <c r="P784" s="218">
        <v>779</v>
      </c>
      <c r="Q784" s="218">
        <v>434.7</v>
      </c>
      <c r="R784" s="218">
        <v>448</v>
      </c>
      <c r="S784" s="218">
        <v>411</v>
      </c>
      <c r="T784" s="218">
        <v>431.23333333333335</v>
      </c>
      <c r="U784" s="273">
        <v>2.3189302002009737E-3</v>
      </c>
      <c r="V784" s="218">
        <v>2.3144662551016415E-3</v>
      </c>
      <c r="W784" s="250">
        <v>3.9535490319137133E-5</v>
      </c>
      <c r="X784" s="250">
        <v>0.95194996320824143</v>
      </c>
      <c r="Z784" s="218">
        <v>776</v>
      </c>
      <c r="AA784" s="435">
        <v>0.95194996320824143</v>
      </c>
    </row>
    <row r="785" spans="1:27">
      <c r="A785" s="429">
        <v>0.68627314814814822</v>
      </c>
      <c r="B785" s="218">
        <v>452</v>
      </c>
      <c r="C785" s="218" t="s">
        <v>314</v>
      </c>
      <c r="D785" s="218">
        <v>226</v>
      </c>
      <c r="E785" s="218" t="s">
        <v>315</v>
      </c>
      <c r="F785" s="218">
        <v>22.8</v>
      </c>
      <c r="G785" s="218" t="s">
        <v>316</v>
      </c>
      <c r="H785" s="218">
        <v>728</v>
      </c>
      <c r="I785" s="218">
        <f t="shared" si="45"/>
        <v>451</v>
      </c>
      <c r="J785" s="218">
        <f t="shared" si="46"/>
        <v>2.2172949002217295E-3</v>
      </c>
      <c r="K785" s="218">
        <f t="shared" si="47"/>
        <v>4.7043788843620628E-2</v>
      </c>
      <c r="L785" s="218">
        <f t="shared" si="48"/>
        <v>430.7</v>
      </c>
      <c r="M785" s="218" t="s">
        <v>323</v>
      </c>
      <c r="P785" s="218">
        <v>780</v>
      </c>
      <c r="Q785" s="218">
        <v>434.7</v>
      </c>
      <c r="R785" s="218">
        <v>449</v>
      </c>
      <c r="S785" s="218">
        <v>411</v>
      </c>
      <c r="T785" s="218">
        <v>431.56666666666666</v>
      </c>
      <c r="U785" s="273">
        <v>2.3171391055843054E-3</v>
      </c>
      <c r="V785" s="218">
        <v>2.3180346528926393E-3</v>
      </c>
      <c r="W785" s="250">
        <v>3.9596445347541571E-5</v>
      </c>
      <c r="X785" s="250">
        <v>0.95268579838116263</v>
      </c>
      <c r="Z785" s="218">
        <v>777</v>
      </c>
      <c r="AA785" s="435">
        <v>0.95342163355408394</v>
      </c>
    </row>
    <row r="786" spans="1:27">
      <c r="A786" s="429">
        <v>0.68628472222222225</v>
      </c>
      <c r="B786" s="218">
        <v>451</v>
      </c>
      <c r="C786" s="218" t="s">
        <v>314</v>
      </c>
      <c r="D786" s="218">
        <v>226</v>
      </c>
      <c r="E786" s="218" t="s">
        <v>315</v>
      </c>
      <c r="F786" s="218">
        <v>22.8</v>
      </c>
      <c r="G786" s="218" t="s">
        <v>316</v>
      </c>
      <c r="H786" s="218">
        <v>729</v>
      </c>
      <c r="I786" s="218">
        <f t="shared" si="45"/>
        <v>452</v>
      </c>
      <c r="J786" s="218">
        <f t="shared" si="46"/>
        <v>2.2123893805309734E-3</v>
      </c>
      <c r="K786" s="218">
        <f t="shared" si="47"/>
        <v>4.7048694363311383E-2</v>
      </c>
      <c r="L786" s="218">
        <f t="shared" si="48"/>
        <v>431.7</v>
      </c>
      <c r="M786" s="218" t="s">
        <v>323</v>
      </c>
      <c r="P786" s="218">
        <v>781</v>
      </c>
      <c r="Q786" s="218">
        <v>434.7</v>
      </c>
      <c r="R786" s="218">
        <v>449</v>
      </c>
      <c r="S786" s="218">
        <v>413</v>
      </c>
      <c r="T786" s="218">
        <v>432.23333333333335</v>
      </c>
      <c r="U786" s="273">
        <v>2.3135652039793322E-3</v>
      </c>
      <c r="V786" s="218">
        <v>2.315352154781819E-3</v>
      </c>
      <c r="W786" s="250">
        <v>3.9550623172403924E-5</v>
      </c>
      <c r="X786" s="250">
        <v>0.95415746872700513</v>
      </c>
      <c r="Z786" s="218">
        <v>778</v>
      </c>
      <c r="AA786" s="435">
        <v>0.95562913907284774</v>
      </c>
    </row>
    <row r="787" spans="1:27">
      <c r="A787" s="429">
        <v>0.68629629629629629</v>
      </c>
      <c r="B787" s="218">
        <v>452</v>
      </c>
      <c r="C787" s="218" t="s">
        <v>314</v>
      </c>
      <c r="D787" s="218">
        <v>226</v>
      </c>
      <c r="E787" s="218" t="s">
        <v>315</v>
      </c>
      <c r="F787" s="218">
        <v>22.8</v>
      </c>
      <c r="G787" s="218" t="s">
        <v>316</v>
      </c>
      <c r="H787" s="218">
        <v>730</v>
      </c>
      <c r="I787" s="218">
        <f t="shared" si="45"/>
        <v>451</v>
      </c>
      <c r="J787" s="218">
        <f t="shared" si="46"/>
        <v>2.2172949002217295E-3</v>
      </c>
      <c r="K787" s="218">
        <f t="shared" si="47"/>
        <v>4.7043788843620628E-2</v>
      </c>
      <c r="L787" s="218">
        <f t="shared" si="48"/>
        <v>430.7</v>
      </c>
      <c r="M787" s="218" t="s">
        <v>323</v>
      </c>
      <c r="P787" s="218">
        <v>782</v>
      </c>
      <c r="Q787" s="218">
        <v>433.7</v>
      </c>
      <c r="R787" s="218">
        <v>450</v>
      </c>
      <c r="S787" s="218">
        <v>413</v>
      </c>
      <c r="T787" s="218">
        <v>432.23333333333335</v>
      </c>
      <c r="U787" s="273">
        <v>2.3135652039793322E-3</v>
      </c>
      <c r="V787" s="218">
        <v>2.3135652039793322E-3</v>
      </c>
      <c r="W787" s="250">
        <v>3.9520098650390795E-5</v>
      </c>
      <c r="X787" s="250">
        <v>0.95415746872700513</v>
      </c>
      <c r="Z787" s="218">
        <v>779</v>
      </c>
      <c r="AA787" s="435">
        <v>0.95194996320824143</v>
      </c>
    </row>
    <row r="788" spans="1:27">
      <c r="A788" s="429">
        <v>0.68630787037037033</v>
      </c>
      <c r="B788" s="218">
        <v>452</v>
      </c>
      <c r="C788" s="218" t="s">
        <v>314</v>
      </c>
      <c r="D788" s="218">
        <v>226</v>
      </c>
      <c r="E788" s="218" t="s">
        <v>315</v>
      </c>
      <c r="F788" s="218">
        <v>22.8</v>
      </c>
      <c r="G788" s="218" t="s">
        <v>316</v>
      </c>
      <c r="H788" s="218">
        <v>731</v>
      </c>
      <c r="I788" s="218">
        <f t="shared" si="45"/>
        <v>452</v>
      </c>
      <c r="J788" s="218">
        <f t="shared" si="46"/>
        <v>2.2123893805309734E-3</v>
      </c>
      <c r="K788" s="218">
        <f t="shared" si="47"/>
        <v>4.7048694363311383E-2</v>
      </c>
      <c r="L788" s="218">
        <f t="shared" si="48"/>
        <v>431.7</v>
      </c>
      <c r="M788" s="218" t="s">
        <v>323</v>
      </c>
      <c r="P788" s="218">
        <v>783</v>
      </c>
      <c r="Q788" s="218">
        <v>434.7</v>
      </c>
      <c r="R788" s="218">
        <v>449</v>
      </c>
      <c r="S788" s="218">
        <v>414</v>
      </c>
      <c r="T788" s="218">
        <v>432.56666666666666</v>
      </c>
      <c r="U788" s="273">
        <v>2.3117823842182324E-3</v>
      </c>
      <c r="V788" s="218">
        <v>2.3126737940987823E-3</v>
      </c>
      <c r="W788" s="250">
        <v>3.9504871672410372E-5</v>
      </c>
      <c r="X788" s="250">
        <v>0.95489330389992644</v>
      </c>
      <c r="Z788" s="218">
        <v>780</v>
      </c>
      <c r="AA788" s="435">
        <v>0.95268579838116263</v>
      </c>
    </row>
    <row r="789" spans="1:27">
      <c r="A789" s="429">
        <v>0.68631944444444448</v>
      </c>
      <c r="B789" s="218">
        <v>452</v>
      </c>
      <c r="C789" s="218" t="s">
        <v>314</v>
      </c>
      <c r="D789" s="218">
        <v>226</v>
      </c>
      <c r="E789" s="218" t="s">
        <v>315</v>
      </c>
      <c r="F789" s="218">
        <v>22.8</v>
      </c>
      <c r="G789" s="218" t="s">
        <v>316</v>
      </c>
      <c r="H789" s="218">
        <v>732</v>
      </c>
      <c r="I789" s="218">
        <f t="shared" si="45"/>
        <v>452</v>
      </c>
      <c r="J789" s="218">
        <f t="shared" si="46"/>
        <v>2.2123893805309734E-3</v>
      </c>
      <c r="K789" s="218">
        <f t="shared" si="47"/>
        <v>4.7048694363311383E-2</v>
      </c>
      <c r="L789" s="218">
        <f t="shared" si="48"/>
        <v>431.7</v>
      </c>
      <c r="M789" s="218" t="s">
        <v>323</v>
      </c>
      <c r="P789" s="218">
        <v>784</v>
      </c>
      <c r="Q789" s="218">
        <v>433.7</v>
      </c>
      <c r="R789" s="218">
        <v>449</v>
      </c>
      <c r="S789" s="218">
        <v>414</v>
      </c>
      <c r="T789" s="218">
        <v>432.23333333333335</v>
      </c>
      <c r="U789" s="273">
        <v>2.3135652039793322E-3</v>
      </c>
      <c r="V789" s="218">
        <v>2.3126737940987823E-3</v>
      </c>
      <c r="W789" s="250">
        <v>3.9504871672410372E-5</v>
      </c>
      <c r="X789" s="250">
        <v>0.95415746872700513</v>
      </c>
      <c r="Z789" s="218">
        <v>781</v>
      </c>
      <c r="AA789" s="435">
        <v>0.95415746872700513</v>
      </c>
    </row>
    <row r="790" spans="1:27">
      <c r="A790" s="429">
        <v>0.68633101851851841</v>
      </c>
      <c r="B790" s="218">
        <v>453</v>
      </c>
      <c r="C790" s="218" t="s">
        <v>314</v>
      </c>
      <c r="D790" s="218">
        <v>227</v>
      </c>
      <c r="E790" s="218" t="s">
        <v>315</v>
      </c>
      <c r="F790" s="218">
        <v>22.8</v>
      </c>
      <c r="G790" s="218" t="s">
        <v>316</v>
      </c>
      <c r="H790" s="218">
        <v>733</v>
      </c>
      <c r="I790" s="218">
        <f t="shared" si="45"/>
        <v>452</v>
      </c>
      <c r="J790" s="218">
        <f t="shared" si="46"/>
        <v>2.2123893805309734E-3</v>
      </c>
      <c r="K790" s="218">
        <f t="shared" si="47"/>
        <v>4.7048694363311383E-2</v>
      </c>
      <c r="L790" s="218">
        <f t="shared" si="48"/>
        <v>431.7</v>
      </c>
      <c r="M790" s="218" t="s">
        <v>323</v>
      </c>
      <c r="P790" s="218">
        <v>785</v>
      </c>
      <c r="Q790" s="218">
        <v>434.7</v>
      </c>
      <c r="R790" s="218">
        <v>450</v>
      </c>
      <c r="S790" s="218">
        <v>415</v>
      </c>
      <c r="T790" s="218">
        <v>433.23333333333335</v>
      </c>
      <c r="U790" s="273">
        <v>2.3082249749942292E-3</v>
      </c>
      <c r="V790" s="218">
        <v>2.3108950894867807E-3</v>
      </c>
      <c r="W790" s="250">
        <v>3.9474488011031259E-5</v>
      </c>
      <c r="X790" s="250">
        <v>0.95636497424576894</v>
      </c>
      <c r="Z790" s="218">
        <v>782</v>
      </c>
      <c r="AA790" s="435">
        <v>0.95415746872700513</v>
      </c>
    </row>
    <row r="791" spans="1:27">
      <c r="A791" s="429">
        <v>0.68634259259259256</v>
      </c>
      <c r="B791" s="218">
        <v>453</v>
      </c>
      <c r="C791" s="218" t="s">
        <v>314</v>
      </c>
      <c r="D791" s="218">
        <v>227</v>
      </c>
      <c r="E791" s="218" t="s">
        <v>315</v>
      </c>
      <c r="F791" s="218">
        <v>22.8</v>
      </c>
      <c r="G791" s="218" t="s">
        <v>316</v>
      </c>
      <c r="H791" s="218">
        <v>734</v>
      </c>
      <c r="I791" s="218">
        <f t="shared" si="45"/>
        <v>453</v>
      </c>
      <c r="J791" s="218">
        <f t="shared" si="46"/>
        <v>2.2075055187637969E-3</v>
      </c>
      <c r="K791" s="218">
        <f t="shared" si="47"/>
        <v>4.7053578225078566E-2</v>
      </c>
      <c r="L791" s="218">
        <f t="shared" si="48"/>
        <v>432.7</v>
      </c>
      <c r="M791" s="218" t="s">
        <v>323</v>
      </c>
      <c r="P791" s="218">
        <v>786</v>
      </c>
      <c r="Q791" s="218">
        <v>433.7</v>
      </c>
      <c r="R791" s="218">
        <v>450</v>
      </c>
      <c r="S791" s="218">
        <v>415</v>
      </c>
      <c r="T791" s="218">
        <v>432.90000000000003</v>
      </c>
      <c r="U791" s="273">
        <v>2.3100023100023096E-3</v>
      </c>
      <c r="V791" s="218">
        <v>2.3091136424982697E-3</v>
      </c>
      <c r="W791" s="250">
        <v>3.9444057504639956E-5</v>
      </c>
      <c r="X791" s="250">
        <v>0.95562913907284774</v>
      </c>
      <c r="Z791" s="218">
        <v>783</v>
      </c>
      <c r="AA791" s="435">
        <v>0.95489330389992644</v>
      </c>
    </row>
    <row r="792" spans="1:27">
      <c r="A792" s="429">
        <v>0.68635416666666671</v>
      </c>
      <c r="B792" s="218">
        <v>453</v>
      </c>
      <c r="C792" s="218" t="s">
        <v>314</v>
      </c>
      <c r="D792" s="218">
        <v>227</v>
      </c>
      <c r="E792" s="218" t="s">
        <v>315</v>
      </c>
      <c r="F792" s="218">
        <v>22.8</v>
      </c>
      <c r="G792" s="218" t="s">
        <v>316</v>
      </c>
      <c r="H792" s="218">
        <v>735</v>
      </c>
      <c r="I792" s="218">
        <f t="shared" si="45"/>
        <v>453</v>
      </c>
      <c r="J792" s="218">
        <f t="shared" si="46"/>
        <v>2.2075055187637969E-3</v>
      </c>
      <c r="K792" s="218">
        <f t="shared" si="47"/>
        <v>4.7053578225078566E-2</v>
      </c>
      <c r="L792" s="218">
        <f t="shared" si="48"/>
        <v>432.7</v>
      </c>
      <c r="M792" s="218" t="s">
        <v>323</v>
      </c>
      <c r="P792" s="218">
        <v>787</v>
      </c>
      <c r="Q792" s="218">
        <v>434.7</v>
      </c>
      <c r="R792" s="218">
        <v>450</v>
      </c>
      <c r="S792" s="218">
        <v>415</v>
      </c>
      <c r="T792" s="218">
        <v>433.23333333333335</v>
      </c>
      <c r="U792" s="273">
        <v>2.3082249749942292E-3</v>
      </c>
      <c r="V792" s="218">
        <v>2.3091136424982697E-3</v>
      </c>
      <c r="W792" s="250">
        <v>3.9444057504639956E-5</v>
      </c>
      <c r="X792" s="250">
        <v>0.95636497424576894</v>
      </c>
      <c r="Z792" s="218">
        <v>784</v>
      </c>
      <c r="AA792" s="435">
        <v>0.95415746872700513</v>
      </c>
    </row>
    <row r="793" spans="1:27">
      <c r="A793" s="429">
        <v>0.68636574074074075</v>
      </c>
      <c r="B793" s="218">
        <v>453</v>
      </c>
      <c r="C793" s="218" t="s">
        <v>314</v>
      </c>
      <c r="D793" s="218">
        <v>227</v>
      </c>
      <c r="E793" s="218" t="s">
        <v>315</v>
      </c>
      <c r="F793" s="218">
        <v>22.8</v>
      </c>
      <c r="G793" s="218" t="s">
        <v>316</v>
      </c>
      <c r="H793" s="218">
        <v>736</v>
      </c>
      <c r="I793" s="218">
        <f t="shared" si="45"/>
        <v>453</v>
      </c>
      <c r="J793" s="218">
        <f t="shared" si="46"/>
        <v>2.2075055187637969E-3</v>
      </c>
      <c r="K793" s="218">
        <f t="shared" si="47"/>
        <v>4.7053578225078566E-2</v>
      </c>
      <c r="L793" s="218">
        <f t="shared" si="48"/>
        <v>432.7</v>
      </c>
      <c r="M793" s="218" t="s">
        <v>323</v>
      </c>
      <c r="P793" s="218">
        <v>788</v>
      </c>
      <c r="Q793" s="218">
        <v>434.7</v>
      </c>
      <c r="R793" s="218">
        <v>448</v>
      </c>
      <c r="S793" s="218">
        <v>415</v>
      </c>
      <c r="T793" s="218">
        <v>432.56666666666666</v>
      </c>
      <c r="U793" s="273">
        <v>2.3117823842182324E-3</v>
      </c>
      <c r="V793" s="218">
        <v>2.3100036796062308E-3</v>
      </c>
      <c r="W793" s="250">
        <v>3.9459261033050836E-5</v>
      </c>
      <c r="X793" s="250">
        <v>0.95489330389992644</v>
      </c>
      <c r="Z793" s="218">
        <v>785</v>
      </c>
      <c r="AA793" s="435">
        <v>0.95636497424576894</v>
      </c>
    </row>
    <row r="794" spans="1:27">
      <c r="A794" s="429">
        <v>0.68637731481481479</v>
      </c>
      <c r="B794" s="218">
        <v>452</v>
      </c>
      <c r="C794" s="218" t="s">
        <v>314</v>
      </c>
      <c r="D794" s="218">
        <v>226</v>
      </c>
      <c r="E794" s="218" t="s">
        <v>315</v>
      </c>
      <c r="F794" s="218">
        <v>22.8</v>
      </c>
      <c r="G794" s="218" t="s">
        <v>316</v>
      </c>
      <c r="H794" s="218">
        <v>737</v>
      </c>
      <c r="I794" s="218">
        <f t="shared" si="45"/>
        <v>453</v>
      </c>
      <c r="J794" s="218">
        <f t="shared" si="46"/>
        <v>2.2075055187637969E-3</v>
      </c>
      <c r="K794" s="218">
        <f t="shared" si="47"/>
        <v>4.7053578225078566E-2</v>
      </c>
      <c r="L794" s="218">
        <f t="shared" si="48"/>
        <v>432.7</v>
      </c>
      <c r="M794" s="218" t="s">
        <v>323</v>
      </c>
      <c r="P794" s="218">
        <v>789</v>
      </c>
      <c r="Q794" s="218">
        <v>434.7</v>
      </c>
      <c r="R794" s="218">
        <v>451</v>
      </c>
      <c r="S794" s="218">
        <v>416</v>
      </c>
      <c r="T794" s="218">
        <v>433.90000000000003</v>
      </c>
      <c r="U794" s="273">
        <v>2.3046784973496195E-3</v>
      </c>
      <c r="V794" s="218">
        <v>2.3082304407839259E-3</v>
      </c>
      <c r="W794" s="250">
        <v>3.9428970737766459E-5</v>
      </c>
      <c r="X794" s="250">
        <v>0.95783664459161155</v>
      </c>
      <c r="Z794" s="218">
        <v>786</v>
      </c>
      <c r="AA794" s="435">
        <v>0.95562913907284774</v>
      </c>
    </row>
    <row r="795" spans="1:27">
      <c r="A795" s="429">
        <v>0.68638888888888883</v>
      </c>
      <c r="B795" s="218">
        <v>453</v>
      </c>
      <c r="C795" s="218" t="s">
        <v>314</v>
      </c>
      <c r="D795" s="218">
        <v>227</v>
      </c>
      <c r="E795" s="218" t="s">
        <v>315</v>
      </c>
      <c r="F795" s="218">
        <v>22.8</v>
      </c>
      <c r="G795" s="218" t="s">
        <v>316</v>
      </c>
      <c r="H795" s="218">
        <v>738</v>
      </c>
      <c r="I795" s="218">
        <f t="shared" si="45"/>
        <v>452</v>
      </c>
      <c r="J795" s="218">
        <f t="shared" si="46"/>
        <v>2.2123893805309734E-3</v>
      </c>
      <c r="K795" s="218">
        <f t="shared" si="47"/>
        <v>4.7048694363311383E-2</v>
      </c>
      <c r="L795" s="218">
        <f t="shared" si="48"/>
        <v>431.7</v>
      </c>
      <c r="M795" s="218" t="s">
        <v>323</v>
      </c>
      <c r="P795" s="218">
        <v>790</v>
      </c>
      <c r="Q795" s="218">
        <v>434.7</v>
      </c>
      <c r="R795" s="218">
        <v>449</v>
      </c>
      <c r="S795" s="218">
        <v>416</v>
      </c>
      <c r="T795" s="218">
        <v>433.23333333333335</v>
      </c>
      <c r="U795" s="273">
        <v>2.3082249749942292E-3</v>
      </c>
      <c r="V795" s="218">
        <v>2.3064517361719244E-3</v>
      </c>
      <c r="W795" s="250">
        <v>3.9398587076387346E-5</v>
      </c>
      <c r="X795" s="250">
        <v>0.95636497424576894</v>
      </c>
      <c r="Z795" s="218">
        <v>787</v>
      </c>
      <c r="AA795" s="435">
        <v>0.95636497424576894</v>
      </c>
    </row>
    <row r="796" spans="1:27">
      <c r="A796" s="429">
        <v>0.68640046296296298</v>
      </c>
      <c r="B796" s="218">
        <v>452</v>
      </c>
      <c r="C796" s="218" t="s">
        <v>314</v>
      </c>
      <c r="D796" s="218">
        <v>226</v>
      </c>
      <c r="E796" s="218" t="s">
        <v>315</v>
      </c>
      <c r="F796" s="218">
        <v>22.8</v>
      </c>
      <c r="G796" s="218" t="s">
        <v>316</v>
      </c>
      <c r="H796" s="218">
        <v>739</v>
      </c>
      <c r="I796" s="218">
        <f t="shared" si="45"/>
        <v>453</v>
      </c>
      <c r="J796" s="218">
        <f t="shared" si="46"/>
        <v>2.2075055187637969E-3</v>
      </c>
      <c r="K796" s="218">
        <f t="shared" si="47"/>
        <v>4.7053578225078566E-2</v>
      </c>
      <c r="L796" s="218">
        <f t="shared" si="48"/>
        <v>432.7</v>
      </c>
      <c r="M796" s="218" t="s">
        <v>323</v>
      </c>
      <c r="P796" s="218">
        <v>791</v>
      </c>
      <c r="Q796" s="218">
        <v>434.7</v>
      </c>
      <c r="R796" s="218">
        <v>450</v>
      </c>
      <c r="S796" s="218">
        <v>419</v>
      </c>
      <c r="T796" s="218">
        <v>434.56666666666666</v>
      </c>
      <c r="U796" s="273">
        <v>2.3011429009741507E-3</v>
      </c>
      <c r="V796" s="218">
        <v>2.30468393798419E-3</v>
      </c>
      <c r="W796" s="250">
        <v>3.9368389717500262E-5</v>
      </c>
      <c r="X796" s="250">
        <v>0.95930831493745405</v>
      </c>
      <c r="Z796" s="218">
        <v>788</v>
      </c>
      <c r="AA796" s="435">
        <v>0.95489330389992644</v>
      </c>
    </row>
    <row r="797" spans="1:27">
      <c r="A797" s="429">
        <v>0.68641203703703713</v>
      </c>
      <c r="B797" s="218">
        <v>453</v>
      </c>
      <c r="C797" s="218" t="s">
        <v>314</v>
      </c>
      <c r="D797" s="218">
        <v>227</v>
      </c>
      <c r="E797" s="218" t="s">
        <v>315</v>
      </c>
      <c r="F797" s="218">
        <v>22.8</v>
      </c>
      <c r="G797" s="218" t="s">
        <v>316</v>
      </c>
      <c r="H797" s="218">
        <v>740</v>
      </c>
      <c r="I797" s="218">
        <f t="shared" si="45"/>
        <v>452</v>
      </c>
      <c r="J797" s="218">
        <f t="shared" si="46"/>
        <v>2.2123893805309734E-3</v>
      </c>
      <c r="K797" s="218">
        <f t="shared" si="47"/>
        <v>4.7048694363311383E-2</v>
      </c>
      <c r="L797" s="218">
        <f t="shared" si="48"/>
        <v>431.7</v>
      </c>
      <c r="M797" s="218" t="s">
        <v>323</v>
      </c>
      <c r="P797" s="218">
        <v>792</v>
      </c>
      <c r="Q797" s="218">
        <v>435.7</v>
      </c>
      <c r="R797" s="218">
        <v>449</v>
      </c>
      <c r="S797" s="218">
        <v>419</v>
      </c>
      <c r="T797" s="218">
        <v>434.56666666666666</v>
      </c>
      <c r="U797" s="273">
        <v>2.3011429009741507E-3</v>
      </c>
      <c r="V797" s="218">
        <v>2.3011429009741507E-3</v>
      </c>
      <c r="W797" s="250">
        <v>3.9307902063328793E-5</v>
      </c>
      <c r="X797" s="250">
        <v>0.95930831493745405</v>
      </c>
      <c r="Z797" s="218">
        <v>789</v>
      </c>
      <c r="AA797" s="435">
        <v>0.95783664459161155</v>
      </c>
    </row>
    <row r="798" spans="1:27">
      <c r="A798" s="429">
        <v>0.68642361111111105</v>
      </c>
      <c r="B798" s="218">
        <v>453</v>
      </c>
      <c r="C798" s="218" t="s">
        <v>314</v>
      </c>
      <c r="D798" s="218">
        <v>227</v>
      </c>
      <c r="E798" s="218" t="s">
        <v>315</v>
      </c>
      <c r="F798" s="218">
        <v>22.8</v>
      </c>
      <c r="G798" s="218" t="s">
        <v>316</v>
      </c>
      <c r="H798" s="218">
        <v>741</v>
      </c>
      <c r="I798" s="218">
        <f t="shared" si="45"/>
        <v>453</v>
      </c>
      <c r="J798" s="218">
        <f t="shared" si="46"/>
        <v>2.2075055187637969E-3</v>
      </c>
      <c r="K798" s="218">
        <f t="shared" si="47"/>
        <v>4.7053578225078566E-2</v>
      </c>
      <c r="L798" s="218">
        <f t="shared" si="48"/>
        <v>432.7</v>
      </c>
      <c r="M798" s="218" t="s">
        <v>323</v>
      </c>
      <c r="P798" s="218">
        <v>793</v>
      </c>
      <c r="Q798" s="218">
        <v>433.7</v>
      </c>
      <c r="R798" s="218">
        <v>450</v>
      </c>
      <c r="S798" s="218">
        <v>418</v>
      </c>
      <c r="T798" s="218">
        <v>433.90000000000003</v>
      </c>
      <c r="U798" s="273">
        <v>2.3046784973496195E-3</v>
      </c>
      <c r="V798" s="218">
        <v>2.3029106991618851E-3</v>
      </c>
      <c r="W798" s="250">
        <v>3.9338099422215884E-5</v>
      </c>
      <c r="X798" s="250">
        <v>0.95783664459161155</v>
      </c>
      <c r="Z798" s="218">
        <v>790</v>
      </c>
      <c r="AA798" s="435">
        <v>0.95636497424576894</v>
      </c>
    </row>
    <row r="799" spans="1:27">
      <c r="A799" s="429">
        <v>0.6864351851851852</v>
      </c>
      <c r="B799" s="218">
        <v>453</v>
      </c>
      <c r="C799" s="218" t="s">
        <v>314</v>
      </c>
      <c r="D799" s="218">
        <v>227</v>
      </c>
      <c r="E799" s="218" t="s">
        <v>315</v>
      </c>
      <c r="F799" s="218">
        <v>22.8</v>
      </c>
      <c r="G799" s="218" t="s">
        <v>316</v>
      </c>
      <c r="H799" s="218">
        <v>742</v>
      </c>
      <c r="I799" s="218">
        <f t="shared" si="45"/>
        <v>453</v>
      </c>
      <c r="J799" s="218">
        <f t="shared" si="46"/>
        <v>2.2075055187637969E-3</v>
      </c>
      <c r="K799" s="218">
        <f t="shared" si="47"/>
        <v>4.7053578225078566E-2</v>
      </c>
      <c r="L799" s="218">
        <f t="shared" si="48"/>
        <v>432.7</v>
      </c>
      <c r="M799" s="218" t="s">
        <v>323</v>
      </c>
      <c r="P799" s="218">
        <v>794</v>
      </c>
      <c r="Q799" s="218">
        <v>435.7</v>
      </c>
      <c r="R799" s="218">
        <v>450</v>
      </c>
      <c r="S799" s="218">
        <v>418</v>
      </c>
      <c r="T799" s="218">
        <v>434.56666666666666</v>
      </c>
      <c r="U799" s="273">
        <v>2.3011429009741507E-3</v>
      </c>
      <c r="V799" s="218">
        <v>2.3029106991618851E-3</v>
      </c>
      <c r="W799" s="250">
        <v>3.9338099422215884E-5</v>
      </c>
      <c r="X799" s="250">
        <v>0.95930831493745405</v>
      </c>
      <c r="Z799" s="218">
        <v>791</v>
      </c>
      <c r="AA799" s="435">
        <v>0.95930831493745405</v>
      </c>
    </row>
    <row r="800" spans="1:27">
      <c r="A800" s="429">
        <v>0.68644675925925924</v>
      </c>
      <c r="B800" s="218">
        <v>453</v>
      </c>
      <c r="C800" s="218" t="s">
        <v>314</v>
      </c>
      <c r="D800" s="218">
        <v>227</v>
      </c>
      <c r="E800" s="218" t="s">
        <v>315</v>
      </c>
      <c r="F800" s="218">
        <v>22.8</v>
      </c>
      <c r="G800" s="218" t="s">
        <v>316</v>
      </c>
      <c r="H800" s="218">
        <v>743</v>
      </c>
      <c r="I800" s="218">
        <f t="shared" si="45"/>
        <v>453</v>
      </c>
      <c r="J800" s="218">
        <f t="shared" si="46"/>
        <v>2.2075055187637969E-3</v>
      </c>
      <c r="K800" s="218">
        <f t="shared" si="47"/>
        <v>4.7053578225078566E-2</v>
      </c>
      <c r="L800" s="218">
        <f t="shared" si="48"/>
        <v>432.7</v>
      </c>
      <c r="M800" s="218" t="s">
        <v>323</v>
      </c>
      <c r="P800" s="218">
        <v>795</v>
      </c>
      <c r="Q800" s="218">
        <v>433.7</v>
      </c>
      <c r="R800" s="218">
        <v>450</v>
      </c>
      <c r="S800" s="218">
        <v>420</v>
      </c>
      <c r="T800" s="218">
        <v>434.56666666666666</v>
      </c>
      <c r="U800" s="273">
        <v>2.3011429009741507E-3</v>
      </c>
      <c r="V800" s="218">
        <v>2.3011429009741507E-3</v>
      </c>
      <c r="W800" s="250">
        <v>3.9307902063328793E-5</v>
      </c>
      <c r="X800" s="250">
        <v>0.95930831493745405</v>
      </c>
      <c r="Z800" s="218">
        <v>792</v>
      </c>
      <c r="AA800" s="435">
        <v>0.95930831493745405</v>
      </c>
    </row>
    <row r="801" spans="1:27">
      <c r="A801" s="429">
        <v>0.68645833333333339</v>
      </c>
      <c r="B801" s="218">
        <v>453</v>
      </c>
      <c r="C801" s="218" t="s">
        <v>314</v>
      </c>
      <c r="D801" s="218">
        <v>227</v>
      </c>
      <c r="E801" s="218" t="s">
        <v>315</v>
      </c>
      <c r="F801" s="218">
        <v>22.8</v>
      </c>
      <c r="G801" s="218" t="s">
        <v>316</v>
      </c>
      <c r="H801" s="218">
        <v>744</v>
      </c>
      <c r="I801" s="218">
        <f t="shared" si="45"/>
        <v>453</v>
      </c>
      <c r="J801" s="218">
        <f t="shared" si="46"/>
        <v>2.2075055187637969E-3</v>
      </c>
      <c r="K801" s="218">
        <f t="shared" si="47"/>
        <v>4.7053578225078566E-2</v>
      </c>
      <c r="L801" s="218">
        <f t="shared" si="48"/>
        <v>432.7</v>
      </c>
      <c r="M801" s="218" t="s">
        <v>323</v>
      </c>
      <c r="P801" s="218">
        <v>796</v>
      </c>
      <c r="Q801" s="218">
        <v>435.7</v>
      </c>
      <c r="R801" s="218">
        <v>450</v>
      </c>
      <c r="S801" s="218">
        <v>420</v>
      </c>
      <c r="T801" s="218">
        <v>435.23333333333335</v>
      </c>
      <c r="U801" s="273">
        <v>2.297618135865819E-3</v>
      </c>
      <c r="V801" s="218">
        <v>2.2993805184199851E-3</v>
      </c>
      <c r="W801" s="250">
        <v>3.9277797213774281E-5</v>
      </c>
      <c r="X801" s="250">
        <v>0.96077998528329656</v>
      </c>
      <c r="Z801" s="218">
        <v>793</v>
      </c>
      <c r="AA801" s="435">
        <v>0.95783664459161155</v>
      </c>
    </row>
    <row r="802" spans="1:27">
      <c r="A802" s="429">
        <v>0.68646990740740732</v>
      </c>
      <c r="B802" s="218">
        <v>454</v>
      </c>
      <c r="C802" s="218" t="s">
        <v>314</v>
      </c>
      <c r="D802" s="218">
        <v>227</v>
      </c>
      <c r="E802" s="218" t="s">
        <v>315</v>
      </c>
      <c r="F802" s="218">
        <v>22.8</v>
      </c>
      <c r="G802" s="218" t="s">
        <v>316</v>
      </c>
      <c r="H802" s="218">
        <v>745</v>
      </c>
      <c r="I802" s="218">
        <f t="shared" si="45"/>
        <v>453</v>
      </c>
      <c r="J802" s="218">
        <f t="shared" si="46"/>
        <v>2.2075055187637969E-3</v>
      </c>
      <c r="K802" s="218">
        <f t="shared" si="47"/>
        <v>4.7053578225078566E-2</v>
      </c>
      <c r="L802" s="218">
        <f t="shared" si="48"/>
        <v>432.7</v>
      </c>
      <c r="M802" s="218" t="s">
        <v>323</v>
      </c>
      <c r="P802" s="218">
        <v>797</v>
      </c>
      <c r="Q802" s="218">
        <v>432.7</v>
      </c>
      <c r="R802" s="218">
        <v>450</v>
      </c>
      <c r="S802" s="218">
        <v>419</v>
      </c>
      <c r="T802" s="218">
        <v>433.90000000000003</v>
      </c>
      <c r="U802" s="273">
        <v>2.3046784973496195E-3</v>
      </c>
      <c r="V802" s="218">
        <v>2.3011483166077195E-3</v>
      </c>
      <c r="W802" s="250">
        <v>3.9307994572661372E-5</v>
      </c>
      <c r="X802" s="250">
        <v>0.95783664459161155</v>
      </c>
      <c r="Z802" s="218">
        <v>794</v>
      </c>
      <c r="AA802" s="435">
        <v>0.95930831493745405</v>
      </c>
    </row>
    <row r="803" spans="1:27">
      <c r="A803" s="429">
        <v>0.68648148148148147</v>
      </c>
      <c r="B803" s="218">
        <v>452</v>
      </c>
      <c r="C803" s="218" t="s">
        <v>314</v>
      </c>
      <c r="D803" s="218">
        <v>226</v>
      </c>
      <c r="E803" s="218" t="s">
        <v>315</v>
      </c>
      <c r="F803" s="218">
        <v>22.8</v>
      </c>
      <c r="G803" s="218" t="s">
        <v>316</v>
      </c>
      <c r="H803" s="218">
        <v>746</v>
      </c>
      <c r="I803" s="218">
        <f t="shared" si="45"/>
        <v>454</v>
      </c>
      <c r="J803" s="218">
        <f t="shared" si="46"/>
        <v>2.2026431718061676E-3</v>
      </c>
      <c r="K803" s="218">
        <f t="shared" si="47"/>
        <v>4.7058440572036189E-2</v>
      </c>
      <c r="L803" s="218">
        <f t="shared" si="48"/>
        <v>433.7</v>
      </c>
      <c r="M803" s="218" t="s">
        <v>323</v>
      </c>
      <c r="P803" s="218">
        <v>798</v>
      </c>
      <c r="Q803" s="218">
        <v>435.7</v>
      </c>
      <c r="R803" s="218">
        <v>451</v>
      </c>
      <c r="S803" s="218">
        <v>419</v>
      </c>
      <c r="T803" s="218">
        <v>435.23333333333335</v>
      </c>
      <c r="U803" s="273">
        <v>2.297618135865819E-3</v>
      </c>
      <c r="V803" s="218">
        <v>2.3011483166077195E-3</v>
      </c>
      <c r="W803" s="250">
        <v>3.9307994572661372E-5</v>
      </c>
      <c r="X803" s="250">
        <v>0.96077998528329656</v>
      </c>
      <c r="Z803" s="218">
        <v>795</v>
      </c>
      <c r="AA803" s="435">
        <v>0.95930831493745405</v>
      </c>
    </row>
    <row r="804" spans="1:27">
      <c r="A804" s="429">
        <v>0.68649305555555562</v>
      </c>
      <c r="B804" s="218">
        <v>454</v>
      </c>
      <c r="C804" s="218" t="s">
        <v>314</v>
      </c>
      <c r="D804" s="218">
        <v>227</v>
      </c>
      <c r="E804" s="218" t="s">
        <v>315</v>
      </c>
      <c r="F804" s="218">
        <v>22.8</v>
      </c>
      <c r="G804" s="218" t="s">
        <v>316</v>
      </c>
      <c r="H804" s="218">
        <v>747</v>
      </c>
      <c r="I804" s="218">
        <f t="shared" si="45"/>
        <v>452</v>
      </c>
      <c r="J804" s="218">
        <f t="shared" si="46"/>
        <v>2.2123893805309734E-3</v>
      </c>
      <c r="K804" s="218">
        <f t="shared" si="47"/>
        <v>4.7048694363311383E-2</v>
      </c>
      <c r="L804" s="218">
        <f t="shared" si="48"/>
        <v>431.7</v>
      </c>
      <c r="M804" s="218" t="s">
        <v>323</v>
      </c>
      <c r="P804" s="218">
        <v>799</v>
      </c>
      <c r="Q804" s="218">
        <v>433.7</v>
      </c>
      <c r="R804" s="218">
        <v>448</v>
      </c>
      <c r="S804" s="218">
        <v>419</v>
      </c>
      <c r="T804" s="218">
        <v>433.56666666666666</v>
      </c>
      <c r="U804" s="273">
        <v>2.3064503728761438E-3</v>
      </c>
      <c r="V804" s="218">
        <v>2.3020342543709814E-3</v>
      </c>
      <c r="W804" s="250">
        <v>3.9323128076459753E-5</v>
      </c>
      <c r="X804" s="250">
        <v>0.95710080941869025</v>
      </c>
      <c r="Z804" s="218">
        <v>796</v>
      </c>
      <c r="AA804" s="435">
        <v>0.96077998528329656</v>
      </c>
    </row>
    <row r="805" spans="1:27">
      <c r="A805" s="429">
        <v>0.68650462962962966</v>
      </c>
      <c r="B805" s="218">
        <v>451</v>
      </c>
      <c r="C805" s="218" t="s">
        <v>314</v>
      </c>
      <c r="D805" s="218">
        <v>226</v>
      </c>
      <c r="E805" s="218" t="s">
        <v>315</v>
      </c>
      <c r="F805" s="218">
        <v>22.8</v>
      </c>
      <c r="G805" s="218" t="s">
        <v>316</v>
      </c>
      <c r="H805" s="218">
        <v>748</v>
      </c>
      <c r="I805" s="218">
        <f t="shared" si="45"/>
        <v>454</v>
      </c>
      <c r="J805" s="218">
        <f t="shared" si="46"/>
        <v>2.2026431718061676E-3</v>
      </c>
      <c r="K805" s="218">
        <f t="shared" si="47"/>
        <v>4.7058440572036189E-2</v>
      </c>
      <c r="L805" s="218">
        <f t="shared" si="48"/>
        <v>433.7</v>
      </c>
      <c r="M805" s="218" t="s">
        <v>323</v>
      </c>
      <c r="P805" s="218">
        <v>800</v>
      </c>
      <c r="Q805" s="218">
        <v>434.7</v>
      </c>
      <c r="R805" s="218">
        <v>450</v>
      </c>
      <c r="S805" s="218">
        <v>419</v>
      </c>
      <c r="T805" s="218">
        <v>434.56666666666666</v>
      </c>
      <c r="U805" s="273">
        <v>2.3011429009741507E-3</v>
      </c>
      <c r="V805" s="218">
        <v>2.3037966369251475E-3</v>
      </c>
      <c r="W805" s="250">
        <v>3.9353232926014272E-5</v>
      </c>
      <c r="X805" s="250">
        <v>0.95930831493745405</v>
      </c>
      <c r="Z805" s="218">
        <v>797</v>
      </c>
      <c r="AA805" s="435">
        <v>0.95783664459161155</v>
      </c>
    </row>
    <row r="806" spans="1:27">
      <c r="A806" s="429">
        <v>0.6865162037037037</v>
      </c>
      <c r="B806" s="218">
        <v>453</v>
      </c>
      <c r="C806" s="218" t="s">
        <v>314</v>
      </c>
      <c r="D806" s="218">
        <v>227</v>
      </c>
      <c r="E806" s="218" t="s">
        <v>315</v>
      </c>
      <c r="F806" s="218">
        <v>22.8</v>
      </c>
      <c r="G806" s="218" t="s">
        <v>316</v>
      </c>
      <c r="H806" s="218">
        <v>749</v>
      </c>
      <c r="I806" s="218">
        <f t="shared" si="45"/>
        <v>451</v>
      </c>
      <c r="J806" s="218">
        <f t="shared" si="46"/>
        <v>2.2172949002217295E-3</v>
      </c>
      <c r="K806" s="218">
        <f t="shared" si="47"/>
        <v>4.7043788843620628E-2</v>
      </c>
      <c r="L806" s="218">
        <f t="shared" si="48"/>
        <v>430.7</v>
      </c>
      <c r="M806" s="218" t="s">
        <v>323</v>
      </c>
      <c r="P806" s="218">
        <v>801</v>
      </c>
      <c r="Q806" s="218">
        <v>434.7</v>
      </c>
      <c r="R806" s="218">
        <v>450</v>
      </c>
      <c r="S806" s="218">
        <v>420</v>
      </c>
      <c r="T806" s="218">
        <v>434.90000000000003</v>
      </c>
      <c r="U806" s="273">
        <v>2.2993791676247412E-3</v>
      </c>
      <c r="V806" s="218">
        <v>2.3002610342994457E-3</v>
      </c>
      <c r="W806" s="250">
        <v>3.929283810147421E-5</v>
      </c>
      <c r="X806" s="250">
        <v>0.96004415011037536</v>
      </c>
      <c r="Z806" s="218">
        <v>798</v>
      </c>
      <c r="AA806" s="435">
        <v>0.96077998528329656</v>
      </c>
    </row>
    <row r="807" spans="1:27">
      <c r="A807" s="429">
        <v>0.68652777777777774</v>
      </c>
      <c r="B807" s="218">
        <v>452</v>
      </c>
      <c r="C807" s="218" t="s">
        <v>314</v>
      </c>
      <c r="D807" s="218">
        <v>226</v>
      </c>
      <c r="E807" s="218" t="s">
        <v>315</v>
      </c>
      <c r="F807" s="218">
        <v>22.8</v>
      </c>
      <c r="G807" s="218" t="s">
        <v>316</v>
      </c>
      <c r="H807" s="218">
        <v>750</v>
      </c>
      <c r="I807" s="218">
        <f t="shared" si="45"/>
        <v>453</v>
      </c>
      <c r="J807" s="218">
        <f t="shared" si="46"/>
        <v>2.2075055187637969E-3</v>
      </c>
      <c r="K807" s="218">
        <f t="shared" si="47"/>
        <v>4.7053578225078566E-2</v>
      </c>
      <c r="L807" s="218">
        <f t="shared" si="48"/>
        <v>432.7</v>
      </c>
      <c r="M807" s="218" t="s">
        <v>323</v>
      </c>
      <c r="P807" s="218">
        <v>802</v>
      </c>
      <c r="Q807" s="218">
        <v>435.7</v>
      </c>
      <c r="R807" s="218">
        <v>450</v>
      </c>
      <c r="S807" s="218">
        <v>420</v>
      </c>
      <c r="T807" s="218">
        <v>435.23333333333335</v>
      </c>
      <c r="U807" s="273">
        <v>2.297618135865819E-3</v>
      </c>
      <c r="V807" s="218">
        <v>2.2984986517452801E-3</v>
      </c>
      <c r="W807" s="250">
        <v>3.9262733251919697E-5</v>
      </c>
      <c r="X807" s="250">
        <v>0.96077998528329656</v>
      </c>
      <c r="Z807" s="218">
        <v>799</v>
      </c>
      <c r="AA807" s="435">
        <v>0.95710080941869025</v>
      </c>
    </row>
    <row r="808" spans="1:27">
      <c r="A808" s="429">
        <v>0.68653935185185189</v>
      </c>
      <c r="B808" s="218">
        <v>453</v>
      </c>
      <c r="C808" s="218" t="s">
        <v>314</v>
      </c>
      <c r="D808" s="218">
        <v>227</v>
      </c>
      <c r="E808" s="218" t="s">
        <v>315</v>
      </c>
      <c r="F808" s="218">
        <v>22.8</v>
      </c>
      <c r="G808" s="218" t="s">
        <v>316</v>
      </c>
      <c r="H808" s="218">
        <v>751</v>
      </c>
      <c r="I808" s="218">
        <f t="shared" si="45"/>
        <v>452</v>
      </c>
      <c r="J808" s="218">
        <f t="shared" si="46"/>
        <v>2.2123893805309734E-3</v>
      </c>
      <c r="K808" s="218">
        <f t="shared" si="47"/>
        <v>4.7048694363311383E-2</v>
      </c>
      <c r="L808" s="218">
        <f t="shared" si="48"/>
        <v>431.7</v>
      </c>
      <c r="M808" s="218" t="s">
        <v>323</v>
      </c>
      <c r="P808" s="218">
        <v>803</v>
      </c>
      <c r="Q808" s="218">
        <v>435.7</v>
      </c>
      <c r="R808" s="218">
        <v>450</v>
      </c>
      <c r="S808" s="218">
        <v>418</v>
      </c>
      <c r="T808" s="218">
        <v>434.56666666666666</v>
      </c>
      <c r="U808" s="273">
        <v>2.3011429009741507E-3</v>
      </c>
      <c r="V808" s="218">
        <v>2.2993805184199851E-3</v>
      </c>
      <c r="W808" s="250">
        <v>3.9277797213774281E-5</v>
      </c>
      <c r="X808" s="250">
        <v>0.95930831493745405</v>
      </c>
      <c r="Z808" s="218">
        <v>800</v>
      </c>
      <c r="AA808" s="435">
        <v>0.95930831493745405</v>
      </c>
    </row>
    <row r="809" spans="1:27">
      <c r="A809" s="429">
        <v>0.68655092592592604</v>
      </c>
      <c r="B809" s="218">
        <v>453</v>
      </c>
      <c r="C809" s="218" t="s">
        <v>314</v>
      </c>
      <c r="D809" s="218">
        <v>227</v>
      </c>
      <c r="E809" s="218" t="s">
        <v>315</v>
      </c>
      <c r="F809" s="218">
        <v>22.8</v>
      </c>
      <c r="G809" s="218" t="s">
        <v>316</v>
      </c>
      <c r="H809" s="218">
        <v>752</v>
      </c>
      <c r="I809" s="218">
        <f t="shared" si="45"/>
        <v>453</v>
      </c>
      <c r="J809" s="218">
        <f t="shared" si="46"/>
        <v>2.2075055187637969E-3</v>
      </c>
      <c r="K809" s="218">
        <f t="shared" si="47"/>
        <v>4.7053578225078566E-2</v>
      </c>
      <c r="L809" s="218">
        <f t="shared" si="48"/>
        <v>432.7</v>
      </c>
      <c r="M809" s="218" t="s">
        <v>323</v>
      </c>
      <c r="P809" s="218">
        <v>804</v>
      </c>
      <c r="Q809" s="218">
        <v>435.7</v>
      </c>
      <c r="R809" s="218">
        <v>449</v>
      </c>
      <c r="S809" s="218">
        <v>418</v>
      </c>
      <c r="T809" s="218">
        <v>434.23333333333335</v>
      </c>
      <c r="U809" s="273">
        <v>2.3029093421355644E-3</v>
      </c>
      <c r="V809" s="218">
        <v>2.3020261215548577E-3</v>
      </c>
      <c r="W809" s="250">
        <v>3.9322989152475694E-5</v>
      </c>
      <c r="X809" s="250">
        <v>0.95857247976453275</v>
      </c>
      <c r="Z809" s="218">
        <v>801</v>
      </c>
      <c r="AA809" s="435">
        <v>0.96004415011037536</v>
      </c>
    </row>
    <row r="810" spans="1:27">
      <c r="A810" s="429">
        <v>0.68656249999999996</v>
      </c>
      <c r="B810" s="218">
        <v>453</v>
      </c>
      <c r="C810" s="218" t="s">
        <v>314</v>
      </c>
      <c r="D810" s="218">
        <v>227</v>
      </c>
      <c r="E810" s="218" t="s">
        <v>315</v>
      </c>
      <c r="F810" s="218">
        <v>22.8</v>
      </c>
      <c r="G810" s="218" t="s">
        <v>316</v>
      </c>
      <c r="H810" s="218">
        <v>753</v>
      </c>
      <c r="I810" s="218">
        <f t="shared" si="45"/>
        <v>453</v>
      </c>
      <c r="J810" s="218">
        <f t="shared" si="46"/>
        <v>2.2075055187637969E-3</v>
      </c>
      <c r="K810" s="218">
        <f t="shared" si="47"/>
        <v>4.7053578225078566E-2</v>
      </c>
      <c r="L810" s="218">
        <f t="shared" si="48"/>
        <v>432.7</v>
      </c>
      <c r="M810" s="218" t="s">
        <v>323</v>
      </c>
      <c r="P810" s="218">
        <v>805</v>
      </c>
      <c r="Q810" s="218">
        <v>435.7</v>
      </c>
      <c r="R810" s="218">
        <v>450</v>
      </c>
      <c r="S810" s="218">
        <v>420</v>
      </c>
      <c r="T810" s="218">
        <v>435.23333333333335</v>
      </c>
      <c r="U810" s="273">
        <v>2.297618135865819E-3</v>
      </c>
      <c r="V810" s="218">
        <v>2.3002637390006917E-3</v>
      </c>
      <c r="W810" s="250">
        <v>3.9292884302921175E-5</v>
      </c>
      <c r="X810" s="250">
        <v>0.96077998528329656</v>
      </c>
      <c r="Z810" s="218">
        <v>802</v>
      </c>
      <c r="AA810" s="435">
        <v>0.96077998528329656</v>
      </c>
    </row>
    <row r="811" spans="1:27">
      <c r="A811" s="429">
        <v>0.68657407407407411</v>
      </c>
      <c r="B811" s="218">
        <v>454</v>
      </c>
      <c r="C811" s="218" t="s">
        <v>314</v>
      </c>
      <c r="D811" s="218">
        <v>227</v>
      </c>
      <c r="E811" s="218" t="s">
        <v>315</v>
      </c>
      <c r="F811" s="218">
        <v>22.8</v>
      </c>
      <c r="G811" s="218" t="s">
        <v>316</v>
      </c>
      <c r="H811" s="218">
        <v>754</v>
      </c>
      <c r="I811" s="218">
        <f t="shared" si="45"/>
        <v>453</v>
      </c>
      <c r="J811" s="218">
        <f t="shared" si="46"/>
        <v>2.2075055187637969E-3</v>
      </c>
      <c r="K811" s="218">
        <f t="shared" si="47"/>
        <v>4.7053578225078566E-2</v>
      </c>
      <c r="L811" s="218">
        <f t="shared" si="48"/>
        <v>432.7</v>
      </c>
      <c r="M811" s="218" t="s">
        <v>323</v>
      </c>
      <c r="P811" s="218">
        <v>806</v>
      </c>
      <c r="Q811" s="218">
        <v>435.7</v>
      </c>
      <c r="R811" s="218">
        <v>450</v>
      </c>
      <c r="S811" s="218">
        <v>420</v>
      </c>
      <c r="T811" s="218">
        <v>435.23333333333335</v>
      </c>
      <c r="U811" s="273">
        <v>2.297618135865819E-3</v>
      </c>
      <c r="V811" s="218">
        <v>2.297618135865819E-3</v>
      </c>
      <c r="W811" s="250">
        <v>3.9247692364219761E-5</v>
      </c>
      <c r="X811" s="250">
        <v>0.96077998528329656</v>
      </c>
      <c r="Z811" s="218">
        <v>803</v>
      </c>
      <c r="AA811" s="435">
        <v>0.95930831493745405</v>
      </c>
    </row>
    <row r="812" spans="1:27">
      <c r="A812" s="429">
        <v>0.68658564814814815</v>
      </c>
      <c r="B812" s="218">
        <v>454</v>
      </c>
      <c r="C812" s="218" t="s">
        <v>314</v>
      </c>
      <c r="D812" s="218">
        <v>227</v>
      </c>
      <c r="E812" s="218" t="s">
        <v>315</v>
      </c>
      <c r="F812" s="218">
        <v>22.8</v>
      </c>
      <c r="G812" s="218" t="s">
        <v>316</v>
      </c>
      <c r="H812" s="218">
        <v>755</v>
      </c>
      <c r="I812" s="218">
        <f t="shared" si="45"/>
        <v>454</v>
      </c>
      <c r="J812" s="218">
        <f t="shared" si="46"/>
        <v>2.2026431718061676E-3</v>
      </c>
      <c r="K812" s="218">
        <f t="shared" si="47"/>
        <v>4.7058440572036189E-2</v>
      </c>
      <c r="L812" s="218">
        <f t="shared" si="48"/>
        <v>433.7</v>
      </c>
      <c r="M812" s="218" t="s">
        <v>323</v>
      </c>
      <c r="P812" s="218">
        <v>807</v>
      </c>
      <c r="Q812" s="218">
        <v>435.7</v>
      </c>
      <c r="R812" s="218">
        <v>451</v>
      </c>
      <c r="S812" s="218">
        <v>420</v>
      </c>
      <c r="T812" s="218">
        <v>435.56666666666666</v>
      </c>
      <c r="U812" s="273">
        <v>2.2958597994949107E-3</v>
      </c>
      <c r="V812" s="218">
        <v>2.2967389676803651E-3</v>
      </c>
      <c r="W812" s="250">
        <v>3.923267449769944E-5</v>
      </c>
      <c r="X812" s="250">
        <v>0.96151582045621775</v>
      </c>
      <c r="Z812" s="218">
        <v>804</v>
      </c>
      <c r="AA812" s="435">
        <v>0.95857247976453275</v>
      </c>
    </row>
    <row r="813" spans="1:27">
      <c r="A813" s="429">
        <v>0.68659722222222219</v>
      </c>
      <c r="B813" s="218">
        <v>454</v>
      </c>
      <c r="C813" s="218" t="s">
        <v>314</v>
      </c>
      <c r="D813" s="218">
        <v>227</v>
      </c>
      <c r="E813" s="218" t="s">
        <v>315</v>
      </c>
      <c r="F813" s="218">
        <v>22.8</v>
      </c>
      <c r="G813" s="218" t="s">
        <v>316</v>
      </c>
      <c r="H813" s="218">
        <v>756</v>
      </c>
      <c r="I813" s="218">
        <f t="shared" si="45"/>
        <v>454</v>
      </c>
      <c r="J813" s="218">
        <f t="shared" si="46"/>
        <v>2.2026431718061676E-3</v>
      </c>
      <c r="K813" s="218">
        <f t="shared" si="47"/>
        <v>4.7058440572036189E-2</v>
      </c>
      <c r="L813" s="218">
        <f t="shared" si="48"/>
        <v>433.7</v>
      </c>
      <c r="M813" s="218" t="s">
        <v>323</v>
      </c>
      <c r="P813" s="218">
        <v>808</v>
      </c>
      <c r="Q813" s="218">
        <v>435.7</v>
      </c>
      <c r="R813" s="218">
        <v>448</v>
      </c>
      <c r="S813" s="218">
        <v>420</v>
      </c>
      <c r="T813" s="218">
        <v>434.56666666666666</v>
      </c>
      <c r="U813" s="273">
        <v>2.3011429009741507E-3</v>
      </c>
      <c r="V813" s="218">
        <v>2.2985013502345307E-3</v>
      </c>
      <c r="W813" s="250">
        <v>3.9262779347253952E-5</v>
      </c>
      <c r="X813" s="250">
        <v>0.95930831493745405</v>
      </c>
      <c r="Z813" s="218">
        <v>805</v>
      </c>
      <c r="AA813" s="435">
        <v>0.96077998528329656</v>
      </c>
    </row>
    <row r="814" spans="1:27">
      <c r="A814" s="429">
        <v>0.68660879629629623</v>
      </c>
      <c r="B814" s="218">
        <v>454</v>
      </c>
      <c r="C814" s="218" t="s">
        <v>314</v>
      </c>
      <c r="D814" s="218">
        <v>227</v>
      </c>
      <c r="E814" s="218" t="s">
        <v>315</v>
      </c>
      <c r="F814" s="218">
        <v>22.8</v>
      </c>
      <c r="G814" s="218" t="s">
        <v>316</v>
      </c>
      <c r="H814" s="218">
        <v>757</v>
      </c>
      <c r="I814" s="218">
        <f t="shared" si="45"/>
        <v>454</v>
      </c>
      <c r="J814" s="218">
        <f t="shared" si="46"/>
        <v>2.2026431718061676E-3</v>
      </c>
      <c r="K814" s="218">
        <f t="shared" si="47"/>
        <v>4.7058440572036189E-2</v>
      </c>
      <c r="L814" s="218">
        <f t="shared" si="48"/>
        <v>433.7</v>
      </c>
      <c r="M814" s="218" t="s">
        <v>323</v>
      </c>
      <c r="P814" s="218">
        <v>809</v>
      </c>
      <c r="Q814" s="218">
        <v>435.7</v>
      </c>
      <c r="R814" s="218">
        <v>451</v>
      </c>
      <c r="S814" s="218">
        <v>422</v>
      </c>
      <c r="T814" s="218">
        <v>436.23333333333335</v>
      </c>
      <c r="U814" s="273">
        <v>2.2923511882020323E-3</v>
      </c>
      <c r="V814" s="218">
        <v>2.2967470445880915E-3</v>
      </c>
      <c r="W814" s="250">
        <v>3.9232812466661622E-5</v>
      </c>
      <c r="X814" s="250">
        <v>0.96298749080206036</v>
      </c>
      <c r="Z814" s="218">
        <v>806</v>
      </c>
      <c r="AA814" s="435">
        <v>0.96077998528329656</v>
      </c>
    </row>
    <row r="815" spans="1:27">
      <c r="A815" s="429">
        <v>0.68662037037037038</v>
      </c>
      <c r="B815" s="218">
        <v>453</v>
      </c>
      <c r="C815" s="218" t="s">
        <v>314</v>
      </c>
      <c r="D815" s="218">
        <v>227</v>
      </c>
      <c r="E815" s="218" t="s">
        <v>315</v>
      </c>
      <c r="F815" s="218">
        <v>22.8</v>
      </c>
      <c r="G815" s="218" t="s">
        <v>316</v>
      </c>
      <c r="H815" s="218">
        <v>758</v>
      </c>
      <c r="I815" s="218">
        <f t="shared" si="45"/>
        <v>454</v>
      </c>
      <c r="J815" s="218">
        <f t="shared" si="46"/>
        <v>2.2026431718061676E-3</v>
      </c>
      <c r="K815" s="218">
        <f t="shared" si="47"/>
        <v>4.7058440572036189E-2</v>
      </c>
      <c r="L815" s="218">
        <f t="shared" si="48"/>
        <v>433.7</v>
      </c>
      <c r="M815" s="218" t="s">
        <v>323</v>
      </c>
      <c r="P815" s="218">
        <v>810</v>
      </c>
      <c r="Q815" s="218">
        <v>435.7</v>
      </c>
      <c r="R815" s="218">
        <v>450</v>
      </c>
      <c r="S815" s="218">
        <v>422</v>
      </c>
      <c r="T815" s="218">
        <v>435.90000000000003</v>
      </c>
      <c r="U815" s="273">
        <v>2.2941041523285156E-3</v>
      </c>
      <c r="V815" s="218">
        <v>2.293227670265274E-3</v>
      </c>
      <c r="W815" s="250">
        <v>3.9172694852433083E-5</v>
      </c>
      <c r="X815" s="250">
        <v>0.96225165562913917</v>
      </c>
      <c r="Z815" s="218">
        <v>807</v>
      </c>
      <c r="AA815" s="435">
        <v>0.96151582045621775</v>
      </c>
    </row>
    <row r="816" spans="1:27">
      <c r="A816" s="429">
        <v>0.68663194444444453</v>
      </c>
      <c r="B816" s="218">
        <v>454</v>
      </c>
      <c r="C816" s="218" t="s">
        <v>314</v>
      </c>
      <c r="D816" s="218">
        <v>227</v>
      </c>
      <c r="E816" s="218" t="s">
        <v>315</v>
      </c>
      <c r="F816" s="218">
        <v>22.8</v>
      </c>
      <c r="G816" s="218" t="s">
        <v>316</v>
      </c>
      <c r="H816" s="218">
        <v>759</v>
      </c>
      <c r="I816" s="218">
        <f t="shared" si="45"/>
        <v>453</v>
      </c>
      <c r="J816" s="218">
        <f t="shared" si="46"/>
        <v>2.2075055187637969E-3</v>
      </c>
      <c r="K816" s="218">
        <f t="shared" si="47"/>
        <v>4.7053578225078566E-2</v>
      </c>
      <c r="L816" s="218">
        <f t="shared" si="48"/>
        <v>432.7</v>
      </c>
      <c r="M816" s="218" t="s">
        <v>323</v>
      </c>
      <c r="P816" s="218">
        <v>811</v>
      </c>
      <c r="Q816" s="218">
        <v>435.7</v>
      </c>
      <c r="R816" s="218">
        <v>450</v>
      </c>
      <c r="S816" s="218">
        <v>423</v>
      </c>
      <c r="T816" s="218">
        <v>436.23333333333335</v>
      </c>
      <c r="U816" s="273">
        <v>2.2923511882020323E-3</v>
      </c>
      <c r="V816" s="218">
        <v>2.293227670265274E-3</v>
      </c>
      <c r="W816" s="250">
        <v>3.9172694852433083E-5</v>
      </c>
      <c r="X816" s="250">
        <v>0.96298749080206036</v>
      </c>
      <c r="Z816" s="218">
        <v>808</v>
      </c>
      <c r="AA816" s="435">
        <v>0.95930831493745405</v>
      </c>
    </row>
    <row r="817" spans="1:27">
      <c r="A817" s="429">
        <v>0.68664351851851846</v>
      </c>
      <c r="B817" s="218">
        <v>453</v>
      </c>
      <c r="C817" s="218" t="s">
        <v>314</v>
      </c>
      <c r="D817" s="218">
        <v>227</v>
      </c>
      <c r="E817" s="218" t="s">
        <v>315</v>
      </c>
      <c r="F817" s="218">
        <v>22.8</v>
      </c>
      <c r="G817" s="218" t="s">
        <v>316</v>
      </c>
      <c r="H817" s="218">
        <v>760</v>
      </c>
      <c r="I817" s="218">
        <f t="shared" si="45"/>
        <v>454</v>
      </c>
      <c r="J817" s="218">
        <f t="shared" si="46"/>
        <v>2.2026431718061676E-3</v>
      </c>
      <c r="K817" s="218">
        <f t="shared" si="47"/>
        <v>4.7058440572036189E-2</v>
      </c>
      <c r="L817" s="218">
        <f t="shared" si="48"/>
        <v>433.7</v>
      </c>
      <c r="M817" s="218" t="s">
        <v>323</v>
      </c>
      <c r="P817" s="218">
        <v>812</v>
      </c>
      <c r="Q817" s="218">
        <v>435.7</v>
      </c>
      <c r="R817" s="218">
        <v>450</v>
      </c>
      <c r="S817" s="218">
        <v>423</v>
      </c>
      <c r="T817" s="218">
        <v>436.23333333333335</v>
      </c>
      <c r="U817" s="273">
        <v>2.2923511882020323E-3</v>
      </c>
      <c r="V817" s="218">
        <v>2.2923511882020323E-3</v>
      </c>
      <c r="W817" s="250">
        <v>3.9157722869994452E-5</v>
      </c>
      <c r="X817" s="250">
        <v>0.96298749080206036</v>
      </c>
      <c r="Z817" s="218">
        <v>809</v>
      </c>
      <c r="AA817" s="435">
        <v>0.96298749080206036</v>
      </c>
    </row>
    <row r="818" spans="1:27">
      <c r="A818" s="429">
        <v>0.68665509259259261</v>
      </c>
      <c r="B818" s="218">
        <v>454</v>
      </c>
      <c r="C818" s="218" t="s">
        <v>314</v>
      </c>
      <c r="D818" s="218">
        <v>227</v>
      </c>
      <c r="E818" s="218" t="s">
        <v>315</v>
      </c>
      <c r="F818" s="218">
        <v>22.8</v>
      </c>
      <c r="G818" s="218" t="s">
        <v>316</v>
      </c>
      <c r="H818" s="218">
        <v>761</v>
      </c>
      <c r="I818" s="218">
        <f t="shared" si="45"/>
        <v>453</v>
      </c>
      <c r="J818" s="218">
        <f t="shared" si="46"/>
        <v>2.2075055187637969E-3</v>
      </c>
      <c r="K818" s="218">
        <f t="shared" si="47"/>
        <v>4.7053578225078566E-2</v>
      </c>
      <c r="L818" s="218">
        <f t="shared" si="48"/>
        <v>432.7</v>
      </c>
      <c r="M818" s="218" t="s">
        <v>323</v>
      </c>
      <c r="P818" s="218">
        <v>813</v>
      </c>
      <c r="Q818" s="218">
        <v>435.7</v>
      </c>
      <c r="R818" s="218">
        <v>450</v>
      </c>
      <c r="S818" s="218">
        <v>423</v>
      </c>
      <c r="T818" s="218">
        <v>436.23333333333335</v>
      </c>
      <c r="U818" s="273">
        <v>2.2923511882020323E-3</v>
      </c>
      <c r="V818" s="218">
        <v>2.2923511882020323E-3</v>
      </c>
      <c r="W818" s="250">
        <v>3.9157722869994452E-5</v>
      </c>
      <c r="X818" s="250">
        <v>0.96298749080206036</v>
      </c>
      <c r="Z818" s="218">
        <v>810</v>
      </c>
      <c r="AA818" s="435">
        <v>0.96225165562913917</v>
      </c>
    </row>
    <row r="819" spans="1:27">
      <c r="A819" s="429">
        <v>0.68666666666666665</v>
      </c>
      <c r="B819" s="218">
        <v>454</v>
      </c>
      <c r="C819" s="218" t="s">
        <v>314</v>
      </c>
      <c r="D819" s="218">
        <v>227</v>
      </c>
      <c r="E819" s="218" t="s">
        <v>315</v>
      </c>
      <c r="F819" s="218">
        <v>22.8</v>
      </c>
      <c r="G819" s="218" t="s">
        <v>316</v>
      </c>
      <c r="H819" s="218">
        <v>762</v>
      </c>
      <c r="I819" s="218">
        <f t="shared" si="45"/>
        <v>454</v>
      </c>
      <c r="J819" s="218">
        <f t="shared" si="46"/>
        <v>2.2026431718061676E-3</v>
      </c>
      <c r="K819" s="218">
        <f t="shared" si="47"/>
        <v>4.7058440572036189E-2</v>
      </c>
      <c r="L819" s="218">
        <f t="shared" si="48"/>
        <v>433.7</v>
      </c>
      <c r="M819" s="218" t="s">
        <v>323</v>
      </c>
      <c r="P819" s="218">
        <v>814</v>
      </c>
      <c r="Q819" s="218">
        <v>435.7</v>
      </c>
      <c r="R819" s="218">
        <v>451</v>
      </c>
      <c r="S819" s="218">
        <v>423</v>
      </c>
      <c r="T819" s="218">
        <v>436.56666666666666</v>
      </c>
      <c r="U819" s="273">
        <v>2.2906009009696876E-3</v>
      </c>
      <c r="V819" s="218">
        <v>2.2914760445858599E-3</v>
      </c>
      <c r="W819" s="250">
        <v>3.9142773750780128E-5</v>
      </c>
      <c r="X819" s="250">
        <v>0.96372332597498156</v>
      </c>
      <c r="Z819" s="218">
        <v>811</v>
      </c>
      <c r="AA819" s="435">
        <v>0.96298749080206036</v>
      </c>
    </row>
    <row r="820" spans="1:27">
      <c r="A820" s="429">
        <v>0.6866782407407408</v>
      </c>
      <c r="B820" s="218">
        <v>454</v>
      </c>
      <c r="C820" s="218" t="s">
        <v>314</v>
      </c>
      <c r="D820" s="218">
        <v>227</v>
      </c>
      <c r="E820" s="218" t="s">
        <v>315</v>
      </c>
      <c r="F820" s="218">
        <v>22.8</v>
      </c>
      <c r="G820" s="218" t="s">
        <v>316</v>
      </c>
      <c r="H820" s="218">
        <v>763</v>
      </c>
      <c r="I820" s="218">
        <f t="shared" si="45"/>
        <v>454</v>
      </c>
      <c r="J820" s="218">
        <f t="shared" si="46"/>
        <v>2.2026431718061676E-3</v>
      </c>
      <c r="K820" s="218">
        <f t="shared" si="47"/>
        <v>4.7058440572036189E-2</v>
      </c>
      <c r="L820" s="218">
        <f t="shared" si="48"/>
        <v>433.7</v>
      </c>
      <c r="M820" s="218" t="s">
        <v>323</v>
      </c>
      <c r="P820" s="218">
        <v>815</v>
      </c>
      <c r="Q820" s="218">
        <v>436.7</v>
      </c>
      <c r="R820" s="218">
        <v>451</v>
      </c>
      <c r="S820" s="218">
        <v>426</v>
      </c>
      <c r="T820" s="218">
        <v>437.90000000000003</v>
      </c>
      <c r="U820" s="273">
        <v>2.2836263987211689E-3</v>
      </c>
      <c r="V820" s="218">
        <v>2.2871136498454282E-3</v>
      </c>
      <c r="W820" s="250">
        <v>3.9068255742730357E-5</v>
      </c>
      <c r="X820" s="250">
        <v>0.96666666666666679</v>
      </c>
      <c r="Z820" s="218">
        <v>812</v>
      </c>
      <c r="AA820" s="435">
        <v>0.96298749080206036</v>
      </c>
    </row>
    <row r="821" spans="1:27">
      <c r="A821" s="429">
        <v>0.68668981481481473</v>
      </c>
      <c r="B821" s="218">
        <v>454</v>
      </c>
      <c r="C821" s="218" t="s">
        <v>314</v>
      </c>
      <c r="D821" s="218">
        <v>227</v>
      </c>
      <c r="E821" s="218" t="s">
        <v>315</v>
      </c>
      <c r="F821" s="218">
        <v>22.8</v>
      </c>
      <c r="G821" s="218" t="s">
        <v>316</v>
      </c>
      <c r="H821" s="218">
        <v>764</v>
      </c>
      <c r="I821" s="218">
        <f t="shared" si="45"/>
        <v>454</v>
      </c>
      <c r="J821" s="218">
        <f t="shared" si="46"/>
        <v>2.2026431718061676E-3</v>
      </c>
      <c r="K821" s="218">
        <f t="shared" si="47"/>
        <v>4.7058440572036189E-2</v>
      </c>
      <c r="L821" s="218">
        <f t="shared" si="48"/>
        <v>433.7</v>
      </c>
      <c r="M821" s="218" t="s">
        <v>323</v>
      </c>
      <c r="P821" s="218">
        <v>816</v>
      </c>
      <c r="Q821" s="218">
        <v>435.7</v>
      </c>
      <c r="R821" s="218">
        <v>451</v>
      </c>
      <c r="S821" s="218">
        <v>426</v>
      </c>
      <c r="T821" s="218">
        <v>437.56666666666666</v>
      </c>
      <c r="U821" s="273">
        <v>2.2853660394606535E-3</v>
      </c>
      <c r="V821" s="218">
        <v>2.2844962190909112E-3</v>
      </c>
      <c r="W821" s="250">
        <v>3.9023545041924885E-5</v>
      </c>
      <c r="X821" s="250">
        <v>0.96593083149374537</v>
      </c>
      <c r="Z821" s="218">
        <v>813</v>
      </c>
      <c r="AA821" s="435">
        <v>0.96298749080206036</v>
      </c>
    </row>
    <row r="822" spans="1:27">
      <c r="A822" s="429">
        <v>0.68670138888888888</v>
      </c>
      <c r="B822" s="218">
        <v>454</v>
      </c>
      <c r="C822" s="218" t="s">
        <v>314</v>
      </c>
      <c r="D822" s="218">
        <v>227</v>
      </c>
      <c r="E822" s="218" t="s">
        <v>315</v>
      </c>
      <c r="F822" s="218">
        <v>22.8</v>
      </c>
      <c r="G822" s="218" t="s">
        <v>316</v>
      </c>
      <c r="H822" s="218">
        <v>765</v>
      </c>
      <c r="I822" s="218">
        <f t="shared" si="45"/>
        <v>454</v>
      </c>
      <c r="J822" s="218">
        <f t="shared" si="46"/>
        <v>2.2026431718061676E-3</v>
      </c>
      <c r="K822" s="218">
        <f t="shared" si="47"/>
        <v>4.7058440572036189E-2</v>
      </c>
      <c r="L822" s="218">
        <f t="shared" si="48"/>
        <v>433.7</v>
      </c>
      <c r="M822" s="218" t="s">
        <v>323</v>
      </c>
      <c r="P822" s="218">
        <v>817</v>
      </c>
      <c r="Q822" s="218">
        <v>436.7</v>
      </c>
      <c r="R822" s="218">
        <v>450</v>
      </c>
      <c r="S822" s="218">
        <v>425</v>
      </c>
      <c r="T822" s="218">
        <v>437.23333333333335</v>
      </c>
      <c r="U822" s="273">
        <v>2.2871083326980253E-3</v>
      </c>
      <c r="V822" s="218">
        <v>2.2862371860793394E-3</v>
      </c>
      <c r="W822" s="250">
        <v>3.905328407284193E-5</v>
      </c>
      <c r="X822" s="250">
        <v>0.96519499632082417</v>
      </c>
      <c r="Z822" s="218">
        <v>814</v>
      </c>
      <c r="AA822" s="435">
        <v>0.96372332597498156</v>
      </c>
    </row>
    <row r="823" spans="1:27">
      <c r="A823" s="429">
        <v>0.68671296296296302</v>
      </c>
      <c r="B823" s="218">
        <v>455</v>
      </c>
      <c r="C823" s="218" t="s">
        <v>314</v>
      </c>
      <c r="D823" s="218">
        <v>228</v>
      </c>
      <c r="E823" s="218" t="s">
        <v>315</v>
      </c>
      <c r="F823" s="218">
        <v>22.8</v>
      </c>
      <c r="G823" s="218" t="s">
        <v>316</v>
      </c>
      <c r="H823" s="218">
        <v>766</v>
      </c>
      <c r="I823" s="218">
        <f t="shared" si="45"/>
        <v>454</v>
      </c>
      <c r="J823" s="218">
        <f t="shared" si="46"/>
        <v>2.2026431718061676E-3</v>
      </c>
      <c r="K823" s="218">
        <f t="shared" si="47"/>
        <v>4.7058440572036189E-2</v>
      </c>
      <c r="L823" s="218">
        <f t="shared" si="48"/>
        <v>433.7</v>
      </c>
      <c r="M823" s="218" t="s">
        <v>323</v>
      </c>
      <c r="P823" s="218">
        <v>818</v>
      </c>
      <c r="Q823" s="218">
        <v>435.7</v>
      </c>
      <c r="R823" s="218">
        <v>452</v>
      </c>
      <c r="S823" s="218">
        <v>425</v>
      </c>
      <c r="T823" s="218">
        <v>437.56666666666666</v>
      </c>
      <c r="U823" s="273">
        <v>2.2853660394606535E-3</v>
      </c>
      <c r="V823" s="218">
        <v>2.2862371860793394E-3</v>
      </c>
      <c r="W823" s="250">
        <v>3.905328407284193E-5</v>
      </c>
      <c r="X823" s="250">
        <v>0.96593083149374537</v>
      </c>
      <c r="Z823" s="218">
        <v>815</v>
      </c>
      <c r="AA823" s="435">
        <v>0.96666666666666679</v>
      </c>
    </row>
    <row r="824" spans="1:27">
      <c r="A824" s="429">
        <v>0.68672453703703706</v>
      </c>
      <c r="B824" s="218">
        <v>454</v>
      </c>
      <c r="C824" s="218" t="s">
        <v>314</v>
      </c>
      <c r="D824" s="218">
        <v>227</v>
      </c>
      <c r="E824" s="218" t="s">
        <v>315</v>
      </c>
      <c r="F824" s="218">
        <v>22.8</v>
      </c>
      <c r="G824" s="218" t="s">
        <v>316</v>
      </c>
      <c r="H824" s="218">
        <v>767</v>
      </c>
      <c r="I824" s="218">
        <f t="shared" si="45"/>
        <v>455</v>
      </c>
      <c r="J824" s="218">
        <f t="shared" si="46"/>
        <v>2.1978021978021978E-3</v>
      </c>
      <c r="K824" s="218">
        <f t="shared" si="47"/>
        <v>4.7063281546040163E-2</v>
      </c>
      <c r="L824" s="218">
        <f t="shared" si="48"/>
        <v>434.7</v>
      </c>
      <c r="M824" s="218" t="s">
        <v>323</v>
      </c>
      <c r="P824" s="218">
        <v>819</v>
      </c>
      <c r="Q824" s="218">
        <v>436.7</v>
      </c>
      <c r="R824" s="218">
        <v>450</v>
      </c>
      <c r="S824" s="218">
        <v>425</v>
      </c>
      <c r="T824" s="218">
        <v>437.23333333333335</v>
      </c>
      <c r="U824" s="273">
        <v>2.2871083326980253E-3</v>
      </c>
      <c r="V824" s="218">
        <v>2.2862371860793394E-3</v>
      </c>
      <c r="W824" s="250">
        <v>3.905328407284193E-5</v>
      </c>
      <c r="X824" s="250">
        <v>0.96519499632082417</v>
      </c>
      <c r="Z824" s="218">
        <v>816</v>
      </c>
      <c r="AA824" s="435">
        <v>0.96593083149374537</v>
      </c>
    </row>
    <row r="825" spans="1:27">
      <c r="A825" s="429">
        <v>0.6867361111111111</v>
      </c>
      <c r="B825" s="218">
        <v>455</v>
      </c>
      <c r="C825" s="218" t="s">
        <v>314</v>
      </c>
      <c r="D825" s="218">
        <v>228</v>
      </c>
      <c r="E825" s="218" t="s">
        <v>315</v>
      </c>
      <c r="F825" s="218">
        <v>22.8</v>
      </c>
      <c r="G825" s="218" t="s">
        <v>316</v>
      </c>
      <c r="H825" s="218">
        <v>768</v>
      </c>
      <c r="I825" s="218">
        <f t="shared" si="45"/>
        <v>454</v>
      </c>
      <c r="J825" s="218">
        <f t="shared" si="46"/>
        <v>2.2026431718061676E-3</v>
      </c>
      <c r="K825" s="218">
        <f t="shared" si="47"/>
        <v>4.7058440572036189E-2</v>
      </c>
      <c r="L825" s="218">
        <f t="shared" si="48"/>
        <v>433.7</v>
      </c>
      <c r="M825" s="218" t="s">
        <v>323</v>
      </c>
      <c r="P825" s="218">
        <v>820</v>
      </c>
      <c r="Q825" s="218">
        <v>435.7</v>
      </c>
      <c r="R825" s="218">
        <v>451</v>
      </c>
      <c r="S825" s="218">
        <v>425</v>
      </c>
      <c r="T825" s="218">
        <v>437.23333333333335</v>
      </c>
      <c r="U825" s="273">
        <v>2.2871083326980253E-3</v>
      </c>
      <c r="V825" s="218">
        <v>2.2871083326980253E-3</v>
      </c>
      <c r="W825" s="250">
        <v>3.9068164915729008E-5</v>
      </c>
      <c r="X825" s="250">
        <v>0.96519499632082417</v>
      </c>
      <c r="Z825" s="218">
        <v>817</v>
      </c>
      <c r="AA825" s="435">
        <v>0.96519499632082417</v>
      </c>
    </row>
    <row r="826" spans="1:27">
      <c r="A826" s="429">
        <v>0.68674768518518514</v>
      </c>
      <c r="B826" s="218">
        <v>453</v>
      </c>
      <c r="C826" s="218" t="s">
        <v>314</v>
      </c>
      <c r="D826" s="218">
        <v>227</v>
      </c>
      <c r="E826" s="218" t="s">
        <v>315</v>
      </c>
      <c r="F826" s="218">
        <v>22.8</v>
      </c>
      <c r="G826" s="218" t="s">
        <v>316</v>
      </c>
      <c r="H826" s="218">
        <v>769</v>
      </c>
      <c r="I826" s="218">
        <f t="shared" ref="I826:I889" si="49">B825</f>
        <v>455</v>
      </c>
      <c r="J826" s="218">
        <f t="shared" ref="J826:J889" si="50">1/I826</f>
        <v>2.1978021978021978E-3</v>
      </c>
      <c r="K826" s="218">
        <f t="shared" ref="K826:K889" si="51">$J$57-J826</f>
        <v>4.7063281546040163E-2</v>
      </c>
      <c r="L826" s="218">
        <f t="shared" ref="L826:L889" si="52">(B825-$J$55)</f>
        <v>434.7</v>
      </c>
      <c r="M826" s="218" t="s">
        <v>323</v>
      </c>
      <c r="P826" s="218">
        <v>821</v>
      </c>
      <c r="Q826" s="218">
        <v>436.7</v>
      </c>
      <c r="R826" s="218">
        <v>450</v>
      </c>
      <c r="S826" s="218">
        <v>426</v>
      </c>
      <c r="T826" s="218">
        <v>437.56666666666666</v>
      </c>
      <c r="U826" s="273">
        <v>2.2853660394606535E-3</v>
      </c>
      <c r="V826" s="218">
        <v>2.2862371860793394E-3</v>
      </c>
      <c r="W826" s="250">
        <v>3.905328407284193E-5</v>
      </c>
      <c r="X826" s="250">
        <v>0.96593083149374537</v>
      </c>
      <c r="Z826" s="218">
        <v>818</v>
      </c>
      <c r="AA826" s="435">
        <v>0.96593083149374537</v>
      </c>
    </row>
    <row r="827" spans="1:27">
      <c r="A827" s="429">
        <v>0.68675925925925929</v>
      </c>
      <c r="B827" s="218">
        <v>455</v>
      </c>
      <c r="C827" s="218" t="s">
        <v>314</v>
      </c>
      <c r="D827" s="218">
        <v>228</v>
      </c>
      <c r="E827" s="218" t="s">
        <v>315</v>
      </c>
      <c r="F827" s="218">
        <v>22.8</v>
      </c>
      <c r="G827" s="218" t="s">
        <v>316</v>
      </c>
      <c r="H827" s="218">
        <v>770</v>
      </c>
      <c r="I827" s="218">
        <f t="shared" si="49"/>
        <v>453</v>
      </c>
      <c r="J827" s="218">
        <f t="shared" si="50"/>
        <v>2.2075055187637969E-3</v>
      </c>
      <c r="K827" s="218">
        <f t="shared" si="51"/>
        <v>4.7053578225078566E-2</v>
      </c>
      <c r="L827" s="218">
        <f t="shared" si="52"/>
        <v>432.7</v>
      </c>
      <c r="M827" s="218" t="s">
        <v>323</v>
      </c>
      <c r="P827" s="218">
        <v>822</v>
      </c>
      <c r="Q827" s="218">
        <v>434.7</v>
      </c>
      <c r="R827" s="218">
        <v>451</v>
      </c>
      <c r="S827" s="218">
        <v>426</v>
      </c>
      <c r="T827" s="218">
        <v>437.23333333333335</v>
      </c>
      <c r="U827" s="273">
        <v>2.2871083326980253E-3</v>
      </c>
      <c r="V827" s="218">
        <v>2.2862371860793394E-3</v>
      </c>
      <c r="W827" s="250">
        <v>3.905328407284193E-5</v>
      </c>
      <c r="X827" s="250">
        <v>0.96519499632082417</v>
      </c>
      <c r="Z827" s="218">
        <v>819</v>
      </c>
      <c r="AA827" s="435">
        <v>0.96519499632082417</v>
      </c>
    </row>
    <row r="828" spans="1:27">
      <c r="A828" s="429">
        <v>0.68677083333333344</v>
      </c>
      <c r="B828" s="218">
        <v>453</v>
      </c>
      <c r="C828" s="218" t="s">
        <v>314</v>
      </c>
      <c r="D828" s="218">
        <v>227</v>
      </c>
      <c r="E828" s="218" t="s">
        <v>315</v>
      </c>
      <c r="F828" s="218">
        <v>22.8</v>
      </c>
      <c r="G828" s="218" t="s">
        <v>316</v>
      </c>
      <c r="H828" s="218">
        <v>771</v>
      </c>
      <c r="I828" s="218">
        <f t="shared" si="49"/>
        <v>455</v>
      </c>
      <c r="J828" s="218">
        <f t="shared" si="50"/>
        <v>2.1978021978021978E-3</v>
      </c>
      <c r="K828" s="218">
        <f t="shared" si="51"/>
        <v>4.7063281546040163E-2</v>
      </c>
      <c r="L828" s="218">
        <f t="shared" si="52"/>
        <v>434.7</v>
      </c>
      <c r="M828" s="218" t="s">
        <v>323</v>
      </c>
      <c r="P828" s="218">
        <v>823</v>
      </c>
      <c r="Q828" s="218">
        <v>436.7</v>
      </c>
      <c r="R828" s="218">
        <v>451</v>
      </c>
      <c r="S828" s="218">
        <v>425</v>
      </c>
      <c r="T828" s="218">
        <v>437.56666666666666</v>
      </c>
      <c r="U828" s="273">
        <v>2.2853660394606535E-3</v>
      </c>
      <c r="V828" s="218">
        <v>2.2862371860793394E-3</v>
      </c>
      <c r="W828" s="250">
        <v>3.905328407284193E-5</v>
      </c>
      <c r="X828" s="250">
        <v>0.96593083149374537</v>
      </c>
      <c r="Z828" s="218">
        <v>820</v>
      </c>
      <c r="AA828" s="435">
        <v>0.96519499632082417</v>
      </c>
    </row>
    <row r="829" spans="1:27">
      <c r="A829" s="429">
        <v>0.68678240740740737</v>
      </c>
      <c r="B829" s="218">
        <v>455</v>
      </c>
      <c r="C829" s="218" t="s">
        <v>314</v>
      </c>
      <c r="D829" s="218">
        <v>228</v>
      </c>
      <c r="E829" s="218" t="s">
        <v>315</v>
      </c>
      <c r="F829" s="218">
        <v>22.8</v>
      </c>
      <c r="G829" s="218" t="s">
        <v>316</v>
      </c>
      <c r="H829" s="218">
        <v>772</v>
      </c>
      <c r="I829" s="218">
        <f t="shared" si="49"/>
        <v>453</v>
      </c>
      <c r="J829" s="218">
        <f t="shared" si="50"/>
        <v>2.2075055187637969E-3</v>
      </c>
      <c r="K829" s="218">
        <f t="shared" si="51"/>
        <v>4.7053578225078566E-2</v>
      </c>
      <c r="L829" s="218">
        <f t="shared" si="52"/>
        <v>432.7</v>
      </c>
      <c r="M829" s="218" t="s">
        <v>323</v>
      </c>
      <c r="P829" s="218">
        <v>824</v>
      </c>
      <c r="Q829" s="218">
        <v>434.7</v>
      </c>
      <c r="R829" s="218">
        <v>450</v>
      </c>
      <c r="S829" s="218">
        <v>425</v>
      </c>
      <c r="T829" s="218">
        <v>436.56666666666666</v>
      </c>
      <c r="U829" s="273">
        <v>2.2906009009696876E-3</v>
      </c>
      <c r="V829" s="218">
        <v>2.2879834702151706E-3</v>
      </c>
      <c r="W829" s="250">
        <v>3.9083113930760332E-5</v>
      </c>
      <c r="X829" s="250">
        <v>0.96372332597498156</v>
      </c>
      <c r="Z829" s="218">
        <v>821</v>
      </c>
      <c r="AA829" s="435">
        <v>0.96593083149374537</v>
      </c>
    </row>
    <row r="830" spans="1:27">
      <c r="A830" s="429">
        <v>0.68679398148148152</v>
      </c>
      <c r="B830" s="218">
        <v>453</v>
      </c>
      <c r="C830" s="218" t="s">
        <v>314</v>
      </c>
      <c r="D830" s="218">
        <v>227</v>
      </c>
      <c r="E830" s="218" t="s">
        <v>315</v>
      </c>
      <c r="F830" s="218">
        <v>22.8</v>
      </c>
      <c r="G830" s="218" t="s">
        <v>316</v>
      </c>
      <c r="H830" s="218">
        <v>773</v>
      </c>
      <c r="I830" s="218">
        <f t="shared" si="49"/>
        <v>455</v>
      </c>
      <c r="J830" s="218">
        <f t="shared" si="50"/>
        <v>2.1978021978021978E-3</v>
      </c>
      <c r="K830" s="218">
        <f t="shared" si="51"/>
        <v>4.7063281546040163E-2</v>
      </c>
      <c r="L830" s="218">
        <f t="shared" si="52"/>
        <v>434.7</v>
      </c>
      <c r="M830" s="218" t="s">
        <v>323</v>
      </c>
      <c r="P830" s="218">
        <v>825</v>
      </c>
      <c r="Q830" s="218">
        <v>436.7</v>
      </c>
      <c r="R830" s="218">
        <v>451</v>
      </c>
      <c r="S830" s="218">
        <v>426</v>
      </c>
      <c r="T830" s="218">
        <v>437.90000000000003</v>
      </c>
      <c r="U830" s="273">
        <v>2.2836263987211689E-3</v>
      </c>
      <c r="V830" s="218">
        <v>2.2871136498454282E-3</v>
      </c>
      <c r="W830" s="250">
        <v>3.9068255742730357E-5</v>
      </c>
      <c r="X830" s="250">
        <v>0.96666666666666679</v>
      </c>
      <c r="Z830" s="218">
        <v>822</v>
      </c>
      <c r="AA830" s="435">
        <v>0.96519499632082417</v>
      </c>
    </row>
    <row r="831" spans="1:27">
      <c r="A831" s="429">
        <v>0.68680555555555556</v>
      </c>
      <c r="B831" s="218">
        <v>454</v>
      </c>
      <c r="C831" s="218" t="s">
        <v>314</v>
      </c>
      <c r="D831" s="218">
        <v>227</v>
      </c>
      <c r="E831" s="218" t="s">
        <v>315</v>
      </c>
      <c r="F831" s="218">
        <v>22.8</v>
      </c>
      <c r="G831" s="218" t="s">
        <v>316</v>
      </c>
      <c r="H831" s="218">
        <v>774</v>
      </c>
      <c r="I831" s="218">
        <f t="shared" si="49"/>
        <v>453</v>
      </c>
      <c r="J831" s="218">
        <f t="shared" si="50"/>
        <v>2.2075055187637969E-3</v>
      </c>
      <c r="K831" s="218">
        <f t="shared" si="51"/>
        <v>4.7053578225078566E-2</v>
      </c>
      <c r="L831" s="218">
        <f t="shared" si="52"/>
        <v>432.7</v>
      </c>
      <c r="M831" s="218" t="s">
        <v>323</v>
      </c>
      <c r="P831" s="218">
        <v>826</v>
      </c>
      <c r="Q831" s="218">
        <v>434.7</v>
      </c>
      <c r="R831" s="218">
        <v>450</v>
      </c>
      <c r="S831" s="218">
        <v>426</v>
      </c>
      <c r="T831" s="218">
        <v>436.90000000000003</v>
      </c>
      <c r="U831" s="273">
        <v>2.2888532845044629E-3</v>
      </c>
      <c r="V831" s="218">
        <v>2.2862398416128157E-3</v>
      </c>
      <c r="W831" s="250">
        <v>3.9053329434409772E-5</v>
      </c>
      <c r="X831" s="250">
        <v>0.96445916114790298</v>
      </c>
      <c r="Z831" s="218">
        <v>823</v>
      </c>
      <c r="AA831" s="435">
        <v>0.96593083149374537</v>
      </c>
    </row>
    <row r="832" spans="1:27">
      <c r="A832" s="429">
        <v>0.6868171296296296</v>
      </c>
      <c r="B832" s="218">
        <v>454</v>
      </c>
      <c r="C832" s="218" t="s">
        <v>314</v>
      </c>
      <c r="D832" s="218">
        <v>227</v>
      </c>
      <c r="E832" s="218" t="s">
        <v>315</v>
      </c>
      <c r="F832" s="218">
        <v>22.8</v>
      </c>
      <c r="G832" s="218" t="s">
        <v>316</v>
      </c>
      <c r="H832" s="218">
        <v>775</v>
      </c>
      <c r="I832" s="218">
        <f t="shared" si="49"/>
        <v>454</v>
      </c>
      <c r="J832" s="218">
        <f t="shared" si="50"/>
        <v>2.2026431718061676E-3</v>
      </c>
      <c r="K832" s="218">
        <f t="shared" si="51"/>
        <v>4.7058440572036189E-2</v>
      </c>
      <c r="L832" s="218">
        <f t="shared" si="52"/>
        <v>433.7</v>
      </c>
      <c r="M832" s="218" t="s">
        <v>323</v>
      </c>
      <c r="P832" s="218">
        <v>827</v>
      </c>
      <c r="Q832" s="218">
        <v>435.7</v>
      </c>
      <c r="R832" s="218">
        <v>452</v>
      </c>
      <c r="S832" s="218">
        <v>424</v>
      </c>
      <c r="T832" s="218">
        <v>437.23333333333335</v>
      </c>
      <c r="U832" s="273">
        <v>2.2871083326980253E-3</v>
      </c>
      <c r="V832" s="218">
        <v>2.2879808086012443E-3</v>
      </c>
      <c r="W832" s="250">
        <v>3.9083068465326831E-5</v>
      </c>
      <c r="X832" s="250">
        <v>0.96519499632082417</v>
      </c>
      <c r="Z832" s="218">
        <v>824</v>
      </c>
      <c r="AA832" s="435">
        <v>0.96372332597498156</v>
      </c>
    </row>
    <row r="833" spans="1:27">
      <c r="A833" s="429">
        <v>0.68682870370370364</v>
      </c>
      <c r="B833" s="218">
        <v>454</v>
      </c>
      <c r="C833" s="218" t="s">
        <v>314</v>
      </c>
      <c r="D833" s="218">
        <v>227</v>
      </c>
      <c r="E833" s="218" t="s">
        <v>315</v>
      </c>
      <c r="F833" s="218">
        <v>22.8</v>
      </c>
      <c r="G833" s="218" t="s">
        <v>316</v>
      </c>
      <c r="H833" s="218">
        <v>776</v>
      </c>
      <c r="I833" s="218">
        <f t="shared" si="49"/>
        <v>454</v>
      </c>
      <c r="J833" s="218">
        <f t="shared" si="50"/>
        <v>2.2026431718061676E-3</v>
      </c>
      <c r="K833" s="218">
        <f t="shared" si="51"/>
        <v>4.7058440572036189E-2</v>
      </c>
      <c r="L833" s="218">
        <f t="shared" si="52"/>
        <v>433.7</v>
      </c>
      <c r="M833" s="218" t="s">
        <v>323</v>
      </c>
      <c r="P833" s="218">
        <v>828</v>
      </c>
      <c r="Q833" s="218">
        <v>435.7</v>
      </c>
      <c r="R833" s="218">
        <v>449</v>
      </c>
      <c r="S833" s="218">
        <v>424</v>
      </c>
      <c r="T833" s="218">
        <v>436.23333333333335</v>
      </c>
      <c r="U833" s="273">
        <v>2.2923511882020323E-3</v>
      </c>
      <c r="V833" s="218">
        <v>2.2897297604500288E-3</v>
      </c>
      <c r="W833" s="250">
        <v>3.9112943892861733E-5</v>
      </c>
      <c r="X833" s="250">
        <v>0.96298749080206036</v>
      </c>
      <c r="Z833" s="218">
        <v>825</v>
      </c>
      <c r="AA833" s="435">
        <v>0.96666666666666679</v>
      </c>
    </row>
    <row r="834" spans="1:27">
      <c r="A834" s="429">
        <v>0.68684027777777779</v>
      </c>
      <c r="B834" s="218">
        <v>455</v>
      </c>
      <c r="C834" s="218" t="s">
        <v>314</v>
      </c>
      <c r="D834" s="218">
        <v>228</v>
      </c>
      <c r="E834" s="218" t="s">
        <v>315</v>
      </c>
      <c r="F834" s="218">
        <v>22.8</v>
      </c>
      <c r="G834" s="218" t="s">
        <v>316</v>
      </c>
      <c r="H834" s="218">
        <v>777</v>
      </c>
      <c r="I834" s="218">
        <f t="shared" si="49"/>
        <v>454</v>
      </c>
      <c r="J834" s="218">
        <f t="shared" si="50"/>
        <v>2.2026431718061676E-3</v>
      </c>
      <c r="K834" s="218">
        <f t="shared" si="51"/>
        <v>4.7058440572036189E-2</v>
      </c>
      <c r="L834" s="218">
        <f t="shared" si="52"/>
        <v>433.7</v>
      </c>
      <c r="M834" s="218" t="s">
        <v>323</v>
      </c>
      <c r="P834" s="218">
        <v>829</v>
      </c>
      <c r="Q834" s="218">
        <v>436.7</v>
      </c>
      <c r="R834" s="218">
        <v>451</v>
      </c>
      <c r="S834" s="218">
        <v>426</v>
      </c>
      <c r="T834" s="218">
        <v>437.90000000000003</v>
      </c>
      <c r="U834" s="273">
        <v>2.2836263987211689E-3</v>
      </c>
      <c r="V834" s="218">
        <v>2.2879887934616006E-3</v>
      </c>
      <c r="W834" s="250">
        <v>3.9083204861944681E-5</v>
      </c>
      <c r="X834" s="250">
        <v>0.96666666666666679</v>
      </c>
      <c r="Z834" s="218">
        <v>826</v>
      </c>
      <c r="AA834" s="435">
        <v>0.96445916114790298</v>
      </c>
    </row>
    <row r="835" spans="1:27">
      <c r="A835" s="429">
        <v>0.68685185185185194</v>
      </c>
      <c r="B835" s="218">
        <v>455</v>
      </c>
      <c r="C835" s="218" t="s">
        <v>314</v>
      </c>
      <c r="D835" s="218">
        <v>228</v>
      </c>
      <c r="E835" s="218" t="s">
        <v>315</v>
      </c>
      <c r="F835" s="218">
        <v>22.8</v>
      </c>
      <c r="G835" s="218" t="s">
        <v>316</v>
      </c>
      <c r="H835" s="218">
        <v>778</v>
      </c>
      <c r="I835" s="218">
        <f t="shared" si="49"/>
        <v>455</v>
      </c>
      <c r="J835" s="218">
        <f t="shared" si="50"/>
        <v>2.1978021978021978E-3</v>
      </c>
      <c r="K835" s="218">
        <f t="shared" si="51"/>
        <v>4.7063281546040163E-2</v>
      </c>
      <c r="L835" s="218">
        <f t="shared" si="52"/>
        <v>434.7</v>
      </c>
      <c r="M835" s="218" t="s">
        <v>323</v>
      </c>
      <c r="P835" s="218">
        <v>830</v>
      </c>
      <c r="Q835" s="218">
        <v>436.7</v>
      </c>
      <c r="R835" s="218">
        <v>450</v>
      </c>
      <c r="S835" s="218">
        <v>426</v>
      </c>
      <c r="T835" s="218">
        <v>437.56666666666666</v>
      </c>
      <c r="U835" s="273">
        <v>2.2853660394606535E-3</v>
      </c>
      <c r="V835" s="218">
        <v>2.2844962190909112E-3</v>
      </c>
      <c r="W835" s="250">
        <v>3.9023545041924885E-5</v>
      </c>
      <c r="X835" s="250">
        <v>0.96593083149374537</v>
      </c>
      <c r="Z835" s="218">
        <v>827</v>
      </c>
      <c r="AA835" s="435">
        <v>0.96519499632082417</v>
      </c>
    </row>
    <row r="836" spans="1:27">
      <c r="A836" s="429">
        <v>0.68686342592592586</v>
      </c>
      <c r="B836" s="218">
        <v>455</v>
      </c>
      <c r="C836" s="218" t="s">
        <v>314</v>
      </c>
      <c r="D836" s="218">
        <v>228</v>
      </c>
      <c r="E836" s="218" t="s">
        <v>315</v>
      </c>
      <c r="F836" s="218">
        <v>22.8</v>
      </c>
      <c r="G836" s="218" t="s">
        <v>316</v>
      </c>
      <c r="H836" s="218">
        <v>779</v>
      </c>
      <c r="I836" s="218">
        <f t="shared" si="49"/>
        <v>455</v>
      </c>
      <c r="J836" s="218">
        <f t="shared" si="50"/>
        <v>2.1978021978021978E-3</v>
      </c>
      <c r="K836" s="218">
        <f t="shared" si="51"/>
        <v>4.7063281546040163E-2</v>
      </c>
      <c r="L836" s="218">
        <f t="shared" si="52"/>
        <v>434.7</v>
      </c>
      <c r="M836" s="218" t="s">
        <v>323</v>
      </c>
      <c r="P836" s="218">
        <v>831</v>
      </c>
      <c r="Q836" s="218">
        <v>436.7</v>
      </c>
      <c r="R836" s="218">
        <v>451</v>
      </c>
      <c r="S836" s="218">
        <v>427</v>
      </c>
      <c r="T836" s="218">
        <v>438.23333333333335</v>
      </c>
      <c r="U836" s="273">
        <v>2.2818894044268653E-3</v>
      </c>
      <c r="V836" s="218">
        <v>2.2836277219437594E-3</v>
      </c>
      <c r="W836" s="250">
        <v>3.9008709457056135E-5</v>
      </c>
      <c r="X836" s="250">
        <v>0.96740250183958798</v>
      </c>
      <c r="Z836" s="218">
        <v>828</v>
      </c>
      <c r="AA836" s="435">
        <v>0.96298749080206036</v>
      </c>
    </row>
    <row r="837" spans="1:27">
      <c r="A837" s="429">
        <v>0.68687500000000001</v>
      </c>
      <c r="B837" s="218">
        <v>455</v>
      </c>
      <c r="C837" s="218" t="s">
        <v>314</v>
      </c>
      <c r="D837" s="218">
        <v>228</v>
      </c>
      <c r="E837" s="218" t="s">
        <v>315</v>
      </c>
      <c r="F837" s="218">
        <v>22.8</v>
      </c>
      <c r="G837" s="218" t="s">
        <v>316</v>
      </c>
      <c r="H837" s="218">
        <v>780</v>
      </c>
      <c r="I837" s="218">
        <f t="shared" si="49"/>
        <v>455</v>
      </c>
      <c r="J837" s="218">
        <f t="shared" si="50"/>
        <v>2.1978021978021978E-3</v>
      </c>
      <c r="K837" s="218">
        <f t="shared" si="51"/>
        <v>4.7063281546040163E-2</v>
      </c>
      <c r="L837" s="218">
        <f t="shared" si="52"/>
        <v>434.7</v>
      </c>
      <c r="M837" s="218" t="s">
        <v>323</v>
      </c>
      <c r="P837" s="218">
        <v>832</v>
      </c>
      <c r="Q837" s="218">
        <v>436.7</v>
      </c>
      <c r="R837" s="218">
        <v>451</v>
      </c>
      <c r="S837" s="218">
        <v>427</v>
      </c>
      <c r="T837" s="218">
        <v>438.23333333333335</v>
      </c>
      <c r="U837" s="273">
        <v>2.2818894044268653E-3</v>
      </c>
      <c r="V837" s="218">
        <v>2.2818894044268653E-3</v>
      </c>
      <c r="W837" s="250">
        <v>3.8979015684157404E-5</v>
      </c>
      <c r="X837" s="250">
        <v>0.96740250183958798</v>
      </c>
      <c r="Z837" s="218">
        <v>829</v>
      </c>
      <c r="AA837" s="435">
        <v>0.96666666666666679</v>
      </c>
    </row>
    <row r="838" spans="1:27">
      <c r="A838" s="429">
        <v>0.68688657407407405</v>
      </c>
      <c r="B838" s="218">
        <v>454</v>
      </c>
      <c r="C838" s="218" t="s">
        <v>314</v>
      </c>
      <c r="D838" s="218">
        <v>227</v>
      </c>
      <c r="E838" s="218" t="s">
        <v>315</v>
      </c>
      <c r="F838" s="218">
        <v>22.8</v>
      </c>
      <c r="G838" s="218" t="s">
        <v>316</v>
      </c>
      <c r="H838" s="218">
        <v>781</v>
      </c>
      <c r="I838" s="218">
        <f t="shared" si="49"/>
        <v>455</v>
      </c>
      <c r="J838" s="218">
        <f t="shared" si="50"/>
        <v>2.1978021978021978E-3</v>
      </c>
      <c r="K838" s="218">
        <f t="shared" si="51"/>
        <v>4.7063281546040163E-2</v>
      </c>
      <c r="L838" s="218">
        <f t="shared" si="52"/>
        <v>434.7</v>
      </c>
      <c r="M838" s="218" t="s">
        <v>323</v>
      </c>
      <c r="P838" s="218">
        <v>833</v>
      </c>
      <c r="Q838" s="218">
        <v>436.7</v>
      </c>
      <c r="R838" s="218">
        <v>450</v>
      </c>
      <c r="S838" s="218">
        <v>427</v>
      </c>
      <c r="T838" s="218">
        <v>437.90000000000003</v>
      </c>
      <c r="U838" s="273">
        <v>2.2836263987211689E-3</v>
      </c>
      <c r="V838" s="218">
        <v>2.2827579015740171E-3</v>
      </c>
      <c r="W838" s="250">
        <v>3.8993851269026153E-5</v>
      </c>
      <c r="X838" s="250">
        <v>0.96666666666666679</v>
      </c>
      <c r="Z838" s="218">
        <v>830</v>
      </c>
      <c r="AA838" s="435">
        <v>0.96593083149374537</v>
      </c>
    </row>
    <row r="839" spans="1:27">
      <c r="A839" s="429">
        <v>0.6868981481481482</v>
      </c>
      <c r="B839" s="218">
        <v>455</v>
      </c>
      <c r="C839" s="218" t="s">
        <v>314</v>
      </c>
      <c r="D839" s="218">
        <v>228</v>
      </c>
      <c r="E839" s="218" t="s">
        <v>315</v>
      </c>
      <c r="F839" s="218">
        <v>22.8</v>
      </c>
      <c r="G839" s="218" t="s">
        <v>316</v>
      </c>
      <c r="H839" s="218">
        <v>782</v>
      </c>
      <c r="I839" s="218">
        <f t="shared" si="49"/>
        <v>454</v>
      </c>
      <c r="J839" s="218">
        <f t="shared" si="50"/>
        <v>2.2026431718061676E-3</v>
      </c>
      <c r="K839" s="218">
        <f t="shared" si="51"/>
        <v>4.7058440572036189E-2</v>
      </c>
      <c r="L839" s="218">
        <f t="shared" si="52"/>
        <v>433.7</v>
      </c>
      <c r="M839" s="218" t="s">
        <v>323</v>
      </c>
      <c r="P839" s="218">
        <v>834</v>
      </c>
      <c r="Q839" s="218">
        <v>436.7</v>
      </c>
      <c r="R839" s="218">
        <v>451</v>
      </c>
      <c r="S839" s="218">
        <v>427</v>
      </c>
      <c r="T839" s="218">
        <v>438.23333333333335</v>
      </c>
      <c r="U839" s="273">
        <v>2.2818894044268653E-3</v>
      </c>
      <c r="V839" s="218">
        <v>2.2827579015740171E-3</v>
      </c>
      <c r="W839" s="250">
        <v>3.8993851269026153E-5</v>
      </c>
      <c r="X839" s="250">
        <v>0.96740250183958798</v>
      </c>
      <c r="Z839" s="218">
        <v>831</v>
      </c>
      <c r="AA839" s="435">
        <v>0.96740250183958798</v>
      </c>
    </row>
    <row r="840" spans="1:27">
      <c r="A840" s="429">
        <v>0.68690972222222213</v>
      </c>
      <c r="B840" s="218">
        <v>454</v>
      </c>
      <c r="C840" s="218" t="s">
        <v>314</v>
      </c>
      <c r="D840" s="218">
        <v>227</v>
      </c>
      <c r="E840" s="218" t="s">
        <v>315</v>
      </c>
      <c r="F840" s="218">
        <v>22.8</v>
      </c>
      <c r="G840" s="218" t="s">
        <v>316</v>
      </c>
      <c r="H840" s="218">
        <v>783</v>
      </c>
      <c r="I840" s="218">
        <f t="shared" si="49"/>
        <v>455</v>
      </c>
      <c r="J840" s="218">
        <f t="shared" si="50"/>
        <v>2.1978021978021978E-3</v>
      </c>
      <c r="K840" s="218">
        <f t="shared" si="51"/>
        <v>4.7063281546040163E-2</v>
      </c>
      <c r="L840" s="218">
        <f t="shared" si="52"/>
        <v>434.7</v>
      </c>
      <c r="M840" s="218" t="s">
        <v>323</v>
      </c>
      <c r="P840" s="218">
        <v>835</v>
      </c>
      <c r="Q840" s="218">
        <v>436.7</v>
      </c>
      <c r="R840" s="218">
        <v>451</v>
      </c>
      <c r="S840" s="218">
        <v>429</v>
      </c>
      <c r="T840" s="218">
        <v>438.90000000000003</v>
      </c>
      <c r="U840" s="273">
        <v>2.27842333105491E-3</v>
      </c>
      <c r="V840" s="218">
        <v>2.2801563677408874E-3</v>
      </c>
      <c r="W840" s="250">
        <v>3.8949412117905288E-5</v>
      </c>
      <c r="X840" s="250">
        <v>0.96887417218543059</v>
      </c>
      <c r="Z840" s="218">
        <v>832</v>
      </c>
      <c r="AA840" s="435">
        <v>0.96740250183958798</v>
      </c>
    </row>
    <row r="841" spans="1:27">
      <c r="A841" s="429">
        <v>0.68692129629629628</v>
      </c>
      <c r="B841" s="218">
        <v>455</v>
      </c>
      <c r="C841" s="218" t="s">
        <v>314</v>
      </c>
      <c r="D841" s="218">
        <v>228</v>
      </c>
      <c r="E841" s="218" t="s">
        <v>315</v>
      </c>
      <c r="F841" s="218">
        <v>22.8</v>
      </c>
      <c r="G841" s="218" t="s">
        <v>316</v>
      </c>
      <c r="H841" s="218">
        <v>784</v>
      </c>
      <c r="I841" s="218">
        <f t="shared" si="49"/>
        <v>454</v>
      </c>
      <c r="J841" s="218">
        <f t="shared" si="50"/>
        <v>2.2026431718061676E-3</v>
      </c>
      <c r="K841" s="218">
        <f t="shared" si="51"/>
        <v>4.7058440572036189E-2</v>
      </c>
      <c r="L841" s="218">
        <f t="shared" si="52"/>
        <v>433.7</v>
      </c>
      <c r="M841" s="218" t="s">
        <v>323</v>
      </c>
      <c r="P841" s="218">
        <v>836</v>
      </c>
      <c r="Q841" s="218">
        <v>436.7</v>
      </c>
      <c r="R841" s="218">
        <v>452</v>
      </c>
      <c r="S841" s="218">
        <v>429</v>
      </c>
      <c r="T841" s="218">
        <v>439.23333333333335</v>
      </c>
      <c r="U841" s="273">
        <v>2.276694239963573E-3</v>
      </c>
      <c r="V841" s="218">
        <v>2.2775587855092417E-3</v>
      </c>
      <c r="W841" s="250">
        <v>3.890504046766151E-5</v>
      </c>
      <c r="X841" s="250">
        <v>0.96961000735835179</v>
      </c>
      <c r="Z841" s="218">
        <v>833</v>
      </c>
      <c r="AA841" s="435">
        <v>0.96666666666666679</v>
      </c>
    </row>
    <row r="842" spans="1:27">
      <c r="A842" s="429">
        <v>0.68693287037037043</v>
      </c>
      <c r="B842" s="218">
        <v>454</v>
      </c>
      <c r="C842" s="218" t="s">
        <v>314</v>
      </c>
      <c r="D842" s="218">
        <v>227</v>
      </c>
      <c r="E842" s="218" t="s">
        <v>315</v>
      </c>
      <c r="F842" s="218">
        <v>22.8</v>
      </c>
      <c r="G842" s="218" t="s">
        <v>316</v>
      </c>
      <c r="H842" s="218">
        <v>785</v>
      </c>
      <c r="I842" s="218">
        <f t="shared" si="49"/>
        <v>455</v>
      </c>
      <c r="J842" s="218">
        <f t="shared" si="50"/>
        <v>2.1978021978021978E-3</v>
      </c>
      <c r="K842" s="218">
        <f t="shared" si="51"/>
        <v>4.7063281546040163E-2</v>
      </c>
      <c r="L842" s="218">
        <f t="shared" si="52"/>
        <v>434.7</v>
      </c>
      <c r="M842" s="218" t="s">
        <v>323</v>
      </c>
      <c r="P842" s="218">
        <v>837</v>
      </c>
      <c r="Q842" s="218">
        <v>436.7</v>
      </c>
      <c r="R842" s="218">
        <v>449</v>
      </c>
      <c r="S842" s="218">
        <v>429</v>
      </c>
      <c r="T842" s="218">
        <v>438.23333333333335</v>
      </c>
      <c r="U842" s="273">
        <v>2.2818894044268653E-3</v>
      </c>
      <c r="V842" s="218">
        <v>2.2792918221952192E-3</v>
      </c>
      <c r="W842" s="250">
        <v>3.8934644033913626E-5</v>
      </c>
      <c r="X842" s="250">
        <v>0.96740250183958798</v>
      </c>
      <c r="Z842" s="218">
        <v>834</v>
      </c>
      <c r="AA842" s="435">
        <v>0.96740250183958798</v>
      </c>
    </row>
    <row r="843" spans="1:27">
      <c r="A843" s="429">
        <v>0.68694444444444447</v>
      </c>
      <c r="B843" s="218">
        <v>455</v>
      </c>
      <c r="C843" s="218" t="s">
        <v>314</v>
      </c>
      <c r="D843" s="218">
        <v>228</v>
      </c>
      <c r="E843" s="218" t="s">
        <v>315</v>
      </c>
      <c r="F843" s="218">
        <v>22.8</v>
      </c>
      <c r="G843" s="218" t="s">
        <v>316</v>
      </c>
      <c r="H843" s="218">
        <v>786</v>
      </c>
      <c r="I843" s="218">
        <f t="shared" si="49"/>
        <v>454</v>
      </c>
      <c r="J843" s="218">
        <f t="shared" si="50"/>
        <v>2.2026431718061676E-3</v>
      </c>
      <c r="K843" s="218">
        <f t="shared" si="51"/>
        <v>4.7058440572036189E-2</v>
      </c>
      <c r="L843" s="218">
        <f t="shared" si="52"/>
        <v>433.7</v>
      </c>
      <c r="M843" s="218" t="s">
        <v>323</v>
      </c>
      <c r="P843" s="218">
        <v>838</v>
      </c>
      <c r="Q843" s="218">
        <v>435.7</v>
      </c>
      <c r="R843" s="218">
        <v>451</v>
      </c>
      <c r="S843" s="218">
        <v>429</v>
      </c>
      <c r="T843" s="218">
        <v>438.56666666666666</v>
      </c>
      <c r="U843" s="273">
        <v>2.2801550505434369E-3</v>
      </c>
      <c r="V843" s="218">
        <v>2.2810222274851511E-3</v>
      </c>
      <c r="W843" s="250">
        <v>3.8964202650911163E-5</v>
      </c>
      <c r="X843" s="250">
        <v>0.96813833701250918</v>
      </c>
      <c r="Z843" s="218">
        <v>835</v>
      </c>
      <c r="AA843" s="435">
        <v>0.96887417218543059</v>
      </c>
    </row>
    <row r="844" spans="1:27">
      <c r="A844" s="429">
        <v>0.68695601851851851</v>
      </c>
      <c r="B844" s="218">
        <v>455</v>
      </c>
      <c r="C844" s="218" t="s">
        <v>314</v>
      </c>
      <c r="D844" s="218">
        <v>228</v>
      </c>
      <c r="E844" s="218" t="s">
        <v>315</v>
      </c>
      <c r="F844" s="218">
        <v>22.8</v>
      </c>
      <c r="G844" s="218" t="s">
        <v>316</v>
      </c>
      <c r="H844" s="218">
        <v>787</v>
      </c>
      <c r="I844" s="218">
        <f t="shared" si="49"/>
        <v>455</v>
      </c>
      <c r="J844" s="218">
        <f t="shared" si="50"/>
        <v>2.1978021978021978E-3</v>
      </c>
      <c r="K844" s="218">
        <f t="shared" si="51"/>
        <v>4.7063281546040163E-2</v>
      </c>
      <c r="L844" s="218">
        <f t="shared" si="52"/>
        <v>434.7</v>
      </c>
      <c r="M844" s="218" t="s">
        <v>323</v>
      </c>
      <c r="P844" s="218">
        <v>839</v>
      </c>
      <c r="Q844" s="218">
        <v>436.7</v>
      </c>
      <c r="R844" s="218">
        <v>450</v>
      </c>
      <c r="S844" s="218">
        <v>431</v>
      </c>
      <c r="T844" s="218">
        <v>439.23333333333335</v>
      </c>
      <c r="U844" s="273">
        <v>2.276694239963573E-3</v>
      </c>
      <c r="V844" s="218">
        <v>2.278424645253505E-3</v>
      </c>
      <c r="W844" s="250">
        <v>3.8919831000667385E-5</v>
      </c>
      <c r="X844" s="250">
        <v>0.96961000735835179</v>
      </c>
      <c r="Z844" s="218">
        <v>836</v>
      </c>
      <c r="AA844" s="435">
        <v>0.96961000735835179</v>
      </c>
    </row>
    <row r="845" spans="1:27">
      <c r="A845" s="429">
        <v>0.68696759259259255</v>
      </c>
      <c r="B845" s="218">
        <v>455</v>
      </c>
      <c r="C845" s="218" t="s">
        <v>314</v>
      </c>
      <c r="D845" s="218">
        <v>228</v>
      </c>
      <c r="E845" s="218" t="s">
        <v>315</v>
      </c>
      <c r="F845" s="218">
        <v>22.8</v>
      </c>
      <c r="G845" s="218" t="s">
        <v>316</v>
      </c>
      <c r="H845" s="218">
        <v>788</v>
      </c>
      <c r="I845" s="218">
        <f t="shared" si="49"/>
        <v>455</v>
      </c>
      <c r="J845" s="218">
        <f t="shared" si="50"/>
        <v>2.1978021978021978E-3</v>
      </c>
      <c r="K845" s="218">
        <f t="shared" si="51"/>
        <v>4.7063281546040163E-2</v>
      </c>
      <c r="L845" s="218">
        <f t="shared" si="52"/>
        <v>434.7</v>
      </c>
      <c r="M845" s="218" t="s">
        <v>323</v>
      </c>
      <c r="P845" s="218">
        <v>840</v>
      </c>
      <c r="Q845" s="218">
        <v>436.7</v>
      </c>
      <c r="R845" s="218">
        <v>451</v>
      </c>
      <c r="S845" s="218">
        <v>431</v>
      </c>
      <c r="T845" s="218">
        <v>439.56666666666666</v>
      </c>
      <c r="U845" s="273">
        <v>2.2749677712899066E-3</v>
      </c>
      <c r="V845" s="218">
        <v>2.2758310056267398E-3</v>
      </c>
      <c r="W845" s="250">
        <v>3.8875526697621582E-5</v>
      </c>
      <c r="X845" s="250">
        <v>0.97034584253127298</v>
      </c>
      <c r="Z845" s="218">
        <v>837</v>
      </c>
      <c r="AA845" s="435">
        <v>0.96740250183958798</v>
      </c>
    </row>
    <row r="846" spans="1:27">
      <c r="A846" s="429">
        <v>0.6869791666666667</v>
      </c>
      <c r="B846" s="218">
        <v>455</v>
      </c>
      <c r="C846" s="218" t="s">
        <v>314</v>
      </c>
      <c r="D846" s="218">
        <v>228</v>
      </c>
      <c r="E846" s="218" t="s">
        <v>315</v>
      </c>
      <c r="F846" s="218">
        <v>22.8</v>
      </c>
      <c r="G846" s="218" t="s">
        <v>316</v>
      </c>
      <c r="H846" s="218">
        <v>789</v>
      </c>
      <c r="I846" s="218">
        <f t="shared" si="49"/>
        <v>455</v>
      </c>
      <c r="J846" s="218">
        <f t="shared" si="50"/>
        <v>2.1978021978021978E-3</v>
      </c>
      <c r="K846" s="218">
        <f t="shared" si="51"/>
        <v>4.7063281546040163E-2</v>
      </c>
      <c r="L846" s="218">
        <f t="shared" si="52"/>
        <v>434.7</v>
      </c>
      <c r="M846" s="218" t="s">
        <v>323</v>
      </c>
      <c r="P846" s="218">
        <v>841</v>
      </c>
      <c r="Q846" s="218">
        <v>436.7</v>
      </c>
      <c r="R846" s="218">
        <v>451</v>
      </c>
      <c r="S846" s="218">
        <v>430</v>
      </c>
      <c r="T846" s="218">
        <v>439.23333333333335</v>
      </c>
      <c r="U846" s="273">
        <v>2.276694239963573E-3</v>
      </c>
      <c r="V846" s="218">
        <v>2.2758310056267398E-3</v>
      </c>
      <c r="W846" s="250">
        <v>3.8875526697621582E-5</v>
      </c>
      <c r="X846" s="250">
        <v>0.96961000735835179</v>
      </c>
      <c r="Z846" s="218">
        <v>838</v>
      </c>
      <c r="AA846" s="435">
        <v>0.96813833701250918</v>
      </c>
    </row>
    <row r="847" spans="1:27">
      <c r="A847" s="429">
        <v>0.68699074074074085</v>
      </c>
      <c r="B847" s="218">
        <v>455</v>
      </c>
      <c r="C847" s="218" t="s">
        <v>314</v>
      </c>
      <c r="D847" s="218">
        <v>228</v>
      </c>
      <c r="E847" s="218" t="s">
        <v>315</v>
      </c>
      <c r="F847" s="218">
        <v>22.8</v>
      </c>
      <c r="G847" s="218" t="s">
        <v>316</v>
      </c>
      <c r="H847" s="218">
        <v>790</v>
      </c>
      <c r="I847" s="218">
        <f t="shared" si="49"/>
        <v>455</v>
      </c>
      <c r="J847" s="218">
        <f t="shared" si="50"/>
        <v>2.1978021978021978E-3</v>
      </c>
      <c r="K847" s="218">
        <f t="shared" si="51"/>
        <v>4.7063281546040163E-2</v>
      </c>
      <c r="L847" s="218">
        <f t="shared" si="52"/>
        <v>434.7</v>
      </c>
      <c r="M847" s="218" t="s">
        <v>323</v>
      </c>
      <c r="P847" s="218">
        <v>842</v>
      </c>
      <c r="Q847" s="218">
        <v>436.7</v>
      </c>
      <c r="R847" s="218">
        <v>451</v>
      </c>
      <c r="S847" s="218">
        <v>430</v>
      </c>
      <c r="T847" s="218">
        <v>439.23333333333335</v>
      </c>
      <c r="U847" s="273">
        <v>2.276694239963573E-3</v>
      </c>
      <c r="V847" s="218">
        <v>2.276694239963573E-3</v>
      </c>
      <c r="W847" s="250">
        <v>3.8890272383669841E-5</v>
      </c>
      <c r="X847" s="250">
        <v>0.96961000735835179</v>
      </c>
      <c r="Z847" s="218">
        <v>839</v>
      </c>
      <c r="AA847" s="435">
        <v>0.96961000735835179</v>
      </c>
    </row>
    <row r="848" spans="1:27">
      <c r="A848" s="429">
        <v>0.68700231481481477</v>
      </c>
      <c r="B848" s="218">
        <v>456</v>
      </c>
      <c r="C848" s="218" t="s">
        <v>314</v>
      </c>
      <c r="D848" s="218">
        <v>228</v>
      </c>
      <c r="E848" s="218" t="s">
        <v>315</v>
      </c>
      <c r="F848" s="218">
        <v>22.8</v>
      </c>
      <c r="G848" s="218" t="s">
        <v>316</v>
      </c>
      <c r="H848" s="218">
        <v>791</v>
      </c>
      <c r="I848" s="218">
        <f t="shared" si="49"/>
        <v>455</v>
      </c>
      <c r="J848" s="218">
        <f t="shared" si="50"/>
        <v>2.1978021978021978E-3</v>
      </c>
      <c r="K848" s="218">
        <f t="shared" si="51"/>
        <v>4.7063281546040163E-2</v>
      </c>
      <c r="L848" s="218">
        <f t="shared" si="52"/>
        <v>434.7</v>
      </c>
      <c r="M848" s="218" t="s">
        <v>323</v>
      </c>
      <c r="P848" s="218">
        <v>843</v>
      </c>
      <c r="Q848" s="218">
        <v>436.7</v>
      </c>
      <c r="R848" s="218">
        <v>451</v>
      </c>
      <c r="S848" s="218">
        <v>431</v>
      </c>
      <c r="T848" s="218">
        <v>439.56666666666666</v>
      </c>
      <c r="U848" s="273">
        <v>2.2749677712899066E-3</v>
      </c>
      <c r="V848" s="218">
        <v>2.2758310056267398E-3</v>
      </c>
      <c r="W848" s="250">
        <v>3.8875526697621582E-5</v>
      </c>
      <c r="X848" s="250">
        <v>0.97034584253127298</v>
      </c>
      <c r="Z848" s="218">
        <v>840</v>
      </c>
      <c r="AA848" s="435">
        <v>0.97034584253127298</v>
      </c>
    </row>
    <row r="849" spans="1:27">
      <c r="A849" s="429">
        <v>0.68701388888888892</v>
      </c>
      <c r="B849" s="218">
        <v>454</v>
      </c>
      <c r="C849" s="218" t="s">
        <v>314</v>
      </c>
      <c r="D849" s="218">
        <v>227</v>
      </c>
      <c r="E849" s="218" t="s">
        <v>315</v>
      </c>
      <c r="F849" s="218">
        <v>22.8</v>
      </c>
      <c r="G849" s="218" t="s">
        <v>316</v>
      </c>
      <c r="H849" s="218">
        <v>792</v>
      </c>
      <c r="I849" s="218">
        <f t="shared" si="49"/>
        <v>456</v>
      </c>
      <c r="J849" s="218">
        <f t="shared" si="50"/>
        <v>2.1929824561403508E-3</v>
      </c>
      <c r="K849" s="218">
        <f t="shared" si="51"/>
        <v>4.7068101287702009E-2</v>
      </c>
      <c r="L849" s="218">
        <f t="shared" si="52"/>
        <v>435.7</v>
      </c>
      <c r="M849" s="218" t="s">
        <v>323</v>
      </c>
      <c r="P849" s="218">
        <v>844</v>
      </c>
      <c r="Q849" s="218">
        <v>437.7</v>
      </c>
      <c r="R849" s="218">
        <v>451</v>
      </c>
      <c r="S849" s="218">
        <v>431</v>
      </c>
      <c r="T849" s="218">
        <v>439.90000000000003</v>
      </c>
      <c r="U849" s="273">
        <v>2.2732439190725163E-3</v>
      </c>
      <c r="V849" s="218">
        <v>2.2741058451812117E-3</v>
      </c>
      <c r="W849" s="250">
        <v>3.8846057672552498E-5</v>
      </c>
      <c r="X849" s="250">
        <v>0.97108167770419429</v>
      </c>
      <c r="Z849" s="218">
        <v>841</v>
      </c>
      <c r="AA849" s="435">
        <v>0.96961000735835179</v>
      </c>
    </row>
    <row r="850" spans="1:27">
      <c r="A850" s="429">
        <v>0.68702546296296296</v>
      </c>
      <c r="B850" s="218">
        <v>456</v>
      </c>
      <c r="C850" s="218" t="s">
        <v>314</v>
      </c>
      <c r="D850" s="218">
        <v>228</v>
      </c>
      <c r="E850" s="218" t="s">
        <v>315</v>
      </c>
      <c r="F850" s="218">
        <v>22.8</v>
      </c>
      <c r="G850" s="218" t="s">
        <v>316</v>
      </c>
      <c r="H850" s="218">
        <v>793</v>
      </c>
      <c r="I850" s="218">
        <f t="shared" si="49"/>
        <v>454</v>
      </c>
      <c r="J850" s="218">
        <f t="shared" si="50"/>
        <v>2.2026431718061676E-3</v>
      </c>
      <c r="K850" s="218">
        <f t="shared" si="51"/>
        <v>4.7058440572036189E-2</v>
      </c>
      <c r="L850" s="218">
        <f t="shared" si="52"/>
        <v>433.7</v>
      </c>
      <c r="M850" s="218" t="s">
        <v>323</v>
      </c>
      <c r="P850" s="218">
        <v>845</v>
      </c>
      <c r="Q850" s="218">
        <v>436.7</v>
      </c>
      <c r="R850" s="218">
        <v>452</v>
      </c>
      <c r="S850" s="218">
        <v>431</v>
      </c>
      <c r="T850" s="218">
        <v>439.90000000000003</v>
      </c>
      <c r="U850" s="273">
        <v>2.2732439190725163E-3</v>
      </c>
      <c r="V850" s="218">
        <v>2.2732439190725163E-3</v>
      </c>
      <c r="W850" s="250">
        <v>3.8831334333531666E-5</v>
      </c>
      <c r="X850" s="250">
        <v>0.97108167770419429</v>
      </c>
      <c r="Z850" s="218">
        <v>842</v>
      </c>
      <c r="AA850" s="435">
        <v>0.96961000735835179</v>
      </c>
    </row>
    <row r="851" spans="1:27">
      <c r="A851" s="429">
        <v>0.687037037037037</v>
      </c>
      <c r="B851" s="218">
        <v>454</v>
      </c>
      <c r="C851" s="218" t="s">
        <v>314</v>
      </c>
      <c r="D851" s="218">
        <v>227</v>
      </c>
      <c r="E851" s="218" t="s">
        <v>315</v>
      </c>
      <c r="F851" s="218">
        <v>22.8</v>
      </c>
      <c r="G851" s="218" t="s">
        <v>316</v>
      </c>
      <c r="H851" s="218">
        <v>794</v>
      </c>
      <c r="I851" s="218">
        <f t="shared" si="49"/>
        <v>456</v>
      </c>
      <c r="J851" s="218">
        <f t="shared" si="50"/>
        <v>2.1929824561403508E-3</v>
      </c>
      <c r="K851" s="218">
        <f t="shared" si="51"/>
        <v>4.7068101287702009E-2</v>
      </c>
      <c r="L851" s="218">
        <f t="shared" si="52"/>
        <v>435.7</v>
      </c>
      <c r="M851" s="218" t="s">
        <v>323</v>
      </c>
      <c r="P851" s="218">
        <v>846</v>
      </c>
      <c r="Q851" s="218">
        <v>437.7</v>
      </c>
      <c r="R851" s="218">
        <v>449</v>
      </c>
      <c r="S851" s="218">
        <v>431</v>
      </c>
      <c r="T851" s="218">
        <v>439.23333333333335</v>
      </c>
      <c r="U851" s="273">
        <v>2.276694239963573E-3</v>
      </c>
      <c r="V851" s="218">
        <v>2.2749690795180449E-3</v>
      </c>
      <c r="W851" s="250">
        <v>3.8860803358600757E-5</v>
      </c>
      <c r="X851" s="250">
        <v>0.96961000735835179</v>
      </c>
      <c r="Z851" s="218">
        <v>843</v>
      </c>
      <c r="AA851" s="435">
        <v>0.97034584253127298</v>
      </c>
    </row>
    <row r="852" spans="1:27">
      <c r="A852" s="429">
        <v>0.68704861111111104</v>
      </c>
      <c r="B852" s="218">
        <v>456</v>
      </c>
      <c r="C852" s="218" t="s">
        <v>314</v>
      </c>
      <c r="D852" s="218">
        <v>228</v>
      </c>
      <c r="E852" s="218" t="s">
        <v>315</v>
      </c>
      <c r="F852" s="218">
        <v>22.8</v>
      </c>
      <c r="G852" s="218" t="s">
        <v>316</v>
      </c>
      <c r="H852" s="218">
        <v>795</v>
      </c>
      <c r="I852" s="218">
        <f t="shared" si="49"/>
        <v>454</v>
      </c>
      <c r="J852" s="218">
        <f t="shared" si="50"/>
        <v>2.2026431718061676E-3</v>
      </c>
      <c r="K852" s="218">
        <f t="shared" si="51"/>
        <v>4.7058440572036189E-2</v>
      </c>
      <c r="L852" s="218">
        <f t="shared" si="52"/>
        <v>433.7</v>
      </c>
      <c r="M852" s="218" t="s">
        <v>323</v>
      </c>
      <c r="P852" s="218">
        <v>847</v>
      </c>
      <c r="Q852" s="218">
        <v>436.7</v>
      </c>
      <c r="R852" s="218">
        <v>451</v>
      </c>
      <c r="S852" s="218">
        <v>431</v>
      </c>
      <c r="T852" s="218">
        <v>439.56666666666666</v>
      </c>
      <c r="U852" s="273">
        <v>2.2749677712899066E-3</v>
      </c>
      <c r="V852" s="218">
        <v>2.2758310056267398E-3</v>
      </c>
      <c r="W852" s="250">
        <v>3.8875526697621582E-5</v>
      </c>
      <c r="X852" s="250">
        <v>0.97034584253127298</v>
      </c>
      <c r="Z852" s="218">
        <v>844</v>
      </c>
      <c r="AA852" s="435">
        <v>0.97108167770419429</v>
      </c>
    </row>
    <row r="853" spans="1:27">
      <c r="A853" s="429">
        <v>0.68706018518518519</v>
      </c>
      <c r="B853" s="218">
        <v>453</v>
      </c>
      <c r="C853" s="218" t="s">
        <v>314</v>
      </c>
      <c r="D853" s="218">
        <v>227</v>
      </c>
      <c r="E853" s="218" t="s">
        <v>315</v>
      </c>
      <c r="F853" s="218">
        <v>22.8</v>
      </c>
      <c r="G853" s="218" t="s">
        <v>316</v>
      </c>
      <c r="H853" s="218">
        <v>796</v>
      </c>
      <c r="I853" s="218">
        <f t="shared" si="49"/>
        <v>456</v>
      </c>
      <c r="J853" s="218">
        <f t="shared" si="50"/>
        <v>2.1929824561403508E-3</v>
      </c>
      <c r="K853" s="218">
        <f t="shared" si="51"/>
        <v>4.7068101287702009E-2</v>
      </c>
      <c r="L853" s="218">
        <f t="shared" si="52"/>
        <v>435.7</v>
      </c>
      <c r="M853" s="218" t="s">
        <v>323</v>
      </c>
      <c r="P853" s="218">
        <v>848</v>
      </c>
      <c r="Q853" s="218">
        <v>437.7</v>
      </c>
      <c r="R853" s="218">
        <v>451</v>
      </c>
      <c r="S853" s="218">
        <v>431</v>
      </c>
      <c r="T853" s="218">
        <v>439.90000000000003</v>
      </c>
      <c r="U853" s="273">
        <v>2.2732439190725163E-3</v>
      </c>
      <c r="V853" s="218">
        <v>2.2741058451812117E-3</v>
      </c>
      <c r="W853" s="250">
        <v>3.8846057672552498E-5</v>
      </c>
      <c r="X853" s="250">
        <v>0.97108167770419429</v>
      </c>
      <c r="Z853" s="218">
        <v>845</v>
      </c>
      <c r="AA853" s="435">
        <v>0.97108167770419429</v>
      </c>
    </row>
    <row r="854" spans="1:27">
      <c r="A854" s="429">
        <v>0.68707175925925934</v>
      </c>
      <c r="B854" s="218">
        <v>456</v>
      </c>
      <c r="C854" s="218" t="s">
        <v>314</v>
      </c>
      <c r="D854" s="218">
        <v>228</v>
      </c>
      <c r="E854" s="218" t="s">
        <v>315</v>
      </c>
      <c r="F854" s="218">
        <v>22.8</v>
      </c>
      <c r="G854" s="218" t="s">
        <v>316</v>
      </c>
      <c r="H854" s="218">
        <v>797</v>
      </c>
      <c r="I854" s="218">
        <f t="shared" si="49"/>
        <v>453</v>
      </c>
      <c r="J854" s="218">
        <f t="shared" si="50"/>
        <v>2.2075055187637969E-3</v>
      </c>
      <c r="K854" s="218">
        <f t="shared" si="51"/>
        <v>4.7053578225078566E-2</v>
      </c>
      <c r="L854" s="218">
        <f t="shared" si="52"/>
        <v>432.7</v>
      </c>
      <c r="M854" s="218" t="s">
        <v>323</v>
      </c>
      <c r="P854" s="218">
        <v>849</v>
      </c>
      <c r="Q854" s="218">
        <v>436.7</v>
      </c>
      <c r="R854" s="218">
        <v>452</v>
      </c>
      <c r="S854" s="218">
        <v>432</v>
      </c>
      <c r="T854" s="218">
        <v>440.23333333333335</v>
      </c>
      <c r="U854" s="273">
        <v>2.2715226773680625E-3</v>
      </c>
      <c r="V854" s="218">
        <v>2.2723832982202894E-3</v>
      </c>
      <c r="W854" s="250">
        <v>3.8816633290776491E-5</v>
      </c>
      <c r="X854" s="250">
        <v>0.9718175128771156</v>
      </c>
      <c r="Z854" s="218">
        <v>846</v>
      </c>
      <c r="AA854" s="435">
        <v>0.96961000735835179</v>
      </c>
    </row>
    <row r="855" spans="1:27">
      <c r="A855" s="429">
        <v>0.68708333333333327</v>
      </c>
      <c r="B855" s="218">
        <v>454</v>
      </c>
      <c r="C855" s="218" t="s">
        <v>314</v>
      </c>
      <c r="D855" s="218">
        <v>227</v>
      </c>
      <c r="E855" s="218" t="s">
        <v>315</v>
      </c>
      <c r="F855" s="218">
        <v>22.8</v>
      </c>
      <c r="G855" s="218" t="s">
        <v>316</v>
      </c>
      <c r="H855" s="218">
        <v>798</v>
      </c>
      <c r="I855" s="218">
        <f t="shared" si="49"/>
        <v>456</v>
      </c>
      <c r="J855" s="218">
        <f t="shared" si="50"/>
        <v>2.1929824561403508E-3</v>
      </c>
      <c r="K855" s="218">
        <f t="shared" si="51"/>
        <v>4.7068101287702009E-2</v>
      </c>
      <c r="L855" s="218">
        <f t="shared" si="52"/>
        <v>435.7</v>
      </c>
      <c r="M855" s="218" t="s">
        <v>323</v>
      </c>
      <c r="P855" s="218">
        <v>850</v>
      </c>
      <c r="Q855" s="218">
        <v>437.7</v>
      </c>
      <c r="R855" s="218">
        <v>451</v>
      </c>
      <c r="S855" s="218">
        <v>432</v>
      </c>
      <c r="T855" s="218">
        <v>440.23333333333335</v>
      </c>
      <c r="U855" s="273">
        <v>2.2715226773680625E-3</v>
      </c>
      <c r="V855" s="218">
        <v>2.2715226773680625E-3</v>
      </c>
      <c r="W855" s="250">
        <v>3.8801932248021309E-5</v>
      </c>
      <c r="X855" s="250">
        <v>0.9718175128771156</v>
      </c>
      <c r="Z855" s="218">
        <v>847</v>
      </c>
      <c r="AA855" s="435">
        <v>0.97034584253127298</v>
      </c>
    </row>
    <row r="856" spans="1:27">
      <c r="A856" s="429">
        <v>0.68709490740740742</v>
      </c>
      <c r="B856" s="218">
        <v>455</v>
      </c>
      <c r="C856" s="218" t="s">
        <v>314</v>
      </c>
      <c r="D856" s="218">
        <v>228</v>
      </c>
      <c r="E856" s="218" t="s">
        <v>315</v>
      </c>
      <c r="F856" s="218">
        <v>22.8</v>
      </c>
      <c r="G856" s="218" t="s">
        <v>316</v>
      </c>
      <c r="H856" s="218">
        <v>799</v>
      </c>
      <c r="I856" s="218">
        <f t="shared" si="49"/>
        <v>454</v>
      </c>
      <c r="J856" s="218">
        <f t="shared" si="50"/>
        <v>2.2026431718061676E-3</v>
      </c>
      <c r="K856" s="218">
        <f t="shared" si="51"/>
        <v>4.7058440572036189E-2</v>
      </c>
      <c r="L856" s="218">
        <f t="shared" si="52"/>
        <v>433.7</v>
      </c>
      <c r="M856" s="218" t="s">
        <v>323</v>
      </c>
      <c r="P856" s="218">
        <v>851</v>
      </c>
      <c r="Q856" s="218">
        <v>435.7</v>
      </c>
      <c r="R856" s="218">
        <v>451</v>
      </c>
      <c r="S856" s="218">
        <v>430</v>
      </c>
      <c r="T856" s="218">
        <v>438.90000000000003</v>
      </c>
      <c r="U856" s="273">
        <v>2.27842333105491E-3</v>
      </c>
      <c r="V856" s="218">
        <v>2.2749730042114862E-3</v>
      </c>
      <c r="W856" s="250">
        <v>3.8860870399837245E-5</v>
      </c>
      <c r="X856" s="250">
        <v>0.96887417218543059</v>
      </c>
      <c r="Z856" s="218">
        <v>848</v>
      </c>
      <c r="AA856" s="435">
        <v>0.97108167770419429</v>
      </c>
    </row>
    <row r="857" spans="1:27">
      <c r="A857" s="429">
        <v>0.68710648148148146</v>
      </c>
      <c r="B857" s="218">
        <v>455</v>
      </c>
      <c r="C857" s="218" t="s">
        <v>314</v>
      </c>
      <c r="D857" s="218">
        <v>228</v>
      </c>
      <c r="E857" s="218" t="s">
        <v>315</v>
      </c>
      <c r="F857" s="218">
        <v>22.8</v>
      </c>
      <c r="G857" s="218" t="s">
        <v>316</v>
      </c>
      <c r="H857" s="218">
        <v>800</v>
      </c>
      <c r="I857" s="218">
        <f t="shared" si="49"/>
        <v>455</v>
      </c>
      <c r="J857" s="218">
        <f t="shared" si="50"/>
        <v>2.1978021978021978E-3</v>
      </c>
      <c r="K857" s="218">
        <f t="shared" si="51"/>
        <v>4.7063281546040163E-2</v>
      </c>
      <c r="L857" s="218">
        <f t="shared" si="52"/>
        <v>434.7</v>
      </c>
      <c r="M857" s="218" t="s">
        <v>323</v>
      </c>
      <c r="P857" s="218">
        <v>852</v>
      </c>
      <c r="Q857" s="218">
        <v>437.7</v>
      </c>
      <c r="R857" s="218">
        <v>452</v>
      </c>
      <c r="S857" s="218">
        <v>430</v>
      </c>
      <c r="T857" s="218">
        <v>439.90000000000003</v>
      </c>
      <c r="U857" s="273">
        <v>2.2732439190725163E-3</v>
      </c>
      <c r="V857" s="218">
        <v>2.2758336250637131E-3</v>
      </c>
      <c r="W857" s="250">
        <v>3.8875571442592426E-5</v>
      </c>
      <c r="X857" s="250">
        <v>0.97108167770419429</v>
      </c>
      <c r="Z857" s="218">
        <v>849</v>
      </c>
      <c r="AA857" s="435">
        <v>0.9718175128771156</v>
      </c>
    </row>
    <row r="858" spans="1:27">
      <c r="A858" s="429">
        <v>0.68711805555555561</v>
      </c>
      <c r="B858" s="218">
        <v>456</v>
      </c>
      <c r="C858" s="218" t="s">
        <v>314</v>
      </c>
      <c r="D858" s="218">
        <v>228</v>
      </c>
      <c r="E858" s="218" t="s">
        <v>315</v>
      </c>
      <c r="F858" s="218">
        <v>22.8</v>
      </c>
      <c r="G858" s="218" t="s">
        <v>316</v>
      </c>
      <c r="H858" s="218">
        <v>801</v>
      </c>
      <c r="I858" s="218">
        <f t="shared" si="49"/>
        <v>455</v>
      </c>
      <c r="J858" s="218">
        <f t="shared" si="50"/>
        <v>2.1978021978021978E-3</v>
      </c>
      <c r="K858" s="218">
        <f t="shared" si="51"/>
        <v>4.7063281546040163E-2</v>
      </c>
      <c r="L858" s="218">
        <f t="shared" si="52"/>
        <v>434.7</v>
      </c>
      <c r="M858" s="218" t="s">
        <v>323</v>
      </c>
      <c r="P858" s="218">
        <v>853</v>
      </c>
      <c r="Q858" s="218">
        <v>435.7</v>
      </c>
      <c r="R858" s="218">
        <v>452</v>
      </c>
      <c r="S858" s="218">
        <v>431</v>
      </c>
      <c r="T858" s="218">
        <v>439.56666666666666</v>
      </c>
      <c r="U858" s="273">
        <v>2.2749677712899066E-3</v>
      </c>
      <c r="V858" s="218">
        <v>2.2741058451812117E-3</v>
      </c>
      <c r="W858" s="250">
        <v>3.8846057672552498E-5</v>
      </c>
      <c r="X858" s="250">
        <v>0.97034584253127298</v>
      </c>
      <c r="Z858" s="218">
        <v>850</v>
      </c>
      <c r="AA858" s="435">
        <v>0.9718175128771156</v>
      </c>
    </row>
    <row r="859" spans="1:27">
      <c r="A859" s="429">
        <v>0.68712962962962953</v>
      </c>
      <c r="B859" s="218">
        <v>456</v>
      </c>
      <c r="C859" s="218" t="s">
        <v>314</v>
      </c>
      <c r="D859" s="218">
        <v>228</v>
      </c>
      <c r="E859" s="218" t="s">
        <v>315</v>
      </c>
      <c r="F859" s="218">
        <v>22.8</v>
      </c>
      <c r="G859" s="218" t="s">
        <v>316</v>
      </c>
      <c r="H859" s="218">
        <v>802</v>
      </c>
      <c r="I859" s="218">
        <f t="shared" si="49"/>
        <v>456</v>
      </c>
      <c r="J859" s="218">
        <f t="shared" si="50"/>
        <v>2.1929824561403508E-3</v>
      </c>
      <c r="K859" s="218">
        <f t="shared" si="51"/>
        <v>4.7068101287702009E-2</v>
      </c>
      <c r="L859" s="218">
        <f t="shared" si="52"/>
        <v>435.7</v>
      </c>
      <c r="M859" s="218" t="s">
        <v>323</v>
      </c>
      <c r="P859" s="218">
        <v>854</v>
      </c>
      <c r="Q859" s="218">
        <v>437.7</v>
      </c>
      <c r="R859" s="218">
        <v>452</v>
      </c>
      <c r="S859" s="218">
        <v>431</v>
      </c>
      <c r="T859" s="218">
        <v>440.23333333333335</v>
      </c>
      <c r="U859" s="273">
        <v>2.2715226773680625E-3</v>
      </c>
      <c r="V859" s="218">
        <v>2.2732452243289843E-3</v>
      </c>
      <c r="W859" s="250">
        <v>3.8831356629797316E-5</v>
      </c>
      <c r="X859" s="250">
        <v>0.9718175128771156</v>
      </c>
      <c r="Z859" s="218">
        <v>851</v>
      </c>
      <c r="AA859" s="435">
        <v>0.96887417218543059</v>
      </c>
    </row>
    <row r="860" spans="1:27">
      <c r="A860" s="429">
        <v>0.68714120370370368</v>
      </c>
      <c r="B860" s="218">
        <v>456</v>
      </c>
      <c r="C860" s="218" t="s">
        <v>314</v>
      </c>
      <c r="D860" s="218">
        <v>228</v>
      </c>
      <c r="E860" s="218" t="s">
        <v>315</v>
      </c>
      <c r="F860" s="218">
        <v>22.8</v>
      </c>
      <c r="G860" s="218" t="s">
        <v>316</v>
      </c>
      <c r="H860" s="218">
        <v>803</v>
      </c>
      <c r="I860" s="218">
        <f t="shared" si="49"/>
        <v>456</v>
      </c>
      <c r="J860" s="218">
        <f t="shared" si="50"/>
        <v>2.1929824561403508E-3</v>
      </c>
      <c r="K860" s="218">
        <f t="shared" si="51"/>
        <v>4.7068101287702009E-2</v>
      </c>
      <c r="L860" s="218">
        <f t="shared" si="52"/>
        <v>435.7</v>
      </c>
      <c r="M860" s="218" t="s">
        <v>323</v>
      </c>
      <c r="P860" s="218">
        <v>855</v>
      </c>
      <c r="Q860" s="218">
        <v>435.7</v>
      </c>
      <c r="R860" s="218">
        <v>450</v>
      </c>
      <c r="S860" s="218">
        <v>432</v>
      </c>
      <c r="T860" s="218">
        <v>439.23333333333335</v>
      </c>
      <c r="U860" s="273">
        <v>2.276694239963573E-3</v>
      </c>
      <c r="V860" s="218">
        <v>2.2741084586658175E-3</v>
      </c>
      <c r="W860" s="250">
        <v>3.8846102315845568E-5</v>
      </c>
      <c r="X860" s="250">
        <v>0.96961000735835179</v>
      </c>
      <c r="Z860" s="218">
        <v>852</v>
      </c>
      <c r="AA860" s="435">
        <v>0.97108167770419429</v>
      </c>
    </row>
    <row r="861" spans="1:27">
      <c r="A861" s="429">
        <v>0.68715277777777783</v>
      </c>
      <c r="B861" s="218">
        <v>456</v>
      </c>
      <c r="C861" s="218" t="s">
        <v>314</v>
      </c>
      <c r="D861" s="218">
        <v>228</v>
      </c>
      <c r="E861" s="218" t="s">
        <v>315</v>
      </c>
      <c r="F861" s="218">
        <v>22.8</v>
      </c>
      <c r="G861" s="218" t="s">
        <v>316</v>
      </c>
      <c r="H861" s="218">
        <v>804</v>
      </c>
      <c r="I861" s="218">
        <f t="shared" si="49"/>
        <v>456</v>
      </c>
      <c r="J861" s="218">
        <f t="shared" si="50"/>
        <v>2.1929824561403508E-3</v>
      </c>
      <c r="K861" s="218">
        <f t="shared" si="51"/>
        <v>4.7068101287702009E-2</v>
      </c>
      <c r="L861" s="218">
        <f t="shared" si="52"/>
        <v>435.7</v>
      </c>
      <c r="M861" s="218" t="s">
        <v>323</v>
      </c>
      <c r="P861" s="218">
        <v>856</v>
      </c>
      <c r="Q861" s="218">
        <v>437.7</v>
      </c>
      <c r="R861" s="218">
        <v>452</v>
      </c>
      <c r="S861" s="218">
        <v>432</v>
      </c>
      <c r="T861" s="218">
        <v>440.56666666666666</v>
      </c>
      <c r="U861" s="273">
        <v>2.2698040402511915E-3</v>
      </c>
      <c r="V861" s="218">
        <v>2.273249140107382E-3</v>
      </c>
      <c r="W861" s="250">
        <v>3.8831423518747885E-5</v>
      </c>
      <c r="X861" s="250">
        <v>0.97255334805003679</v>
      </c>
      <c r="Z861" s="218">
        <v>853</v>
      </c>
      <c r="AA861" s="435">
        <v>0.97034584253127298</v>
      </c>
    </row>
    <row r="862" spans="1:27">
      <c r="A862" s="429">
        <v>0.68716435185185187</v>
      </c>
      <c r="B862" s="218">
        <v>456</v>
      </c>
      <c r="C862" s="218" t="s">
        <v>314</v>
      </c>
      <c r="D862" s="218">
        <v>228</v>
      </c>
      <c r="E862" s="218" t="s">
        <v>315</v>
      </c>
      <c r="F862" s="218">
        <v>22.8</v>
      </c>
      <c r="G862" s="218" t="s">
        <v>316</v>
      </c>
      <c r="H862" s="218">
        <v>805</v>
      </c>
      <c r="I862" s="218">
        <f t="shared" si="49"/>
        <v>456</v>
      </c>
      <c r="J862" s="218">
        <f t="shared" si="50"/>
        <v>2.1929824561403508E-3</v>
      </c>
      <c r="K862" s="218">
        <f t="shared" si="51"/>
        <v>4.7068101287702009E-2</v>
      </c>
      <c r="L862" s="218">
        <f t="shared" si="52"/>
        <v>435.7</v>
      </c>
      <c r="M862" s="218" t="s">
        <v>323</v>
      </c>
      <c r="P862" s="218">
        <v>857</v>
      </c>
      <c r="R862" s="218">
        <v>451</v>
      </c>
      <c r="S862" s="218">
        <v>433</v>
      </c>
      <c r="T862" s="218">
        <v>442</v>
      </c>
      <c r="U862" s="273">
        <v>2.2624434389140274E-3</v>
      </c>
      <c r="V862" s="218">
        <v>2.2661237395826097E-3</v>
      </c>
      <c r="W862" s="250">
        <v>3.8709708111212277E-5</v>
      </c>
      <c r="X862" s="250">
        <v>0.97571743929359822</v>
      </c>
      <c r="Z862" s="218">
        <v>854</v>
      </c>
      <c r="AA862" s="435">
        <v>0.9718175128771156</v>
      </c>
    </row>
    <row r="863" spans="1:27">
      <c r="A863" s="429">
        <v>0.68717592592592591</v>
      </c>
      <c r="B863" s="218">
        <v>456</v>
      </c>
      <c r="C863" s="218" t="s">
        <v>314</v>
      </c>
      <c r="D863" s="218">
        <v>228</v>
      </c>
      <c r="E863" s="218" t="s">
        <v>315</v>
      </c>
      <c r="F863" s="218">
        <v>22.8</v>
      </c>
      <c r="G863" s="218" t="s">
        <v>316</v>
      </c>
      <c r="H863" s="218">
        <v>806</v>
      </c>
      <c r="I863" s="218">
        <f t="shared" si="49"/>
        <v>456</v>
      </c>
      <c r="J863" s="218">
        <f t="shared" si="50"/>
        <v>2.1929824561403508E-3</v>
      </c>
      <c r="K863" s="218">
        <f t="shared" si="51"/>
        <v>4.7068101287702009E-2</v>
      </c>
      <c r="L863" s="218">
        <f t="shared" si="52"/>
        <v>435.7</v>
      </c>
      <c r="M863" s="218" t="s">
        <v>323</v>
      </c>
      <c r="P863" s="218">
        <v>858</v>
      </c>
      <c r="R863" s="218">
        <v>452</v>
      </c>
      <c r="S863" s="218">
        <v>433</v>
      </c>
      <c r="T863" s="218">
        <v>442.5</v>
      </c>
      <c r="U863" s="273">
        <v>2.2598870056497176E-3</v>
      </c>
      <c r="V863" s="218">
        <v>2.2611652222818725E-3</v>
      </c>
      <c r="W863" s="250">
        <v>3.8625007194831032E-5</v>
      </c>
      <c r="X863" s="250">
        <v>0.97682119205298013</v>
      </c>
      <c r="Z863" s="218">
        <v>855</v>
      </c>
      <c r="AA863" s="435">
        <v>0.96961000735835179</v>
      </c>
    </row>
    <row r="864" spans="1:27">
      <c r="A864" s="429">
        <v>0.68718749999999995</v>
      </c>
      <c r="B864" s="218">
        <v>456</v>
      </c>
      <c r="C864" s="218" t="s">
        <v>314</v>
      </c>
      <c r="D864" s="218">
        <v>228</v>
      </c>
      <c r="E864" s="218" t="s">
        <v>315</v>
      </c>
      <c r="F864" s="218">
        <v>22.8</v>
      </c>
      <c r="G864" s="218" t="s">
        <v>316</v>
      </c>
      <c r="H864" s="218">
        <v>807</v>
      </c>
      <c r="I864" s="218">
        <f t="shared" si="49"/>
        <v>456</v>
      </c>
      <c r="J864" s="218">
        <f t="shared" si="50"/>
        <v>2.1929824561403508E-3</v>
      </c>
      <c r="K864" s="218">
        <f t="shared" si="51"/>
        <v>4.7068101287702009E-2</v>
      </c>
      <c r="L864" s="218">
        <f t="shared" si="52"/>
        <v>435.7</v>
      </c>
      <c r="M864" s="218" t="s">
        <v>323</v>
      </c>
      <c r="P864" s="218">
        <v>859</v>
      </c>
      <c r="R864" s="218">
        <v>451</v>
      </c>
      <c r="S864" s="218">
        <v>434</v>
      </c>
      <c r="T864" s="218">
        <v>442.5</v>
      </c>
      <c r="U864" s="273">
        <v>2.2598870056497176E-3</v>
      </c>
      <c r="V864" s="218">
        <v>2.2598870056497176E-3</v>
      </c>
      <c r="W864" s="250">
        <v>3.8603172821063459E-5</v>
      </c>
      <c r="X864" s="250">
        <v>0.97682119205298013</v>
      </c>
      <c r="Z864" s="218">
        <v>856</v>
      </c>
      <c r="AA864" s="435">
        <v>0.97255334805003679</v>
      </c>
    </row>
    <row r="865" spans="1:27">
      <c r="A865" s="429">
        <v>0.6871990740740741</v>
      </c>
      <c r="B865" s="218">
        <v>456</v>
      </c>
      <c r="C865" s="218" t="s">
        <v>314</v>
      </c>
      <c r="D865" s="218">
        <v>228</v>
      </c>
      <c r="E865" s="218" t="s">
        <v>315</v>
      </c>
      <c r="F865" s="218">
        <v>22.8</v>
      </c>
      <c r="G865" s="218" t="s">
        <v>316</v>
      </c>
      <c r="H865" s="218">
        <v>808</v>
      </c>
      <c r="I865" s="218">
        <f t="shared" si="49"/>
        <v>456</v>
      </c>
      <c r="J865" s="218">
        <f t="shared" si="50"/>
        <v>2.1929824561403508E-3</v>
      </c>
      <c r="K865" s="218">
        <f t="shared" si="51"/>
        <v>4.7068101287702009E-2</v>
      </c>
      <c r="L865" s="218">
        <f t="shared" si="52"/>
        <v>435.7</v>
      </c>
      <c r="M865" s="218" t="s">
        <v>323</v>
      </c>
      <c r="P865" s="218">
        <v>860</v>
      </c>
      <c r="R865" s="218">
        <v>451</v>
      </c>
      <c r="S865" s="218">
        <v>434</v>
      </c>
      <c r="T865" s="218">
        <v>442.5</v>
      </c>
      <c r="U865" s="273">
        <v>2.2598870056497176E-3</v>
      </c>
      <c r="V865" s="218">
        <v>2.2598870056497176E-3</v>
      </c>
      <c r="W865" s="250">
        <v>3.8603172821063459E-5</v>
      </c>
      <c r="X865" s="250">
        <v>0.97682119205298013</v>
      </c>
      <c r="Z865" s="218">
        <v>857</v>
      </c>
      <c r="AA865" s="435">
        <v>0.97571743929359822</v>
      </c>
    </row>
    <row r="866" spans="1:27">
      <c r="A866" s="429">
        <v>0.68721064814814825</v>
      </c>
      <c r="B866" s="218">
        <v>456</v>
      </c>
      <c r="C866" s="218" t="s">
        <v>314</v>
      </c>
      <c r="D866" s="218">
        <v>228</v>
      </c>
      <c r="E866" s="218" t="s">
        <v>315</v>
      </c>
      <c r="F866" s="218">
        <v>22.8</v>
      </c>
      <c r="G866" s="218" t="s">
        <v>316</v>
      </c>
      <c r="H866" s="218">
        <v>809</v>
      </c>
      <c r="I866" s="218">
        <f t="shared" si="49"/>
        <v>456</v>
      </c>
      <c r="J866" s="218">
        <f t="shared" si="50"/>
        <v>2.1929824561403508E-3</v>
      </c>
      <c r="K866" s="218">
        <f t="shared" si="51"/>
        <v>4.7068101287702009E-2</v>
      </c>
      <c r="L866" s="218">
        <f t="shared" si="52"/>
        <v>435.7</v>
      </c>
      <c r="M866" s="218" t="s">
        <v>323</v>
      </c>
      <c r="P866" s="218">
        <v>861</v>
      </c>
      <c r="R866" s="218">
        <v>452</v>
      </c>
      <c r="S866" s="218">
        <v>434</v>
      </c>
      <c r="T866" s="218">
        <v>443</v>
      </c>
      <c r="U866" s="273">
        <v>2.257336343115124E-3</v>
      </c>
      <c r="V866" s="218">
        <v>2.2586116743824208E-3</v>
      </c>
      <c r="W866" s="250">
        <v>3.8581387734821323E-5</v>
      </c>
      <c r="X866" s="250">
        <v>0.97792494481236203</v>
      </c>
      <c r="Z866" s="218">
        <v>858</v>
      </c>
      <c r="AA866" s="435">
        <v>0.97682119205298013</v>
      </c>
    </row>
    <row r="867" spans="1:27">
      <c r="A867" s="429">
        <v>0.68722222222222218</v>
      </c>
      <c r="B867" s="218">
        <v>456</v>
      </c>
      <c r="C867" s="218" t="s">
        <v>314</v>
      </c>
      <c r="D867" s="218">
        <v>228</v>
      </c>
      <c r="E867" s="218" t="s">
        <v>315</v>
      </c>
      <c r="F867" s="218">
        <v>22.8</v>
      </c>
      <c r="G867" s="218" t="s">
        <v>316</v>
      </c>
      <c r="H867" s="218">
        <v>810</v>
      </c>
      <c r="I867" s="218">
        <f t="shared" si="49"/>
        <v>456</v>
      </c>
      <c r="J867" s="218">
        <f t="shared" si="50"/>
        <v>2.1929824561403508E-3</v>
      </c>
      <c r="K867" s="218">
        <f t="shared" si="51"/>
        <v>4.7068101287702009E-2</v>
      </c>
      <c r="L867" s="218">
        <f t="shared" si="52"/>
        <v>435.7</v>
      </c>
      <c r="M867" s="218" t="s">
        <v>323</v>
      </c>
      <c r="P867" s="218">
        <v>862</v>
      </c>
      <c r="R867" s="218">
        <v>452</v>
      </c>
      <c r="S867" s="218">
        <v>434</v>
      </c>
      <c r="T867" s="218">
        <v>443</v>
      </c>
      <c r="U867" s="273">
        <v>2.257336343115124E-3</v>
      </c>
      <c r="V867" s="218">
        <v>2.257336343115124E-3</v>
      </c>
      <c r="W867" s="250">
        <v>3.8559602648579187E-5</v>
      </c>
      <c r="X867" s="250">
        <v>0.97792494481236203</v>
      </c>
      <c r="Z867" s="218">
        <v>859</v>
      </c>
      <c r="AA867" s="435">
        <v>0.97682119205298013</v>
      </c>
    </row>
    <row r="868" spans="1:27">
      <c r="A868" s="429">
        <v>0.68723379629629633</v>
      </c>
      <c r="B868" s="218">
        <v>456</v>
      </c>
      <c r="C868" s="218" t="s">
        <v>314</v>
      </c>
      <c r="D868" s="218">
        <v>228</v>
      </c>
      <c r="E868" s="218" t="s">
        <v>315</v>
      </c>
      <c r="F868" s="218">
        <v>22.8</v>
      </c>
      <c r="G868" s="218" t="s">
        <v>316</v>
      </c>
      <c r="H868" s="218">
        <v>811</v>
      </c>
      <c r="I868" s="218">
        <f t="shared" si="49"/>
        <v>456</v>
      </c>
      <c r="J868" s="218">
        <f t="shared" si="50"/>
        <v>2.1929824561403508E-3</v>
      </c>
      <c r="K868" s="218">
        <f t="shared" si="51"/>
        <v>4.7068101287702009E-2</v>
      </c>
      <c r="L868" s="218">
        <f t="shared" si="52"/>
        <v>435.7</v>
      </c>
      <c r="M868" s="218" t="s">
        <v>323</v>
      </c>
      <c r="P868" s="218">
        <v>863</v>
      </c>
      <c r="R868" s="218">
        <v>452</v>
      </c>
      <c r="S868" s="218">
        <v>437</v>
      </c>
      <c r="T868" s="218">
        <v>444.5</v>
      </c>
      <c r="U868" s="273">
        <v>2.2497187851518562E-3</v>
      </c>
      <c r="V868" s="218">
        <v>2.2535275641334899E-3</v>
      </c>
      <c r="W868" s="250">
        <v>3.8494541451759311E-5</v>
      </c>
      <c r="X868" s="250">
        <v>0.98123620309050774</v>
      </c>
      <c r="Z868" s="218">
        <v>860</v>
      </c>
      <c r="AA868" s="435">
        <v>0.97682119205298013</v>
      </c>
    </row>
    <row r="869" spans="1:27">
      <c r="A869" s="429">
        <v>0.68724537037037037</v>
      </c>
      <c r="B869" s="218">
        <v>456</v>
      </c>
      <c r="C869" s="218" t="s">
        <v>314</v>
      </c>
      <c r="D869" s="218">
        <v>228</v>
      </c>
      <c r="E869" s="218" t="s">
        <v>315</v>
      </c>
      <c r="F869" s="218">
        <v>22.8</v>
      </c>
      <c r="G869" s="218" t="s">
        <v>316</v>
      </c>
      <c r="H869" s="218">
        <v>812</v>
      </c>
      <c r="I869" s="218">
        <f t="shared" si="49"/>
        <v>456</v>
      </c>
      <c r="J869" s="218">
        <f t="shared" si="50"/>
        <v>2.1929824561403508E-3</v>
      </c>
      <c r="K869" s="218">
        <f t="shared" si="51"/>
        <v>4.7068101287702009E-2</v>
      </c>
      <c r="L869" s="218">
        <f t="shared" si="52"/>
        <v>435.7</v>
      </c>
      <c r="M869" s="218" t="s">
        <v>323</v>
      </c>
      <c r="P869" s="218">
        <v>864</v>
      </c>
      <c r="R869" s="218">
        <v>450</v>
      </c>
      <c r="S869" s="218">
        <v>437</v>
      </c>
      <c r="T869" s="218">
        <v>443.5</v>
      </c>
      <c r="U869" s="273">
        <v>2.2547914317925591E-3</v>
      </c>
      <c r="V869" s="218">
        <v>2.2522551084722077E-3</v>
      </c>
      <c r="W869" s="250">
        <v>3.8472805486342983E-5</v>
      </c>
      <c r="X869" s="250">
        <v>0.97902869757174393</v>
      </c>
      <c r="Z869" s="218">
        <v>861</v>
      </c>
      <c r="AA869" s="435">
        <v>0.97792494481236203</v>
      </c>
    </row>
    <row r="870" spans="1:27">
      <c r="A870" s="429">
        <v>0.68725694444444441</v>
      </c>
      <c r="B870" s="218">
        <v>456</v>
      </c>
      <c r="C870" s="218" t="s">
        <v>314</v>
      </c>
      <c r="D870" s="218">
        <v>228</v>
      </c>
      <c r="E870" s="218" t="s">
        <v>315</v>
      </c>
      <c r="F870" s="218">
        <v>22.8</v>
      </c>
      <c r="G870" s="218" t="s">
        <v>316</v>
      </c>
      <c r="H870" s="218">
        <v>813</v>
      </c>
      <c r="I870" s="218">
        <f t="shared" si="49"/>
        <v>456</v>
      </c>
      <c r="J870" s="218">
        <f t="shared" si="50"/>
        <v>2.1929824561403508E-3</v>
      </c>
      <c r="K870" s="218">
        <f t="shared" si="51"/>
        <v>4.7068101287702009E-2</v>
      </c>
      <c r="L870" s="218">
        <f t="shared" si="52"/>
        <v>435.7</v>
      </c>
      <c r="M870" s="218" t="s">
        <v>323</v>
      </c>
      <c r="P870" s="218">
        <v>865</v>
      </c>
      <c r="R870" s="218">
        <v>453</v>
      </c>
      <c r="S870" s="218">
        <v>436</v>
      </c>
      <c r="T870" s="218">
        <v>444.5</v>
      </c>
      <c r="U870" s="273">
        <v>2.2497187851518562E-3</v>
      </c>
      <c r="V870" s="218">
        <v>2.2522551084722077E-3</v>
      </c>
      <c r="W870" s="250">
        <v>3.8472805486342983E-5</v>
      </c>
      <c r="X870" s="250">
        <v>0.98123620309050774</v>
      </c>
      <c r="Z870" s="218">
        <v>862</v>
      </c>
      <c r="AA870" s="435">
        <v>0.97792494481236203</v>
      </c>
    </row>
    <row r="871" spans="1:27">
      <c r="A871" s="429">
        <v>0.68726851851851845</v>
      </c>
      <c r="B871" s="218">
        <v>457</v>
      </c>
      <c r="C871" s="218" t="s">
        <v>314</v>
      </c>
      <c r="D871" s="218">
        <v>229</v>
      </c>
      <c r="E871" s="218" t="s">
        <v>315</v>
      </c>
      <c r="F871" s="218">
        <v>22.8</v>
      </c>
      <c r="G871" s="218" t="s">
        <v>316</v>
      </c>
      <c r="H871" s="218">
        <v>814</v>
      </c>
      <c r="I871" s="218">
        <f t="shared" si="49"/>
        <v>456</v>
      </c>
      <c r="J871" s="218">
        <f t="shared" si="50"/>
        <v>2.1929824561403508E-3</v>
      </c>
      <c r="K871" s="218">
        <f t="shared" si="51"/>
        <v>4.7068101287702009E-2</v>
      </c>
      <c r="L871" s="218">
        <f t="shared" si="52"/>
        <v>435.7</v>
      </c>
      <c r="M871" s="218" t="s">
        <v>323</v>
      </c>
      <c r="P871" s="218">
        <v>866</v>
      </c>
      <c r="R871" s="218">
        <v>451</v>
      </c>
      <c r="S871" s="218">
        <v>436</v>
      </c>
      <c r="T871" s="218">
        <v>443.5</v>
      </c>
      <c r="U871" s="273">
        <v>2.2547914317925591E-3</v>
      </c>
      <c r="V871" s="218">
        <v>2.2522551084722077E-3</v>
      </c>
      <c r="W871" s="250">
        <v>3.8472805486342983E-5</v>
      </c>
      <c r="X871" s="250">
        <v>0.97902869757174393</v>
      </c>
      <c r="Z871" s="218">
        <v>863</v>
      </c>
      <c r="AA871" s="435">
        <v>0.98123620309050774</v>
      </c>
    </row>
    <row r="872" spans="1:27">
      <c r="A872" s="429">
        <v>0.6872800925925926</v>
      </c>
      <c r="B872" s="218">
        <v>456</v>
      </c>
      <c r="C872" s="218" t="s">
        <v>314</v>
      </c>
      <c r="D872" s="218">
        <v>228</v>
      </c>
      <c r="E872" s="218" t="s">
        <v>315</v>
      </c>
      <c r="F872" s="218">
        <v>22.8</v>
      </c>
      <c r="G872" s="218" t="s">
        <v>316</v>
      </c>
      <c r="H872" s="218">
        <v>815</v>
      </c>
      <c r="I872" s="218">
        <f t="shared" si="49"/>
        <v>457</v>
      </c>
      <c r="J872" s="218">
        <f t="shared" si="50"/>
        <v>2.1881838074398249E-3</v>
      </c>
      <c r="K872" s="218">
        <f t="shared" si="51"/>
        <v>4.7072899936402533E-2</v>
      </c>
      <c r="L872" s="218">
        <f t="shared" si="52"/>
        <v>436.7</v>
      </c>
      <c r="M872" s="218" t="s">
        <v>323</v>
      </c>
      <c r="P872" s="218">
        <v>867</v>
      </c>
      <c r="R872" s="218">
        <v>452</v>
      </c>
      <c r="S872" s="218">
        <v>437</v>
      </c>
      <c r="T872" s="218">
        <v>444.5</v>
      </c>
      <c r="U872" s="273">
        <v>2.2497187851518562E-3</v>
      </c>
      <c r="V872" s="218">
        <v>2.2522551084722077E-3</v>
      </c>
      <c r="W872" s="250">
        <v>3.8472805486342983E-5</v>
      </c>
      <c r="X872" s="250">
        <v>0.98123620309050774</v>
      </c>
      <c r="Z872" s="218">
        <v>864</v>
      </c>
      <c r="AA872" s="435">
        <v>0.97902869757174393</v>
      </c>
    </row>
    <row r="873" spans="1:27">
      <c r="A873" s="429">
        <v>0.68729166666666675</v>
      </c>
      <c r="B873" s="218">
        <v>457</v>
      </c>
      <c r="C873" s="218" t="s">
        <v>314</v>
      </c>
      <c r="D873" s="218">
        <v>229</v>
      </c>
      <c r="E873" s="218" t="s">
        <v>315</v>
      </c>
      <c r="F873" s="218">
        <v>22.8</v>
      </c>
      <c r="G873" s="218" t="s">
        <v>316</v>
      </c>
      <c r="H873" s="218">
        <v>816</v>
      </c>
      <c r="I873" s="218">
        <f t="shared" si="49"/>
        <v>456</v>
      </c>
      <c r="J873" s="218">
        <f t="shared" si="50"/>
        <v>2.1929824561403508E-3</v>
      </c>
      <c r="K873" s="218">
        <f t="shared" si="51"/>
        <v>4.7068101287702009E-2</v>
      </c>
      <c r="L873" s="218">
        <f t="shared" si="52"/>
        <v>435.7</v>
      </c>
      <c r="M873" s="218" t="s">
        <v>323</v>
      </c>
      <c r="P873" s="218">
        <v>868</v>
      </c>
      <c r="R873" s="218">
        <v>452</v>
      </c>
      <c r="S873" s="218">
        <v>437</v>
      </c>
      <c r="T873" s="218">
        <v>444.5</v>
      </c>
      <c r="U873" s="273">
        <v>2.2497187851518562E-3</v>
      </c>
      <c r="V873" s="218">
        <v>2.2497187851518562E-3</v>
      </c>
      <c r="W873" s="250">
        <v>3.8429480254939442E-5</v>
      </c>
      <c r="X873" s="250">
        <v>0.98123620309050774</v>
      </c>
      <c r="Z873" s="218">
        <v>865</v>
      </c>
      <c r="AA873" s="435">
        <v>0.98123620309050774</v>
      </c>
    </row>
    <row r="874" spans="1:27">
      <c r="A874" s="429">
        <v>0.68730324074074067</v>
      </c>
      <c r="B874" s="218">
        <v>456</v>
      </c>
      <c r="C874" s="218" t="s">
        <v>314</v>
      </c>
      <c r="D874" s="218">
        <v>228</v>
      </c>
      <c r="E874" s="218" t="s">
        <v>315</v>
      </c>
      <c r="F874" s="218">
        <v>22.8</v>
      </c>
      <c r="G874" s="218" t="s">
        <v>316</v>
      </c>
      <c r="H874" s="218">
        <v>817</v>
      </c>
      <c r="I874" s="218">
        <f t="shared" si="49"/>
        <v>457</v>
      </c>
      <c r="J874" s="218">
        <f t="shared" si="50"/>
        <v>2.1881838074398249E-3</v>
      </c>
      <c r="K874" s="218">
        <f t="shared" si="51"/>
        <v>4.7072899936402533E-2</v>
      </c>
      <c r="L874" s="218">
        <f t="shared" si="52"/>
        <v>436.7</v>
      </c>
      <c r="M874" s="218" t="s">
        <v>323</v>
      </c>
      <c r="P874" s="218">
        <v>869</v>
      </c>
      <c r="R874" s="218">
        <v>452</v>
      </c>
      <c r="S874" s="218">
        <v>438</v>
      </c>
      <c r="T874" s="218">
        <v>445</v>
      </c>
      <c r="U874" s="273">
        <v>2.2471910112359553E-3</v>
      </c>
      <c r="V874" s="218">
        <v>2.248454898193906E-3</v>
      </c>
      <c r="W874" s="250">
        <v>3.8407890659290603E-5</v>
      </c>
      <c r="X874" s="250">
        <v>0.98233995584988965</v>
      </c>
      <c r="Z874" s="218">
        <v>866</v>
      </c>
      <c r="AA874" s="435">
        <v>0.97902869757174393</v>
      </c>
    </row>
    <row r="875" spans="1:27">
      <c r="A875" s="429">
        <v>0.68731481481481482</v>
      </c>
      <c r="B875" s="218">
        <v>457</v>
      </c>
      <c r="C875" s="218" t="s">
        <v>314</v>
      </c>
      <c r="D875" s="218">
        <v>229</v>
      </c>
      <c r="E875" s="218" t="s">
        <v>315</v>
      </c>
      <c r="F875" s="218">
        <v>22.8</v>
      </c>
      <c r="G875" s="218" t="s">
        <v>316</v>
      </c>
      <c r="H875" s="218">
        <v>818</v>
      </c>
      <c r="I875" s="218">
        <f t="shared" si="49"/>
        <v>456</v>
      </c>
      <c r="J875" s="218">
        <f t="shared" si="50"/>
        <v>2.1929824561403508E-3</v>
      </c>
      <c r="K875" s="218">
        <f t="shared" si="51"/>
        <v>4.7068101287702009E-2</v>
      </c>
      <c r="L875" s="218">
        <f t="shared" si="52"/>
        <v>435.7</v>
      </c>
      <c r="M875" s="218" t="s">
        <v>323</v>
      </c>
      <c r="P875" s="218">
        <v>870</v>
      </c>
      <c r="R875" s="218">
        <v>452</v>
      </c>
      <c r="S875" s="218">
        <v>438</v>
      </c>
      <c r="T875" s="218">
        <v>445</v>
      </c>
      <c r="U875" s="273">
        <v>2.2471910112359553E-3</v>
      </c>
      <c r="V875" s="218">
        <v>2.2471910112359553E-3</v>
      </c>
      <c r="W875" s="250">
        <v>3.8386301063641758E-5</v>
      </c>
      <c r="X875" s="250">
        <v>0.98233995584988965</v>
      </c>
      <c r="Z875" s="218">
        <v>867</v>
      </c>
      <c r="AA875" s="435">
        <v>0.98123620309050774</v>
      </c>
    </row>
    <row r="876" spans="1:27">
      <c r="A876" s="429">
        <v>0.68732638888888886</v>
      </c>
      <c r="B876" s="218">
        <v>456</v>
      </c>
      <c r="C876" s="218" t="s">
        <v>314</v>
      </c>
      <c r="D876" s="218">
        <v>228</v>
      </c>
      <c r="E876" s="218" t="s">
        <v>315</v>
      </c>
      <c r="F876" s="218">
        <v>22.8</v>
      </c>
      <c r="G876" s="218" t="s">
        <v>316</v>
      </c>
      <c r="H876" s="218">
        <v>819</v>
      </c>
      <c r="I876" s="218">
        <f t="shared" si="49"/>
        <v>457</v>
      </c>
      <c r="J876" s="218">
        <f t="shared" si="50"/>
        <v>2.1881838074398249E-3</v>
      </c>
      <c r="K876" s="218">
        <f t="shared" si="51"/>
        <v>4.7072899936402533E-2</v>
      </c>
      <c r="L876" s="218">
        <f t="shared" si="52"/>
        <v>436.7</v>
      </c>
      <c r="M876" s="218" t="s">
        <v>323</v>
      </c>
      <c r="P876" s="218">
        <v>871</v>
      </c>
      <c r="R876" s="218">
        <v>452</v>
      </c>
      <c r="S876" s="218">
        <v>438</v>
      </c>
      <c r="T876" s="218">
        <v>445</v>
      </c>
      <c r="U876" s="273">
        <v>2.2471910112359553E-3</v>
      </c>
      <c r="V876" s="218">
        <v>2.2471910112359553E-3</v>
      </c>
      <c r="W876" s="250">
        <v>3.8386301063641758E-5</v>
      </c>
      <c r="X876" s="250">
        <v>0.98233995584988965</v>
      </c>
      <c r="Z876" s="218">
        <v>868</v>
      </c>
      <c r="AA876" s="435">
        <v>0.98123620309050774</v>
      </c>
    </row>
    <row r="877" spans="1:27">
      <c r="A877" s="429">
        <v>0.68733796296296301</v>
      </c>
      <c r="B877" s="218">
        <v>457</v>
      </c>
      <c r="C877" s="218" t="s">
        <v>314</v>
      </c>
      <c r="D877" s="218">
        <v>229</v>
      </c>
      <c r="E877" s="218" t="s">
        <v>315</v>
      </c>
      <c r="F877" s="218">
        <v>22.8</v>
      </c>
      <c r="G877" s="218" t="s">
        <v>316</v>
      </c>
      <c r="H877" s="218">
        <v>820</v>
      </c>
      <c r="I877" s="218">
        <f t="shared" si="49"/>
        <v>456</v>
      </c>
      <c r="J877" s="218">
        <f t="shared" si="50"/>
        <v>2.1929824561403508E-3</v>
      </c>
      <c r="K877" s="218">
        <f t="shared" si="51"/>
        <v>4.7068101287702009E-2</v>
      </c>
      <c r="L877" s="218">
        <f t="shared" si="52"/>
        <v>435.7</v>
      </c>
      <c r="M877" s="218" t="s">
        <v>323</v>
      </c>
      <c r="P877" s="218">
        <v>872</v>
      </c>
      <c r="R877" s="218">
        <v>452</v>
      </c>
      <c r="S877" s="218">
        <v>438</v>
      </c>
      <c r="T877" s="218">
        <v>445</v>
      </c>
      <c r="U877" s="273">
        <v>2.2471910112359553E-3</v>
      </c>
      <c r="V877" s="218">
        <v>2.2471910112359553E-3</v>
      </c>
      <c r="W877" s="250">
        <v>3.8386301063641758E-5</v>
      </c>
      <c r="X877" s="250">
        <v>0.98233995584988965</v>
      </c>
      <c r="Z877" s="218">
        <v>869</v>
      </c>
      <c r="AA877" s="435">
        <v>0.98233995584988965</v>
      </c>
    </row>
    <row r="878" spans="1:27">
      <c r="A878" s="429">
        <v>0.68734953703703694</v>
      </c>
      <c r="B878" s="218">
        <v>455</v>
      </c>
      <c r="C878" s="218" t="s">
        <v>314</v>
      </c>
      <c r="D878" s="218">
        <v>228</v>
      </c>
      <c r="E878" s="218" t="s">
        <v>315</v>
      </c>
      <c r="F878" s="218">
        <v>22.8</v>
      </c>
      <c r="G878" s="218" t="s">
        <v>316</v>
      </c>
      <c r="H878" s="218">
        <v>821</v>
      </c>
      <c r="I878" s="218">
        <f t="shared" si="49"/>
        <v>457</v>
      </c>
      <c r="J878" s="218">
        <f t="shared" si="50"/>
        <v>2.1881838074398249E-3</v>
      </c>
      <c r="K878" s="218">
        <f t="shared" si="51"/>
        <v>4.7072899936402533E-2</v>
      </c>
      <c r="L878" s="218">
        <f t="shared" si="52"/>
        <v>436.7</v>
      </c>
      <c r="M878" s="218" t="s">
        <v>323</v>
      </c>
      <c r="P878" s="218">
        <v>873</v>
      </c>
      <c r="R878" s="218">
        <v>451</v>
      </c>
      <c r="S878" s="218">
        <v>439</v>
      </c>
      <c r="T878" s="218">
        <v>445</v>
      </c>
      <c r="U878" s="273">
        <v>2.2471910112359553E-3</v>
      </c>
      <c r="V878" s="218">
        <v>2.2471910112359553E-3</v>
      </c>
      <c r="W878" s="250">
        <v>3.8386301063641758E-5</v>
      </c>
      <c r="X878" s="250">
        <v>0.98233995584988965</v>
      </c>
      <c r="Z878" s="218">
        <v>870</v>
      </c>
      <c r="AA878" s="435">
        <v>0.98233995584988965</v>
      </c>
    </row>
    <row r="879" spans="1:27">
      <c r="A879" s="429">
        <v>0.68736111111111109</v>
      </c>
      <c r="B879" s="218">
        <v>457</v>
      </c>
      <c r="C879" s="218" t="s">
        <v>314</v>
      </c>
      <c r="D879" s="218">
        <v>229</v>
      </c>
      <c r="E879" s="218" t="s">
        <v>315</v>
      </c>
      <c r="F879" s="218">
        <v>22.8</v>
      </c>
      <c r="G879" s="218" t="s">
        <v>316</v>
      </c>
      <c r="H879" s="218">
        <v>822</v>
      </c>
      <c r="I879" s="218">
        <f t="shared" si="49"/>
        <v>455</v>
      </c>
      <c r="J879" s="218">
        <f t="shared" si="50"/>
        <v>2.1978021978021978E-3</v>
      </c>
      <c r="K879" s="218">
        <f t="shared" si="51"/>
        <v>4.7063281546040163E-2</v>
      </c>
      <c r="L879" s="218">
        <f t="shared" si="52"/>
        <v>434.7</v>
      </c>
      <c r="M879" s="218" t="s">
        <v>323</v>
      </c>
      <c r="P879" s="218">
        <v>874</v>
      </c>
      <c r="R879" s="218">
        <v>453</v>
      </c>
      <c r="S879" s="218">
        <v>439</v>
      </c>
      <c r="T879" s="218">
        <v>446</v>
      </c>
      <c r="U879" s="273">
        <v>2.242152466367713E-3</v>
      </c>
      <c r="V879" s="218">
        <v>2.2446717388018341E-3</v>
      </c>
      <c r="W879" s="250">
        <v>3.8343267093839466E-5</v>
      </c>
      <c r="X879" s="250">
        <v>0.98454746136865345</v>
      </c>
      <c r="Z879" s="218">
        <v>871</v>
      </c>
      <c r="AA879" s="435">
        <v>0.98233995584988965</v>
      </c>
    </row>
    <row r="880" spans="1:27">
      <c r="A880" s="429">
        <v>0.68737268518518524</v>
      </c>
      <c r="B880" s="218">
        <v>455</v>
      </c>
      <c r="C880" s="218" t="s">
        <v>314</v>
      </c>
      <c r="D880" s="218">
        <v>228</v>
      </c>
      <c r="E880" s="218" t="s">
        <v>315</v>
      </c>
      <c r="F880" s="218">
        <v>22.8</v>
      </c>
      <c r="G880" s="218" t="s">
        <v>316</v>
      </c>
      <c r="H880" s="218">
        <v>823</v>
      </c>
      <c r="I880" s="218">
        <f t="shared" si="49"/>
        <v>457</v>
      </c>
      <c r="J880" s="218">
        <f t="shared" si="50"/>
        <v>2.1881838074398249E-3</v>
      </c>
      <c r="K880" s="218">
        <f t="shared" si="51"/>
        <v>4.7072899936402533E-2</v>
      </c>
      <c r="L880" s="218">
        <f t="shared" si="52"/>
        <v>436.7</v>
      </c>
      <c r="M880" s="218" t="s">
        <v>323</v>
      </c>
      <c r="P880" s="218">
        <v>875</v>
      </c>
      <c r="R880" s="218">
        <v>451</v>
      </c>
      <c r="S880" s="218">
        <v>437</v>
      </c>
      <c r="T880" s="218">
        <v>444</v>
      </c>
      <c r="U880" s="273">
        <v>2.2522522522522522E-3</v>
      </c>
      <c r="V880" s="218">
        <v>2.2472023593099826E-3</v>
      </c>
      <c r="W880" s="250">
        <v>3.8386494910352576E-5</v>
      </c>
      <c r="X880" s="250">
        <v>0.98013245033112584</v>
      </c>
      <c r="Z880" s="218">
        <v>872</v>
      </c>
      <c r="AA880" s="435">
        <v>0.98233995584988965</v>
      </c>
    </row>
    <row r="881" spans="1:27">
      <c r="A881" s="429">
        <v>0.68738425925925928</v>
      </c>
      <c r="B881" s="218">
        <v>457</v>
      </c>
      <c r="C881" s="218" t="s">
        <v>314</v>
      </c>
      <c r="D881" s="218">
        <v>229</v>
      </c>
      <c r="E881" s="218" t="s">
        <v>315</v>
      </c>
      <c r="F881" s="218">
        <v>22.8</v>
      </c>
      <c r="G881" s="218" t="s">
        <v>316</v>
      </c>
      <c r="H881" s="218">
        <v>824</v>
      </c>
      <c r="I881" s="218">
        <f t="shared" si="49"/>
        <v>455</v>
      </c>
      <c r="J881" s="218">
        <f t="shared" si="50"/>
        <v>2.1978021978021978E-3</v>
      </c>
      <c r="K881" s="218">
        <f t="shared" si="51"/>
        <v>4.7063281546040163E-2</v>
      </c>
      <c r="L881" s="218">
        <f t="shared" si="52"/>
        <v>434.7</v>
      </c>
      <c r="M881" s="218" t="s">
        <v>323</v>
      </c>
      <c r="P881" s="218">
        <v>876</v>
      </c>
      <c r="R881" s="218">
        <v>452</v>
      </c>
      <c r="S881" s="218">
        <v>437</v>
      </c>
      <c r="T881" s="218">
        <v>444.5</v>
      </c>
      <c r="U881" s="273">
        <v>2.2497187851518562E-3</v>
      </c>
      <c r="V881" s="218">
        <v>2.250985518702054E-3</v>
      </c>
      <c r="W881" s="250">
        <v>3.8451118475803707E-5</v>
      </c>
      <c r="X881" s="250">
        <v>0.98123620309050774</v>
      </c>
      <c r="Z881" s="218">
        <v>873</v>
      </c>
      <c r="AA881" s="435">
        <v>0.98233995584988965</v>
      </c>
    </row>
    <row r="882" spans="1:27">
      <c r="A882" s="429">
        <v>0.68739583333333332</v>
      </c>
      <c r="B882" s="218">
        <v>455</v>
      </c>
      <c r="C882" s="218" t="s">
        <v>314</v>
      </c>
      <c r="D882" s="218">
        <v>228</v>
      </c>
      <c r="E882" s="218" t="s">
        <v>315</v>
      </c>
      <c r="F882" s="218">
        <v>22.8</v>
      </c>
      <c r="G882" s="218" t="s">
        <v>316</v>
      </c>
      <c r="H882" s="218">
        <v>825</v>
      </c>
      <c r="I882" s="218">
        <f t="shared" si="49"/>
        <v>457</v>
      </c>
      <c r="J882" s="218">
        <f t="shared" si="50"/>
        <v>2.1881838074398249E-3</v>
      </c>
      <c r="K882" s="218">
        <f t="shared" si="51"/>
        <v>4.7072899936402533E-2</v>
      </c>
      <c r="L882" s="218">
        <f t="shared" si="52"/>
        <v>436.7</v>
      </c>
      <c r="M882" s="218" t="s">
        <v>323</v>
      </c>
      <c r="P882" s="218">
        <v>877</v>
      </c>
      <c r="R882" s="218">
        <v>452</v>
      </c>
      <c r="S882" s="218">
        <v>440</v>
      </c>
      <c r="T882" s="218">
        <v>446</v>
      </c>
      <c r="U882" s="273">
        <v>2.242152466367713E-3</v>
      </c>
      <c r="V882" s="218">
        <v>2.2459356257597844E-3</v>
      </c>
      <c r="W882" s="250">
        <v>3.8364856689488304E-5</v>
      </c>
      <c r="X882" s="250">
        <v>0.98454746136865345</v>
      </c>
      <c r="Z882" s="218">
        <v>874</v>
      </c>
      <c r="AA882" s="435">
        <v>0.98454746136865345</v>
      </c>
    </row>
    <row r="883" spans="1:27">
      <c r="A883" s="429">
        <v>0.68740740740740736</v>
      </c>
      <c r="B883" s="218">
        <v>456</v>
      </c>
      <c r="C883" s="218" t="s">
        <v>314</v>
      </c>
      <c r="D883" s="218">
        <v>228</v>
      </c>
      <c r="E883" s="218" t="s">
        <v>315</v>
      </c>
      <c r="F883" s="218">
        <v>22.8</v>
      </c>
      <c r="G883" s="218" t="s">
        <v>316</v>
      </c>
      <c r="H883" s="218">
        <v>826</v>
      </c>
      <c r="I883" s="218">
        <f t="shared" si="49"/>
        <v>455</v>
      </c>
      <c r="J883" s="218">
        <f t="shared" si="50"/>
        <v>2.1978021978021978E-3</v>
      </c>
      <c r="K883" s="218">
        <f t="shared" si="51"/>
        <v>4.7063281546040163E-2</v>
      </c>
      <c r="L883" s="218">
        <f t="shared" si="52"/>
        <v>434.7</v>
      </c>
      <c r="M883" s="218" t="s">
        <v>323</v>
      </c>
      <c r="P883" s="218">
        <v>878</v>
      </c>
      <c r="R883" s="218">
        <v>452</v>
      </c>
      <c r="S883" s="218">
        <v>440</v>
      </c>
      <c r="T883" s="218">
        <v>446</v>
      </c>
      <c r="U883" s="273">
        <v>2.242152466367713E-3</v>
      </c>
      <c r="V883" s="218">
        <v>2.242152466367713E-3</v>
      </c>
      <c r="W883" s="250">
        <v>3.830023312403718E-5</v>
      </c>
      <c r="X883" s="250">
        <v>0.98454746136865345</v>
      </c>
      <c r="Z883" s="218">
        <v>875</v>
      </c>
      <c r="AA883" s="435">
        <v>0.98013245033112584</v>
      </c>
    </row>
    <row r="884" spans="1:27">
      <c r="A884" s="429">
        <v>0.68741898148148151</v>
      </c>
      <c r="B884" s="218">
        <v>456</v>
      </c>
      <c r="C884" s="218" t="s">
        <v>314</v>
      </c>
      <c r="D884" s="218">
        <v>228</v>
      </c>
      <c r="E884" s="218" t="s">
        <v>315</v>
      </c>
      <c r="F884" s="218">
        <v>22.8</v>
      </c>
      <c r="G884" s="218" t="s">
        <v>316</v>
      </c>
      <c r="H884" s="218">
        <v>827</v>
      </c>
      <c r="I884" s="218">
        <f t="shared" si="49"/>
        <v>456</v>
      </c>
      <c r="J884" s="218">
        <f t="shared" si="50"/>
        <v>2.1929824561403508E-3</v>
      </c>
      <c r="K884" s="218">
        <f t="shared" si="51"/>
        <v>4.7068101287702009E-2</v>
      </c>
      <c r="L884" s="218">
        <f t="shared" si="52"/>
        <v>435.7</v>
      </c>
      <c r="M884" s="218" t="s">
        <v>323</v>
      </c>
      <c r="P884" s="218">
        <v>879</v>
      </c>
      <c r="R884" s="218">
        <v>453</v>
      </c>
      <c r="S884" s="218">
        <v>440</v>
      </c>
      <c r="T884" s="218">
        <v>446.5</v>
      </c>
      <c r="U884" s="273">
        <v>2.2396416573348264E-3</v>
      </c>
      <c r="V884" s="218">
        <v>2.2408970618512697E-3</v>
      </c>
      <c r="W884" s="250">
        <v>3.8278788424639623E-5</v>
      </c>
      <c r="X884" s="250">
        <v>0.98565121412803536</v>
      </c>
      <c r="Z884" s="218">
        <v>876</v>
      </c>
      <c r="AA884" s="435">
        <v>0.98123620309050774</v>
      </c>
    </row>
    <row r="885" spans="1:27">
      <c r="A885" s="429">
        <v>0.68743055555555566</v>
      </c>
      <c r="B885" s="218">
        <v>457</v>
      </c>
      <c r="C885" s="218" t="s">
        <v>314</v>
      </c>
      <c r="D885" s="218">
        <v>229</v>
      </c>
      <c r="E885" s="218" t="s">
        <v>315</v>
      </c>
      <c r="F885" s="218">
        <v>22.8</v>
      </c>
      <c r="G885" s="218" t="s">
        <v>316</v>
      </c>
      <c r="H885" s="218">
        <v>828</v>
      </c>
      <c r="I885" s="218">
        <f t="shared" si="49"/>
        <v>456</v>
      </c>
      <c r="J885" s="218">
        <f t="shared" si="50"/>
        <v>2.1929824561403508E-3</v>
      </c>
      <c r="K885" s="218">
        <f t="shared" si="51"/>
        <v>4.7068101287702009E-2</v>
      </c>
      <c r="L885" s="218">
        <f t="shared" si="52"/>
        <v>435.7</v>
      </c>
      <c r="M885" s="218" t="s">
        <v>323</v>
      </c>
      <c r="P885" s="218">
        <v>880</v>
      </c>
      <c r="R885" s="218">
        <v>452</v>
      </c>
      <c r="S885" s="218">
        <v>440</v>
      </c>
      <c r="T885" s="218">
        <v>446</v>
      </c>
      <c r="U885" s="273">
        <v>2.242152466367713E-3</v>
      </c>
      <c r="V885" s="218">
        <v>2.2408970618512697E-3</v>
      </c>
      <c r="W885" s="250">
        <v>3.8278788424639623E-5</v>
      </c>
      <c r="X885" s="250">
        <v>0.98454746136865345</v>
      </c>
      <c r="Z885" s="218">
        <v>877</v>
      </c>
      <c r="AA885" s="435">
        <v>0.98454746136865345</v>
      </c>
    </row>
    <row r="886" spans="1:27">
      <c r="A886" s="429">
        <v>0.68744212962962958</v>
      </c>
      <c r="B886" s="218">
        <v>457</v>
      </c>
      <c r="C886" s="218" t="s">
        <v>314</v>
      </c>
      <c r="D886" s="218">
        <v>229</v>
      </c>
      <c r="E886" s="218" t="s">
        <v>315</v>
      </c>
      <c r="F886" s="218">
        <v>22.8</v>
      </c>
      <c r="G886" s="218" t="s">
        <v>316</v>
      </c>
      <c r="H886" s="218">
        <v>829</v>
      </c>
      <c r="I886" s="218">
        <f t="shared" si="49"/>
        <v>457</v>
      </c>
      <c r="J886" s="218">
        <f t="shared" si="50"/>
        <v>2.1881838074398249E-3</v>
      </c>
      <c r="K886" s="218">
        <f t="shared" si="51"/>
        <v>4.7072899936402533E-2</v>
      </c>
      <c r="L886" s="218">
        <f t="shared" si="52"/>
        <v>436.7</v>
      </c>
      <c r="M886" s="218" t="s">
        <v>323</v>
      </c>
      <c r="P886" s="218">
        <v>881</v>
      </c>
      <c r="R886" s="218">
        <v>452</v>
      </c>
      <c r="S886" s="218">
        <v>441</v>
      </c>
      <c r="T886" s="218">
        <v>446.5</v>
      </c>
      <c r="U886" s="273">
        <v>2.2396416573348264E-3</v>
      </c>
      <c r="V886" s="218">
        <v>2.2408970618512697E-3</v>
      </c>
      <c r="W886" s="250">
        <v>3.8278788424639623E-5</v>
      </c>
      <c r="X886" s="250">
        <v>0.98565121412803536</v>
      </c>
      <c r="Z886" s="218">
        <v>878</v>
      </c>
      <c r="AA886" s="435">
        <v>0.98454746136865345</v>
      </c>
    </row>
    <row r="887" spans="1:27">
      <c r="A887" s="429">
        <v>0.68745370370370373</v>
      </c>
      <c r="B887" s="218">
        <v>457</v>
      </c>
      <c r="C887" s="218" t="s">
        <v>314</v>
      </c>
      <c r="D887" s="218">
        <v>229</v>
      </c>
      <c r="E887" s="218" t="s">
        <v>315</v>
      </c>
      <c r="F887" s="218">
        <v>22.8</v>
      </c>
      <c r="G887" s="218" t="s">
        <v>316</v>
      </c>
      <c r="H887" s="218">
        <v>830</v>
      </c>
      <c r="I887" s="218">
        <f t="shared" si="49"/>
        <v>457</v>
      </c>
      <c r="J887" s="218">
        <f t="shared" si="50"/>
        <v>2.1881838074398249E-3</v>
      </c>
      <c r="K887" s="218">
        <f t="shared" si="51"/>
        <v>4.7072899936402533E-2</v>
      </c>
      <c r="L887" s="218">
        <f t="shared" si="52"/>
        <v>436.7</v>
      </c>
      <c r="M887" s="218" t="s">
        <v>323</v>
      </c>
      <c r="P887" s="218">
        <v>882</v>
      </c>
      <c r="R887" s="218">
        <v>451</v>
      </c>
      <c r="S887" s="218">
        <v>441</v>
      </c>
      <c r="T887" s="218">
        <v>446</v>
      </c>
      <c r="U887" s="273">
        <v>2.242152466367713E-3</v>
      </c>
      <c r="V887" s="218">
        <v>2.2408970618512697E-3</v>
      </c>
      <c r="W887" s="250">
        <v>3.8278788424639623E-5</v>
      </c>
      <c r="X887" s="250">
        <v>0.98454746136865345</v>
      </c>
      <c r="Z887" s="218">
        <v>879</v>
      </c>
      <c r="AA887" s="435">
        <v>0.98565121412803536</v>
      </c>
    </row>
    <row r="888" spans="1:27">
      <c r="A888" s="429">
        <v>0.68746527777777777</v>
      </c>
      <c r="B888" s="218">
        <v>457</v>
      </c>
      <c r="C888" s="218" t="s">
        <v>314</v>
      </c>
      <c r="D888" s="218">
        <v>229</v>
      </c>
      <c r="E888" s="218" t="s">
        <v>315</v>
      </c>
      <c r="F888" s="218">
        <v>22.8</v>
      </c>
      <c r="G888" s="218" t="s">
        <v>316</v>
      </c>
      <c r="H888" s="218">
        <v>831</v>
      </c>
      <c r="I888" s="218">
        <f t="shared" si="49"/>
        <v>457</v>
      </c>
      <c r="J888" s="218">
        <f t="shared" si="50"/>
        <v>2.1881838074398249E-3</v>
      </c>
      <c r="K888" s="218">
        <f t="shared" si="51"/>
        <v>4.7072899936402533E-2</v>
      </c>
      <c r="L888" s="218">
        <f t="shared" si="52"/>
        <v>436.7</v>
      </c>
      <c r="M888" s="218" t="s">
        <v>323</v>
      </c>
      <c r="P888" s="218">
        <v>883</v>
      </c>
      <c r="R888" s="218">
        <v>453</v>
      </c>
      <c r="S888" s="218">
        <v>442</v>
      </c>
      <c r="T888" s="218">
        <v>447.5</v>
      </c>
      <c r="U888" s="273">
        <v>2.2346368715083797E-3</v>
      </c>
      <c r="V888" s="218">
        <v>2.2383946689380463E-3</v>
      </c>
      <c r="W888" s="250">
        <v>3.8236042789192421E-5</v>
      </c>
      <c r="X888" s="250">
        <v>0.98785871964679917</v>
      </c>
      <c r="Z888" s="218">
        <v>880</v>
      </c>
      <c r="AA888" s="435">
        <v>0.98454746136865345</v>
      </c>
    </row>
    <row r="889" spans="1:27">
      <c r="A889" s="429">
        <v>0.68747685185185192</v>
      </c>
      <c r="B889" s="218">
        <v>457</v>
      </c>
      <c r="C889" s="218" t="s">
        <v>314</v>
      </c>
      <c r="D889" s="218">
        <v>229</v>
      </c>
      <c r="E889" s="218" t="s">
        <v>315</v>
      </c>
      <c r="F889" s="218">
        <v>22.8</v>
      </c>
      <c r="G889" s="218" t="s">
        <v>316</v>
      </c>
      <c r="H889" s="218">
        <v>832</v>
      </c>
      <c r="I889" s="218">
        <f t="shared" si="49"/>
        <v>457</v>
      </c>
      <c r="J889" s="218">
        <f t="shared" si="50"/>
        <v>2.1881838074398249E-3</v>
      </c>
      <c r="K889" s="218">
        <f t="shared" si="51"/>
        <v>4.7072899936402533E-2</v>
      </c>
      <c r="L889" s="218">
        <f t="shared" si="52"/>
        <v>436.7</v>
      </c>
      <c r="M889" s="218" t="s">
        <v>323</v>
      </c>
      <c r="P889" s="218">
        <v>884</v>
      </c>
      <c r="R889" s="218">
        <v>451</v>
      </c>
      <c r="S889" s="218">
        <v>442</v>
      </c>
      <c r="T889" s="218">
        <v>446.5</v>
      </c>
      <c r="U889" s="273">
        <v>2.2396416573348264E-3</v>
      </c>
      <c r="V889" s="218">
        <v>2.2371392644216031E-3</v>
      </c>
      <c r="W889" s="250">
        <v>3.8214598089794864E-5</v>
      </c>
      <c r="X889" s="250">
        <v>0.98565121412803536</v>
      </c>
      <c r="Z889" s="218">
        <v>881</v>
      </c>
      <c r="AA889" s="435">
        <v>0.98565121412803536</v>
      </c>
    </row>
    <row r="890" spans="1:27">
      <c r="A890" s="429">
        <v>0.68748842592592585</v>
      </c>
      <c r="B890" s="218">
        <v>457</v>
      </c>
      <c r="C890" s="218" t="s">
        <v>314</v>
      </c>
      <c r="D890" s="218">
        <v>229</v>
      </c>
      <c r="E890" s="218" t="s">
        <v>315</v>
      </c>
      <c r="F890" s="218">
        <v>22.8</v>
      </c>
      <c r="G890" s="218" t="s">
        <v>316</v>
      </c>
      <c r="H890" s="218">
        <v>833</v>
      </c>
      <c r="I890" s="218">
        <f t="shared" ref="I890:I913" si="53">B889</f>
        <v>457</v>
      </c>
      <c r="J890" s="218">
        <f t="shared" ref="J890:J913" si="54">1/I890</f>
        <v>2.1881838074398249E-3</v>
      </c>
      <c r="K890" s="218">
        <f t="shared" ref="K890:K914" si="55">$J$57-J890</f>
        <v>4.7072899936402533E-2</v>
      </c>
      <c r="L890" s="218">
        <f t="shared" ref="L890:L913" si="56">(B889-$J$55)</f>
        <v>436.7</v>
      </c>
      <c r="M890" s="218" t="s">
        <v>323</v>
      </c>
      <c r="P890" s="218">
        <v>885</v>
      </c>
      <c r="R890" s="218">
        <v>452</v>
      </c>
      <c r="S890" s="218">
        <v>441</v>
      </c>
      <c r="T890" s="218">
        <v>446.5</v>
      </c>
      <c r="U890" s="273">
        <v>2.2396416573348264E-3</v>
      </c>
      <c r="V890" s="218">
        <v>2.2396416573348264E-3</v>
      </c>
      <c r="W890" s="250">
        <v>3.8257343725242066E-5</v>
      </c>
      <c r="X890" s="250">
        <v>0.98565121412803536</v>
      </c>
      <c r="Z890" s="218">
        <v>882</v>
      </c>
      <c r="AA890" s="435">
        <v>0.98454746136865345</v>
      </c>
    </row>
    <row r="891" spans="1:27">
      <c r="A891" s="429">
        <v>0.6875</v>
      </c>
      <c r="B891" s="218">
        <v>457</v>
      </c>
      <c r="C891" s="218" t="s">
        <v>314</v>
      </c>
      <c r="D891" s="218">
        <v>229</v>
      </c>
      <c r="E891" s="218" t="s">
        <v>315</v>
      </c>
      <c r="F891" s="218">
        <v>22.8</v>
      </c>
      <c r="G891" s="218" t="s">
        <v>316</v>
      </c>
      <c r="H891" s="218">
        <v>834</v>
      </c>
      <c r="I891" s="218">
        <f t="shared" si="53"/>
        <v>457</v>
      </c>
      <c r="J891" s="218">
        <f t="shared" si="54"/>
        <v>2.1881838074398249E-3</v>
      </c>
      <c r="K891" s="218">
        <f t="shared" si="55"/>
        <v>4.7072899936402533E-2</v>
      </c>
      <c r="L891" s="218">
        <f t="shared" si="56"/>
        <v>436.7</v>
      </c>
      <c r="M891" s="218" t="s">
        <v>323</v>
      </c>
      <c r="P891" s="218">
        <v>886</v>
      </c>
      <c r="R891" s="218">
        <v>452</v>
      </c>
      <c r="S891" s="218">
        <v>441</v>
      </c>
      <c r="T891" s="218">
        <v>446.5</v>
      </c>
      <c r="U891" s="273">
        <v>2.2396416573348264E-3</v>
      </c>
      <c r="V891" s="218">
        <v>2.2396416573348264E-3</v>
      </c>
      <c r="W891" s="250">
        <v>3.8257343725242066E-5</v>
      </c>
      <c r="X891" s="250">
        <v>0.98565121412803536</v>
      </c>
      <c r="Z891" s="218">
        <v>883</v>
      </c>
      <c r="AA891" s="435">
        <v>0.98785871964679917</v>
      </c>
    </row>
    <row r="892" spans="1:27">
      <c r="A892" s="429">
        <v>0.68751157407407415</v>
      </c>
      <c r="B892" s="218">
        <v>457</v>
      </c>
      <c r="C892" s="218" t="s">
        <v>314</v>
      </c>
      <c r="D892" s="218">
        <v>229</v>
      </c>
      <c r="E892" s="218" t="s">
        <v>315</v>
      </c>
      <c r="F892" s="218">
        <v>22.8</v>
      </c>
      <c r="G892" s="218" t="s">
        <v>316</v>
      </c>
      <c r="H892" s="218">
        <v>835</v>
      </c>
      <c r="I892" s="218">
        <f t="shared" si="53"/>
        <v>457</v>
      </c>
      <c r="J892" s="218">
        <f t="shared" si="54"/>
        <v>2.1881838074398249E-3</v>
      </c>
      <c r="K892" s="218">
        <f t="shared" si="55"/>
        <v>4.7072899936402533E-2</v>
      </c>
      <c r="L892" s="218">
        <f t="shared" si="56"/>
        <v>436.7</v>
      </c>
      <c r="M892" s="218" t="s">
        <v>323</v>
      </c>
      <c r="P892" s="218">
        <v>887</v>
      </c>
      <c r="R892" s="218">
        <v>452</v>
      </c>
      <c r="S892" s="218">
        <v>443</v>
      </c>
      <c r="T892" s="218">
        <v>447.5</v>
      </c>
      <c r="U892" s="273">
        <v>2.2346368715083797E-3</v>
      </c>
      <c r="V892" s="218">
        <v>2.2371392644216031E-3</v>
      </c>
      <c r="W892" s="250">
        <v>3.8214598089794864E-5</v>
      </c>
      <c r="X892" s="250">
        <v>0.98785871964679917</v>
      </c>
      <c r="Z892" s="218">
        <v>884</v>
      </c>
      <c r="AA892" s="435">
        <v>0.98565121412803536</v>
      </c>
    </row>
    <row r="893" spans="1:27">
      <c r="A893" s="429">
        <v>0.68752314814814808</v>
      </c>
      <c r="B893" s="218">
        <v>457</v>
      </c>
      <c r="C893" s="218" t="s">
        <v>314</v>
      </c>
      <c r="D893" s="218">
        <v>229</v>
      </c>
      <c r="E893" s="218" t="s">
        <v>315</v>
      </c>
      <c r="F893" s="218">
        <v>22.8</v>
      </c>
      <c r="G893" s="218" t="s">
        <v>316</v>
      </c>
      <c r="H893" s="218">
        <v>836</v>
      </c>
      <c r="I893" s="218">
        <f t="shared" si="53"/>
        <v>457</v>
      </c>
      <c r="J893" s="218">
        <f t="shared" si="54"/>
        <v>2.1881838074398249E-3</v>
      </c>
      <c r="K893" s="218">
        <f t="shared" si="55"/>
        <v>4.7072899936402533E-2</v>
      </c>
      <c r="L893" s="218">
        <f t="shared" si="56"/>
        <v>436.7</v>
      </c>
      <c r="M893" s="218" t="s">
        <v>323</v>
      </c>
      <c r="P893" s="218">
        <v>888</v>
      </c>
      <c r="R893" s="218">
        <v>453</v>
      </c>
      <c r="S893" s="218">
        <v>443</v>
      </c>
      <c r="T893" s="218">
        <v>448</v>
      </c>
      <c r="U893" s="273">
        <v>2.232142857142857E-3</v>
      </c>
      <c r="V893" s="218">
        <v>2.2333898643256186E-3</v>
      </c>
      <c r="W893" s="250">
        <v>3.8150551197397701E-5</v>
      </c>
      <c r="X893" s="250">
        <v>0.98896247240618107</v>
      </c>
      <c r="Z893" s="218">
        <v>885</v>
      </c>
      <c r="AA893" s="435">
        <v>0.98565121412803536</v>
      </c>
    </row>
    <row r="894" spans="1:27">
      <c r="A894" s="429">
        <v>0.68753472222222223</v>
      </c>
      <c r="B894" s="218">
        <v>456</v>
      </c>
      <c r="C894" s="218" t="s">
        <v>314</v>
      </c>
      <c r="D894" s="218">
        <v>228</v>
      </c>
      <c r="E894" s="218" t="s">
        <v>315</v>
      </c>
      <c r="F894" s="218">
        <v>22.8</v>
      </c>
      <c r="G894" s="218" t="s">
        <v>316</v>
      </c>
      <c r="H894" s="218">
        <v>837</v>
      </c>
      <c r="I894" s="218">
        <f t="shared" si="53"/>
        <v>457</v>
      </c>
      <c r="J894" s="218">
        <f t="shared" si="54"/>
        <v>2.1881838074398249E-3</v>
      </c>
      <c r="K894" s="218">
        <f t="shared" si="55"/>
        <v>4.7072899936402533E-2</v>
      </c>
      <c r="L894" s="218">
        <f t="shared" si="56"/>
        <v>436.7</v>
      </c>
      <c r="M894" s="218" t="s">
        <v>323</v>
      </c>
      <c r="P894" s="218">
        <v>889</v>
      </c>
      <c r="R894" s="218">
        <v>452</v>
      </c>
      <c r="S894" s="218">
        <v>443</v>
      </c>
      <c r="T894" s="218">
        <v>447.5</v>
      </c>
      <c r="U894" s="273">
        <v>2.2346368715083797E-3</v>
      </c>
      <c r="V894" s="218">
        <v>2.2333898643256186E-3</v>
      </c>
      <c r="W894" s="250">
        <v>3.8150551197397701E-5</v>
      </c>
      <c r="X894" s="250">
        <v>0.98785871964679917</v>
      </c>
      <c r="Z894" s="218">
        <v>886</v>
      </c>
      <c r="AA894" s="435">
        <v>0.98565121412803536</v>
      </c>
    </row>
    <row r="895" spans="1:27">
      <c r="A895" s="429">
        <v>0.68754629629629627</v>
      </c>
      <c r="B895" s="218">
        <v>457</v>
      </c>
      <c r="C895" s="218" t="s">
        <v>314</v>
      </c>
      <c r="D895" s="218">
        <v>229</v>
      </c>
      <c r="E895" s="218" t="s">
        <v>315</v>
      </c>
      <c r="F895" s="218">
        <v>22.8</v>
      </c>
      <c r="G895" s="218" t="s">
        <v>316</v>
      </c>
      <c r="H895" s="218">
        <v>838</v>
      </c>
      <c r="I895" s="218">
        <f t="shared" si="53"/>
        <v>456</v>
      </c>
      <c r="J895" s="218">
        <f t="shared" si="54"/>
        <v>2.1929824561403508E-3</v>
      </c>
      <c r="K895" s="218">
        <f t="shared" si="55"/>
        <v>4.7068101287702009E-2</v>
      </c>
      <c r="L895" s="218">
        <f t="shared" si="56"/>
        <v>435.7</v>
      </c>
      <c r="M895" s="218" t="s">
        <v>323</v>
      </c>
      <c r="P895" s="218">
        <v>890</v>
      </c>
      <c r="R895" s="218">
        <v>453</v>
      </c>
      <c r="S895" s="218">
        <v>443</v>
      </c>
      <c r="T895" s="218">
        <v>448</v>
      </c>
      <c r="U895" s="273">
        <v>2.232142857142857E-3</v>
      </c>
      <c r="V895" s="218">
        <v>2.2333898643256186E-3</v>
      </c>
      <c r="W895" s="250">
        <v>3.8150551197397701E-5</v>
      </c>
      <c r="X895" s="250">
        <v>0.98896247240618107</v>
      </c>
      <c r="Z895" s="218">
        <v>887</v>
      </c>
      <c r="AA895" s="435">
        <v>0.98785871964679917</v>
      </c>
    </row>
    <row r="896" spans="1:27">
      <c r="A896" s="429">
        <v>0.68755787037037042</v>
      </c>
      <c r="B896" s="218">
        <v>457</v>
      </c>
      <c r="C896" s="218" t="s">
        <v>314</v>
      </c>
      <c r="D896" s="218">
        <v>229</v>
      </c>
      <c r="E896" s="218" t="s">
        <v>315</v>
      </c>
      <c r="F896" s="218">
        <v>22.8</v>
      </c>
      <c r="G896" s="218" t="s">
        <v>316</v>
      </c>
      <c r="H896" s="218">
        <v>839</v>
      </c>
      <c r="I896" s="218">
        <f t="shared" si="53"/>
        <v>457</v>
      </c>
      <c r="J896" s="218">
        <f t="shared" si="54"/>
        <v>2.1881838074398249E-3</v>
      </c>
      <c r="K896" s="218">
        <f t="shared" si="55"/>
        <v>4.7072899936402533E-2</v>
      </c>
      <c r="L896" s="218">
        <f t="shared" si="56"/>
        <v>436.7</v>
      </c>
      <c r="M896" s="218" t="s">
        <v>323</v>
      </c>
      <c r="P896" s="218">
        <v>891</v>
      </c>
      <c r="R896" s="218">
        <v>451</v>
      </c>
      <c r="S896" s="218">
        <v>444</v>
      </c>
      <c r="T896" s="218">
        <v>447.5</v>
      </c>
      <c r="U896" s="273">
        <v>2.2346368715083797E-3</v>
      </c>
      <c r="V896" s="218">
        <v>2.2333898643256186E-3</v>
      </c>
      <c r="W896" s="250">
        <v>3.8150551197397701E-5</v>
      </c>
      <c r="X896" s="250">
        <v>0.98785871964679917</v>
      </c>
      <c r="Z896" s="218">
        <v>888</v>
      </c>
      <c r="AA896" s="435">
        <v>0.98896247240618107</v>
      </c>
    </row>
    <row r="897" spans="1:27">
      <c r="A897" s="429">
        <v>0.68756944444444434</v>
      </c>
      <c r="B897" s="218">
        <v>457</v>
      </c>
      <c r="C897" s="218" t="s">
        <v>314</v>
      </c>
      <c r="D897" s="218">
        <v>229</v>
      </c>
      <c r="E897" s="218" t="s">
        <v>315</v>
      </c>
      <c r="F897" s="218">
        <v>22.8</v>
      </c>
      <c r="G897" s="218" t="s">
        <v>316</v>
      </c>
      <c r="H897" s="218">
        <v>840</v>
      </c>
      <c r="I897" s="218">
        <f t="shared" si="53"/>
        <v>457</v>
      </c>
      <c r="J897" s="218">
        <f t="shared" si="54"/>
        <v>2.1881838074398249E-3</v>
      </c>
      <c r="K897" s="218">
        <f t="shared" si="55"/>
        <v>4.7072899936402533E-2</v>
      </c>
      <c r="L897" s="218">
        <f t="shared" si="56"/>
        <v>436.7</v>
      </c>
      <c r="M897" s="218" t="s">
        <v>323</v>
      </c>
      <c r="P897" s="218">
        <v>892</v>
      </c>
      <c r="R897" s="218">
        <v>453</v>
      </c>
      <c r="S897" s="218">
        <v>444</v>
      </c>
      <c r="T897" s="218">
        <v>448.5</v>
      </c>
      <c r="U897" s="273">
        <v>2.229654403567447E-3</v>
      </c>
      <c r="V897" s="218">
        <v>2.2321456375379136E-3</v>
      </c>
      <c r="W897" s="250">
        <v>3.812929743488909E-5</v>
      </c>
      <c r="X897" s="250">
        <v>0.99006622516556286</v>
      </c>
      <c r="Z897" s="218">
        <v>889</v>
      </c>
      <c r="AA897" s="435">
        <v>0.98785871964679917</v>
      </c>
    </row>
    <row r="898" spans="1:27">
      <c r="A898" s="429">
        <v>0.68758101851851849</v>
      </c>
      <c r="B898" s="218">
        <v>457</v>
      </c>
      <c r="C898" s="218" t="s">
        <v>314</v>
      </c>
      <c r="D898" s="218">
        <v>229</v>
      </c>
      <c r="E898" s="218" t="s">
        <v>315</v>
      </c>
      <c r="F898" s="218">
        <v>22.8</v>
      </c>
      <c r="G898" s="218" t="s">
        <v>316</v>
      </c>
      <c r="H898" s="218">
        <v>841</v>
      </c>
      <c r="I898" s="218">
        <f t="shared" si="53"/>
        <v>457</v>
      </c>
      <c r="J898" s="218">
        <f t="shared" si="54"/>
        <v>2.1881838074398249E-3</v>
      </c>
      <c r="K898" s="218">
        <f t="shared" si="55"/>
        <v>4.7072899936402533E-2</v>
      </c>
      <c r="L898" s="218">
        <f t="shared" si="56"/>
        <v>436.7</v>
      </c>
      <c r="M898" s="218" t="s">
        <v>323</v>
      </c>
      <c r="P898" s="218">
        <v>893</v>
      </c>
      <c r="R898" s="218">
        <v>452</v>
      </c>
      <c r="S898" s="218">
        <v>444</v>
      </c>
      <c r="T898" s="218">
        <v>448</v>
      </c>
      <c r="U898" s="273">
        <v>2.232142857142857E-3</v>
      </c>
      <c r="V898" s="218">
        <v>2.230898630355152E-3</v>
      </c>
      <c r="W898" s="250">
        <v>3.8107996177939116E-5</v>
      </c>
      <c r="X898" s="250">
        <v>0.98896247240618107</v>
      </c>
      <c r="Z898" s="218">
        <v>890</v>
      </c>
      <c r="AA898" s="435">
        <v>0.98896247240618107</v>
      </c>
    </row>
    <row r="899" spans="1:27">
      <c r="A899" s="429">
        <v>0.68759259259259264</v>
      </c>
      <c r="B899" s="218">
        <v>457</v>
      </c>
      <c r="C899" s="218" t="s">
        <v>314</v>
      </c>
      <c r="D899" s="218">
        <v>229</v>
      </c>
      <c r="E899" s="218" t="s">
        <v>315</v>
      </c>
      <c r="F899" s="218">
        <v>22.8</v>
      </c>
      <c r="G899" s="218" t="s">
        <v>316</v>
      </c>
      <c r="H899" s="218">
        <v>842</v>
      </c>
      <c r="I899" s="218">
        <f t="shared" si="53"/>
        <v>457</v>
      </c>
      <c r="J899" s="218">
        <f t="shared" si="54"/>
        <v>2.1881838074398249E-3</v>
      </c>
      <c r="K899" s="218">
        <f t="shared" si="55"/>
        <v>4.7072899936402533E-2</v>
      </c>
      <c r="L899" s="218">
        <f t="shared" si="56"/>
        <v>436.7</v>
      </c>
      <c r="M899" s="218" t="s">
        <v>323</v>
      </c>
      <c r="P899" s="218">
        <v>894</v>
      </c>
      <c r="R899" s="218">
        <v>453</v>
      </c>
      <c r="S899" s="218">
        <v>445</v>
      </c>
      <c r="T899" s="218">
        <v>449</v>
      </c>
      <c r="U899" s="273">
        <v>2.2271714922048997E-3</v>
      </c>
      <c r="V899" s="218">
        <v>2.2296571746738781E-3</v>
      </c>
      <c r="W899" s="250">
        <v>3.8086789751204464E-5</v>
      </c>
      <c r="X899" s="250">
        <v>0.99116997792494477</v>
      </c>
      <c r="Z899" s="218">
        <v>891</v>
      </c>
      <c r="AA899" s="435">
        <v>0.98785871964679917</v>
      </c>
    </row>
    <row r="900" spans="1:27">
      <c r="A900" s="429">
        <v>0.68760416666666668</v>
      </c>
      <c r="B900" s="218">
        <v>458</v>
      </c>
      <c r="C900" s="218" t="s">
        <v>314</v>
      </c>
      <c r="D900" s="218">
        <v>229</v>
      </c>
      <c r="E900" s="218" t="s">
        <v>315</v>
      </c>
      <c r="F900" s="218">
        <v>22.8</v>
      </c>
      <c r="G900" s="218" t="s">
        <v>316</v>
      </c>
      <c r="H900" s="218">
        <v>843</v>
      </c>
      <c r="I900" s="218">
        <f t="shared" si="53"/>
        <v>457</v>
      </c>
      <c r="J900" s="218">
        <f t="shared" si="54"/>
        <v>2.1881838074398249E-3</v>
      </c>
      <c r="K900" s="218">
        <f t="shared" si="55"/>
        <v>4.7072899936402533E-2</v>
      </c>
      <c r="L900" s="218">
        <f t="shared" si="56"/>
        <v>436.7</v>
      </c>
      <c r="M900" s="218" t="s">
        <v>323</v>
      </c>
      <c r="P900" s="218">
        <v>895</v>
      </c>
      <c r="R900" s="218">
        <v>452</v>
      </c>
      <c r="S900" s="218">
        <v>445</v>
      </c>
      <c r="T900" s="218">
        <v>448.5</v>
      </c>
      <c r="U900" s="273">
        <v>2.229654403567447E-3</v>
      </c>
      <c r="V900" s="218">
        <v>2.2284129478861731E-3</v>
      </c>
      <c r="W900" s="250">
        <v>3.8065535988695853E-5</v>
      </c>
      <c r="X900" s="250">
        <v>0.99006622516556286</v>
      </c>
      <c r="Z900" s="218">
        <v>892</v>
      </c>
      <c r="AA900" s="435">
        <v>0.99006622516556286</v>
      </c>
    </row>
    <row r="901" spans="1:27">
      <c r="A901" s="429">
        <v>0.68761574074074072</v>
      </c>
      <c r="B901" s="218">
        <v>457</v>
      </c>
      <c r="C901" s="218" t="s">
        <v>314</v>
      </c>
      <c r="D901" s="218">
        <v>229</v>
      </c>
      <c r="E901" s="218" t="s">
        <v>315</v>
      </c>
      <c r="F901" s="218">
        <v>22.8</v>
      </c>
      <c r="G901" s="218" t="s">
        <v>316</v>
      </c>
      <c r="H901" s="218">
        <v>844</v>
      </c>
      <c r="I901" s="218">
        <f t="shared" si="53"/>
        <v>458</v>
      </c>
      <c r="J901" s="218">
        <f t="shared" si="54"/>
        <v>2.1834061135371178E-3</v>
      </c>
      <c r="K901" s="218">
        <f t="shared" si="55"/>
        <v>4.7077677630305244E-2</v>
      </c>
      <c r="L901" s="218">
        <f t="shared" si="56"/>
        <v>437.7</v>
      </c>
      <c r="M901" s="218" t="s">
        <v>323</v>
      </c>
      <c r="P901" s="218">
        <v>896</v>
      </c>
      <c r="R901" s="218">
        <v>452</v>
      </c>
      <c r="S901" s="218">
        <v>443</v>
      </c>
      <c r="T901" s="218">
        <v>447.5</v>
      </c>
      <c r="U901" s="273">
        <v>2.2346368715083797E-3</v>
      </c>
      <c r="V901" s="218">
        <v>2.2321456375379136E-3</v>
      </c>
      <c r="W901" s="250">
        <v>3.812929743488909E-5</v>
      </c>
      <c r="X901" s="250">
        <v>0.98785871964679917</v>
      </c>
      <c r="Z901" s="218">
        <v>893</v>
      </c>
      <c r="AA901" s="435">
        <v>0.98896247240618107</v>
      </c>
    </row>
    <row r="902" spans="1:27">
      <c r="A902" s="429">
        <v>0.68762731481481476</v>
      </c>
      <c r="B902" s="218">
        <v>458</v>
      </c>
      <c r="C902" s="218" t="s">
        <v>314</v>
      </c>
      <c r="D902" s="218">
        <v>229</v>
      </c>
      <c r="E902" s="218" t="s">
        <v>315</v>
      </c>
      <c r="F902" s="218">
        <v>22.8</v>
      </c>
      <c r="G902" s="218" t="s">
        <v>316</v>
      </c>
      <c r="H902" s="218">
        <v>845</v>
      </c>
      <c r="I902" s="218">
        <f t="shared" si="53"/>
        <v>457</v>
      </c>
      <c r="J902" s="218">
        <f t="shared" si="54"/>
        <v>2.1881838074398249E-3</v>
      </c>
      <c r="K902" s="218">
        <f t="shared" si="55"/>
        <v>4.7072899936402533E-2</v>
      </c>
      <c r="L902" s="218">
        <f t="shared" si="56"/>
        <v>436.7</v>
      </c>
      <c r="M902" s="218" t="s">
        <v>323</v>
      </c>
      <c r="P902" s="218">
        <v>897</v>
      </c>
      <c r="R902" s="218">
        <v>453</v>
      </c>
      <c r="S902" s="218">
        <v>443</v>
      </c>
      <c r="T902" s="218">
        <v>448</v>
      </c>
      <c r="U902" s="273">
        <v>2.232142857142857E-3</v>
      </c>
      <c r="V902" s="218">
        <v>2.2333898643256186E-3</v>
      </c>
      <c r="W902" s="250">
        <v>3.8150551197397701E-5</v>
      </c>
      <c r="X902" s="250">
        <v>0.98896247240618107</v>
      </c>
      <c r="Z902" s="218">
        <v>894</v>
      </c>
      <c r="AA902" s="435">
        <v>0.99116997792494477</v>
      </c>
    </row>
    <row r="903" spans="1:27">
      <c r="A903" s="429">
        <v>0.68763888888888891</v>
      </c>
      <c r="B903" s="218">
        <v>457</v>
      </c>
      <c r="C903" s="218" t="s">
        <v>314</v>
      </c>
      <c r="D903" s="218">
        <v>229</v>
      </c>
      <c r="E903" s="218" t="s">
        <v>315</v>
      </c>
      <c r="F903" s="218">
        <v>22.8</v>
      </c>
      <c r="G903" s="218" t="s">
        <v>316</v>
      </c>
      <c r="H903" s="218">
        <v>846</v>
      </c>
      <c r="I903" s="218">
        <f t="shared" si="53"/>
        <v>458</v>
      </c>
      <c r="J903" s="218">
        <f t="shared" si="54"/>
        <v>2.1834061135371178E-3</v>
      </c>
      <c r="K903" s="218">
        <f t="shared" si="55"/>
        <v>4.7077677630305244E-2</v>
      </c>
      <c r="L903" s="218">
        <f t="shared" si="56"/>
        <v>437.7</v>
      </c>
      <c r="M903" s="218" t="s">
        <v>323</v>
      </c>
      <c r="P903" s="218">
        <v>898</v>
      </c>
      <c r="R903" s="218">
        <v>453</v>
      </c>
      <c r="S903" s="218">
        <v>444</v>
      </c>
      <c r="T903" s="218">
        <v>448.5</v>
      </c>
      <c r="U903" s="273">
        <v>2.229654403567447E-3</v>
      </c>
      <c r="V903" s="218">
        <v>2.230898630355152E-3</v>
      </c>
      <c r="W903" s="250">
        <v>3.8107996177939116E-5</v>
      </c>
      <c r="X903" s="250">
        <v>0.99006622516556286</v>
      </c>
      <c r="Z903" s="218">
        <v>895</v>
      </c>
      <c r="AA903" s="435">
        <v>0.99006622516556286</v>
      </c>
    </row>
    <row r="904" spans="1:27">
      <c r="A904" s="429">
        <v>0.68765046296296306</v>
      </c>
      <c r="B904" s="218">
        <v>458</v>
      </c>
      <c r="C904" s="218" t="s">
        <v>314</v>
      </c>
      <c r="D904" s="218">
        <v>229</v>
      </c>
      <c r="E904" s="218" t="s">
        <v>315</v>
      </c>
      <c r="F904" s="218">
        <v>22.8</v>
      </c>
      <c r="G904" s="218" t="s">
        <v>316</v>
      </c>
      <c r="H904" s="218">
        <v>847</v>
      </c>
      <c r="I904" s="218">
        <f t="shared" si="53"/>
        <v>457</v>
      </c>
      <c r="J904" s="218">
        <f t="shared" si="54"/>
        <v>2.1881838074398249E-3</v>
      </c>
      <c r="K904" s="218">
        <f t="shared" si="55"/>
        <v>4.7072899936402533E-2</v>
      </c>
      <c r="L904" s="218">
        <f t="shared" si="56"/>
        <v>436.7</v>
      </c>
      <c r="M904" s="218" t="s">
        <v>323</v>
      </c>
      <c r="P904" s="218">
        <v>899</v>
      </c>
      <c r="R904" s="218">
        <v>453</v>
      </c>
      <c r="S904" s="218">
        <v>444</v>
      </c>
      <c r="T904" s="218">
        <v>448.5</v>
      </c>
      <c r="U904" s="273">
        <v>2.229654403567447E-3</v>
      </c>
      <c r="V904" s="218">
        <v>2.229654403567447E-3</v>
      </c>
      <c r="W904" s="250">
        <v>3.8086742415430505E-5</v>
      </c>
      <c r="X904" s="250">
        <v>0.99006622516556286</v>
      </c>
      <c r="Z904" s="218">
        <v>896</v>
      </c>
      <c r="AA904" s="435">
        <v>0.98785871964679917</v>
      </c>
    </row>
    <row r="905" spans="1:27">
      <c r="A905" s="429">
        <v>0.68766203703703699</v>
      </c>
      <c r="B905" s="218">
        <v>457</v>
      </c>
      <c r="C905" s="218" t="s">
        <v>314</v>
      </c>
      <c r="D905" s="218">
        <v>229</v>
      </c>
      <c r="E905" s="218" t="s">
        <v>315</v>
      </c>
      <c r="F905" s="218">
        <v>22.8</v>
      </c>
      <c r="G905" s="218" t="s">
        <v>316</v>
      </c>
      <c r="H905" s="218">
        <v>848</v>
      </c>
      <c r="I905" s="218">
        <f t="shared" si="53"/>
        <v>458</v>
      </c>
      <c r="J905" s="218">
        <f t="shared" si="54"/>
        <v>2.1834061135371178E-3</v>
      </c>
      <c r="K905" s="218">
        <f t="shared" si="55"/>
        <v>4.7077677630305244E-2</v>
      </c>
      <c r="L905" s="218">
        <f t="shared" si="56"/>
        <v>437.7</v>
      </c>
      <c r="M905" s="218" t="s">
        <v>323</v>
      </c>
      <c r="P905" s="218">
        <v>900</v>
      </c>
      <c r="R905" s="218">
        <v>451</v>
      </c>
      <c r="S905" s="218">
        <v>444</v>
      </c>
      <c r="T905" s="218">
        <v>447.5</v>
      </c>
      <c r="U905" s="273">
        <v>2.2346368715083797E-3</v>
      </c>
      <c r="V905" s="218">
        <v>2.2321456375379136E-3</v>
      </c>
      <c r="W905" s="250">
        <v>3.812929743488909E-5</v>
      </c>
      <c r="X905" s="250">
        <v>0.98785871964679917</v>
      </c>
      <c r="Z905" s="218">
        <v>897</v>
      </c>
      <c r="AA905" s="435">
        <v>0.98896247240618107</v>
      </c>
    </row>
    <row r="906" spans="1:27">
      <c r="A906" s="429">
        <v>0.68767361111111114</v>
      </c>
      <c r="B906" s="218">
        <v>458</v>
      </c>
      <c r="C906" s="218" t="s">
        <v>314</v>
      </c>
      <c r="D906" s="218">
        <v>229</v>
      </c>
      <c r="E906" s="218" t="s">
        <v>315</v>
      </c>
      <c r="F906" s="218">
        <v>22.8</v>
      </c>
      <c r="G906" s="218" t="s">
        <v>316</v>
      </c>
      <c r="H906" s="218">
        <v>849</v>
      </c>
      <c r="I906" s="218">
        <f t="shared" si="53"/>
        <v>457</v>
      </c>
      <c r="J906" s="218">
        <f t="shared" si="54"/>
        <v>2.1881838074398249E-3</v>
      </c>
      <c r="K906" s="218">
        <f t="shared" si="55"/>
        <v>4.7072899936402533E-2</v>
      </c>
      <c r="L906" s="218">
        <f t="shared" si="56"/>
        <v>436.7</v>
      </c>
      <c r="M906" s="218" t="s">
        <v>323</v>
      </c>
      <c r="P906" s="218">
        <v>901</v>
      </c>
      <c r="R906" s="218">
        <v>453</v>
      </c>
      <c r="S906" s="218">
        <v>444</v>
      </c>
      <c r="T906" s="218">
        <v>448.5</v>
      </c>
      <c r="U906" s="273">
        <v>2.229654403567447E-3</v>
      </c>
      <c r="V906" s="218">
        <v>2.2321456375379136E-3</v>
      </c>
      <c r="W906" s="250">
        <v>3.812929743488909E-5</v>
      </c>
      <c r="X906" s="250">
        <v>0.99006622516556286</v>
      </c>
      <c r="Z906" s="218">
        <v>898</v>
      </c>
      <c r="AA906" s="435">
        <v>0.99006622516556286</v>
      </c>
    </row>
    <row r="907" spans="1:27">
      <c r="A907" s="429">
        <v>0.68768518518518518</v>
      </c>
      <c r="B907" s="218">
        <v>456</v>
      </c>
      <c r="C907" s="218" t="s">
        <v>314</v>
      </c>
      <c r="D907" s="218">
        <v>228</v>
      </c>
      <c r="E907" s="218" t="s">
        <v>315</v>
      </c>
      <c r="F907" s="218">
        <v>22.8</v>
      </c>
      <c r="G907" s="218" t="s">
        <v>316</v>
      </c>
      <c r="H907" s="218">
        <v>850</v>
      </c>
      <c r="I907" s="218">
        <f t="shared" si="53"/>
        <v>458</v>
      </c>
      <c r="J907" s="218">
        <f t="shared" si="54"/>
        <v>2.1834061135371178E-3</v>
      </c>
      <c r="K907" s="218">
        <f t="shared" si="55"/>
        <v>4.7077677630305244E-2</v>
      </c>
      <c r="L907" s="218">
        <f t="shared" si="56"/>
        <v>437.7</v>
      </c>
      <c r="M907" s="218" t="s">
        <v>323</v>
      </c>
      <c r="P907" s="218">
        <v>902</v>
      </c>
      <c r="R907" s="218">
        <v>452</v>
      </c>
      <c r="S907" s="218">
        <v>444</v>
      </c>
      <c r="T907" s="218">
        <v>448</v>
      </c>
      <c r="U907" s="273">
        <v>2.232142857142857E-3</v>
      </c>
      <c r="V907" s="218">
        <v>2.230898630355152E-3</v>
      </c>
      <c r="W907" s="250">
        <v>3.8107996177939116E-5</v>
      </c>
      <c r="X907" s="250">
        <v>0.98896247240618107</v>
      </c>
      <c r="Z907" s="218">
        <v>899</v>
      </c>
      <c r="AA907" s="435">
        <v>0.99006622516556286</v>
      </c>
    </row>
    <row r="908" spans="1:27">
      <c r="A908" s="429">
        <v>0.68769675925925933</v>
      </c>
      <c r="B908" s="218">
        <v>458</v>
      </c>
      <c r="C908" s="218" t="s">
        <v>314</v>
      </c>
      <c r="D908" s="218">
        <v>229</v>
      </c>
      <c r="E908" s="218" t="s">
        <v>315</v>
      </c>
      <c r="F908" s="218">
        <v>22.8</v>
      </c>
      <c r="G908" s="218" t="s">
        <v>316</v>
      </c>
      <c r="H908" s="218">
        <v>851</v>
      </c>
      <c r="I908" s="218">
        <f t="shared" si="53"/>
        <v>456</v>
      </c>
      <c r="J908" s="218">
        <f t="shared" si="54"/>
        <v>2.1929824561403508E-3</v>
      </c>
      <c r="K908" s="218">
        <f t="shared" si="55"/>
        <v>4.7068101287702009E-2</v>
      </c>
      <c r="L908" s="218">
        <f t="shared" si="56"/>
        <v>435.7</v>
      </c>
      <c r="M908" s="218" t="s">
        <v>323</v>
      </c>
      <c r="P908" s="218">
        <v>903</v>
      </c>
      <c r="R908" s="218">
        <v>453</v>
      </c>
      <c r="S908" s="218">
        <v>444</v>
      </c>
      <c r="T908" s="218">
        <v>448.5</v>
      </c>
      <c r="U908" s="273">
        <v>2.229654403567447E-3</v>
      </c>
      <c r="V908" s="218">
        <v>2.230898630355152E-3</v>
      </c>
      <c r="W908" s="250">
        <v>3.8107996177939116E-5</v>
      </c>
      <c r="X908" s="250">
        <v>0.99006622516556286</v>
      </c>
      <c r="Z908" s="218">
        <v>900</v>
      </c>
      <c r="AA908" s="435">
        <v>0.98785871964679917</v>
      </c>
    </row>
    <row r="909" spans="1:27">
      <c r="A909" s="429">
        <v>0.68770833333333325</v>
      </c>
      <c r="B909" s="218">
        <v>456</v>
      </c>
      <c r="C909" s="218" t="s">
        <v>314</v>
      </c>
      <c r="D909" s="218">
        <v>228</v>
      </c>
      <c r="E909" s="218" t="s">
        <v>315</v>
      </c>
      <c r="F909" s="218">
        <v>22.8</v>
      </c>
      <c r="G909" s="218" t="s">
        <v>316</v>
      </c>
      <c r="H909" s="218">
        <v>852</v>
      </c>
      <c r="I909" s="218">
        <f t="shared" si="53"/>
        <v>458</v>
      </c>
      <c r="J909" s="218">
        <f t="shared" si="54"/>
        <v>2.1834061135371178E-3</v>
      </c>
      <c r="K909" s="218">
        <f t="shared" si="55"/>
        <v>4.7077677630305244E-2</v>
      </c>
      <c r="L909" s="218">
        <f t="shared" si="56"/>
        <v>437.7</v>
      </c>
      <c r="M909" s="218" t="s">
        <v>323</v>
      </c>
      <c r="P909" s="218">
        <v>904</v>
      </c>
      <c r="S909" s="218">
        <v>445</v>
      </c>
      <c r="T909" s="218">
        <v>445</v>
      </c>
      <c r="U909" s="273">
        <v>2.2471910112359553E-3</v>
      </c>
      <c r="V909" s="218">
        <v>2.2384227074017009E-3</v>
      </c>
      <c r="W909" s="250">
        <v>3.8236521739536128E-5</v>
      </c>
      <c r="X909" s="250">
        <v>0.98233995584988965</v>
      </c>
      <c r="Z909" s="218">
        <v>901</v>
      </c>
      <c r="AA909" s="435">
        <v>0.99006622516556286</v>
      </c>
    </row>
    <row r="910" spans="1:27">
      <c r="A910" s="429">
        <v>0.6877199074074074</v>
      </c>
      <c r="B910" s="218">
        <v>458</v>
      </c>
      <c r="C910" s="218" t="s">
        <v>314</v>
      </c>
      <c r="D910" s="218">
        <v>229</v>
      </c>
      <c r="E910" s="218" t="s">
        <v>315</v>
      </c>
      <c r="F910" s="218">
        <v>22.8</v>
      </c>
      <c r="G910" s="218" t="s">
        <v>316</v>
      </c>
      <c r="H910" s="218">
        <v>853</v>
      </c>
      <c r="I910" s="218">
        <f t="shared" si="53"/>
        <v>456</v>
      </c>
      <c r="J910" s="218">
        <f t="shared" si="54"/>
        <v>2.1929824561403508E-3</v>
      </c>
      <c r="K910" s="218">
        <f t="shared" si="55"/>
        <v>4.7068101287702009E-2</v>
      </c>
      <c r="L910" s="218">
        <f t="shared" si="56"/>
        <v>435.7</v>
      </c>
      <c r="M910" s="218" t="s">
        <v>323</v>
      </c>
      <c r="P910" s="218">
        <v>905</v>
      </c>
      <c r="S910" s="218">
        <v>445</v>
      </c>
      <c r="T910" s="218">
        <v>445</v>
      </c>
      <c r="U910" s="273">
        <v>2.2471910112359553E-3</v>
      </c>
      <c r="V910" s="218">
        <v>2.2471910112359553E-3</v>
      </c>
      <c r="W910" s="250">
        <v>3.8386301063641758E-5</v>
      </c>
      <c r="X910" s="250">
        <v>0.98233995584988965</v>
      </c>
      <c r="Z910" s="218">
        <v>902</v>
      </c>
      <c r="AA910" s="435">
        <v>0.98896247240618107</v>
      </c>
    </row>
    <row r="911" spans="1:27">
      <c r="A911" s="429">
        <v>0.68773148148148155</v>
      </c>
      <c r="B911" s="218">
        <v>456</v>
      </c>
      <c r="C911" s="218" t="s">
        <v>314</v>
      </c>
      <c r="D911" s="218">
        <v>228</v>
      </c>
      <c r="E911" s="218" t="s">
        <v>315</v>
      </c>
      <c r="F911" s="218">
        <v>22.8</v>
      </c>
      <c r="G911" s="218" t="s">
        <v>316</v>
      </c>
      <c r="H911" s="218">
        <v>854</v>
      </c>
      <c r="I911" s="218">
        <f t="shared" si="53"/>
        <v>458</v>
      </c>
      <c r="J911" s="218">
        <f t="shared" si="54"/>
        <v>2.1834061135371178E-3</v>
      </c>
      <c r="K911" s="218">
        <f t="shared" si="55"/>
        <v>4.7077677630305244E-2</v>
      </c>
      <c r="L911" s="218">
        <f t="shared" si="56"/>
        <v>437.7</v>
      </c>
      <c r="M911" s="218" t="s">
        <v>323</v>
      </c>
      <c r="P911" s="218">
        <v>906</v>
      </c>
      <c r="S911" s="218">
        <v>443</v>
      </c>
      <c r="T911" s="218">
        <v>443</v>
      </c>
      <c r="U911" s="273">
        <v>2.257336343115124E-3</v>
      </c>
      <c r="V911" s="218">
        <v>2.2522636771755396E-3</v>
      </c>
      <c r="W911" s="250">
        <v>3.8472951856110472E-5</v>
      </c>
      <c r="X911" s="250">
        <v>0.97792494481236203</v>
      </c>
      <c r="Z911" s="218">
        <v>903</v>
      </c>
      <c r="AA911" s="435">
        <v>0.99006622516556286</v>
      </c>
    </row>
    <row r="912" spans="1:27">
      <c r="A912" s="429">
        <v>0.68774305555555559</v>
      </c>
      <c r="B912" s="218">
        <v>458</v>
      </c>
      <c r="C912" s="218" t="s">
        <v>314</v>
      </c>
      <c r="D912" s="218">
        <v>229</v>
      </c>
      <c r="E912" s="218" t="s">
        <v>315</v>
      </c>
      <c r="F912" s="218">
        <v>22.8</v>
      </c>
      <c r="G912" s="218" t="s">
        <v>316</v>
      </c>
      <c r="H912" s="218">
        <v>855</v>
      </c>
      <c r="I912" s="218">
        <f t="shared" si="53"/>
        <v>456</v>
      </c>
      <c r="J912" s="218">
        <f t="shared" si="54"/>
        <v>2.1929824561403508E-3</v>
      </c>
      <c r="K912" s="218">
        <f t="shared" si="55"/>
        <v>4.7068101287702009E-2</v>
      </c>
      <c r="L912" s="218">
        <f t="shared" si="56"/>
        <v>435.7</v>
      </c>
      <c r="M912" s="218" t="s">
        <v>323</v>
      </c>
      <c r="P912" s="218">
        <v>907</v>
      </c>
      <c r="S912" s="218">
        <v>443</v>
      </c>
      <c r="T912" s="218">
        <v>443</v>
      </c>
      <c r="U912" s="273">
        <v>2.257336343115124E-3</v>
      </c>
      <c r="V912" s="218">
        <v>2.257336343115124E-3</v>
      </c>
      <c r="W912" s="250">
        <v>3.8559602648579187E-5</v>
      </c>
      <c r="X912" s="250">
        <v>0.97792494481236203</v>
      </c>
      <c r="Z912" s="218">
        <v>904</v>
      </c>
      <c r="AA912" s="435">
        <v>0.98233995584988965</v>
      </c>
    </row>
    <row r="913" spans="8:27">
      <c r="H913" s="218">
        <v>856</v>
      </c>
      <c r="I913" s="218">
        <f t="shared" si="53"/>
        <v>458</v>
      </c>
      <c r="J913" s="218">
        <f t="shared" si="54"/>
        <v>2.1834061135371178E-3</v>
      </c>
      <c r="K913" s="218">
        <f t="shared" si="55"/>
        <v>4.7077677630305244E-2</v>
      </c>
      <c r="L913" s="218">
        <f t="shared" si="56"/>
        <v>437.7</v>
      </c>
      <c r="M913" s="218" t="s">
        <v>323</v>
      </c>
      <c r="P913" s="218">
        <v>908</v>
      </c>
      <c r="S913" s="218">
        <v>446</v>
      </c>
      <c r="T913" s="218">
        <v>446</v>
      </c>
      <c r="U913" s="273">
        <v>2.242152466367713E-3</v>
      </c>
      <c r="V913" s="218">
        <v>2.2497444047414185E-3</v>
      </c>
      <c r="W913" s="250">
        <v>3.842991788630818E-5</v>
      </c>
      <c r="X913" s="250">
        <v>0.98454746136865345</v>
      </c>
      <c r="Z913" s="218">
        <v>905</v>
      </c>
      <c r="AA913" s="435">
        <v>0.98233995584988965</v>
      </c>
    </row>
    <row r="914" spans="8:27">
      <c r="H914" s="336">
        <v>0.95</v>
      </c>
      <c r="I914" s="218">
        <f>I913*0.95</f>
        <v>435.09999999999997</v>
      </c>
      <c r="J914" s="218">
        <f>1/I914</f>
        <v>2.2983222247759138E-3</v>
      </c>
      <c r="K914" s="218">
        <f t="shared" si="55"/>
        <v>4.6962761519066448E-2</v>
      </c>
      <c r="P914" s="218">
        <v>909</v>
      </c>
      <c r="S914" s="218">
        <v>446</v>
      </c>
      <c r="T914" s="218">
        <v>446</v>
      </c>
      <c r="U914" s="273">
        <v>2.242152466367713E-3</v>
      </c>
      <c r="V914" s="218">
        <v>2.242152466367713E-3</v>
      </c>
      <c r="W914" s="250">
        <v>3.830023312403718E-5</v>
      </c>
      <c r="X914" s="250">
        <v>0.98454746136865345</v>
      </c>
      <c r="Z914" s="218">
        <v>906</v>
      </c>
      <c r="AA914" s="435">
        <v>0.97792494481236203</v>
      </c>
    </row>
    <row r="915" spans="8:27">
      <c r="P915" s="218">
        <v>910</v>
      </c>
      <c r="S915" s="218">
        <v>446</v>
      </c>
      <c r="T915" s="218">
        <v>446</v>
      </c>
      <c r="U915" s="273">
        <v>2.242152466367713E-3</v>
      </c>
      <c r="V915" s="218">
        <v>2.242152466367713E-3</v>
      </c>
      <c r="W915" s="250">
        <v>3.830023312403718E-5</v>
      </c>
      <c r="X915" s="250">
        <v>0.98454746136865345</v>
      </c>
      <c r="Z915" s="218">
        <v>907</v>
      </c>
      <c r="AA915" s="435">
        <v>0.97792494481236203</v>
      </c>
    </row>
    <row r="916" spans="8:27">
      <c r="P916" s="218">
        <v>911</v>
      </c>
      <c r="S916" s="218">
        <v>446</v>
      </c>
      <c r="T916" s="218">
        <v>446</v>
      </c>
      <c r="U916" s="273">
        <v>2.242152466367713E-3</v>
      </c>
      <c r="V916" s="218">
        <v>2.242152466367713E-3</v>
      </c>
      <c r="W916" s="250">
        <v>3.830023312403718E-5</v>
      </c>
      <c r="X916" s="250">
        <v>0.98454746136865345</v>
      </c>
      <c r="Z916" s="218">
        <v>908</v>
      </c>
      <c r="AA916" s="435">
        <v>0.98454746136865345</v>
      </c>
    </row>
    <row r="917" spans="8:27">
      <c r="P917" s="218">
        <v>912</v>
      </c>
      <c r="S917" s="218">
        <v>447</v>
      </c>
      <c r="T917" s="218">
        <v>447</v>
      </c>
      <c r="U917" s="273">
        <v>2.2371364653243847E-3</v>
      </c>
      <c r="V917" s="218">
        <v>2.2396444658460491E-3</v>
      </c>
      <c r="W917" s="250">
        <v>3.8257391699961078E-5</v>
      </c>
      <c r="X917" s="250">
        <v>0.98675496688741726</v>
      </c>
      <c r="Z917" s="218">
        <v>909</v>
      </c>
      <c r="AA917" s="435">
        <v>0.98454746136865345</v>
      </c>
    </row>
    <row r="918" spans="8:27">
      <c r="P918" s="218">
        <v>913</v>
      </c>
      <c r="S918" s="218">
        <v>447</v>
      </c>
      <c r="T918" s="218">
        <v>447</v>
      </c>
      <c r="U918" s="273">
        <v>2.2371364653243847E-3</v>
      </c>
      <c r="V918" s="218">
        <v>2.2371364653243847E-3</v>
      </c>
      <c r="W918" s="250">
        <v>3.8214550275884968E-5</v>
      </c>
      <c r="X918" s="250">
        <v>0.98675496688741726</v>
      </c>
      <c r="Z918" s="218">
        <v>910</v>
      </c>
      <c r="AA918" s="435">
        <v>0.98454746136865345</v>
      </c>
    </row>
    <row r="919" spans="8:27">
      <c r="P919" s="218">
        <v>914</v>
      </c>
      <c r="S919" s="218">
        <v>448</v>
      </c>
      <c r="T919" s="218">
        <v>448</v>
      </c>
      <c r="U919" s="273">
        <v>2.232142857142857E-3</v>
      </c>
      <c r="V919" s="218">
        <v>2.2346396612336209E-3</v>
      </c>
      <c r="W919" s="250">
        <v>3.8171900108166344E-5</v>
      </c>
      <c r="X919" s="250">
        <v>0.98896247240618107</v>
      </c>
      <c r="Z919" s="218">
        <v>911</v>
      </c>
      <c r="AA919" s="435">
        <v>0.98454746136865345</v>
      </c>
    </row>
    <row r="920" spans="8:27">
      <c r="P920" s="218">
        <v>915</v>
      </c>
      <c r="S920" s="218">
        <v>448</v>
      </c>
      <c r="T920" s="218">
        <v>448</v>
      </c>
      <c r="U920" s="273">
        <v>2.232142857142857E-3</v>
      </c>
      <c r="V920" s="218">
        <v>2.232142857142857E-3</v>
      </c>
      <c r="W920" s="250">
        <v>3.8129249940447727E-5</v>
      </c>
      <c r="X920" s="250">
        <v>0.98896247240618107</v>
      </c>
      <c r="Z920" s="218">
        <v>912</v>
      </c>
      <c r="AA920" s="435">
        <v>0.98675496688741726</v>
      </c>
    </row>
    <row r="921" spans="8:27">
      <c r="P921" s="218">
        <v>916</v>
      </c>
      <c r="S921" s="218">
        <v>448</v>
      </c>
      <c r="T921" s="218">
        <v>448</v>
      </c>
      <c r="U921" s="273">
        <v>2.232142857142857E-3</v>
      </c>
      <c r="V921" s="218">
        <v>2.232142857142857E-3</v>
      </c>
      <c r="W921" s="250">
        <v>3.8129249940447727E-5</v>
      </c>
      <c r="X921" s="250">
        <v>0.98896247240618107</v>
      </c>
      <c r="Z921" s="218">
        <v>913</v>
      </c>
      <c r="AA921" s="435">
        <v>0.98675496688741726</v>
      </c>
    </row>
    <row r="922" spans="8:27">
      <c r="P922" s="218">
        <v>917</v>
      </c>
      <c r="S922" s="218">
        <v>448</v>
      </c>
      <c r="T922" s="218">
        <v>448</v>
      </c>
      <c r="U922" s="273">
        <v>2.232142857142857E-3</v>
      </c>
      <c r="V922" s="218">
        <v>2.232142857142857E-3</v>
      </c>
      <c r="W922" s="250">
        <v>3.8129249940447727E-5</v>
      </c>
      <c r="X922" s="250">
        <v>0.98896247240618107</v>
      </c>
      <c r="Z922" s="218">
        <v>914</v>
      </c>
      <c r="AA922" s="435">
        <v>0.98896247240618107</v>
      </c>
    </row>
    <row r="923" spans="8:27">
      <c r="P923" s="218">
        <v>918</v>
      </c>
      <c r="S923" s="218">
        <v>450</v>
      </c>
      <c r="T923" s="218">
        <v>450</v>
      </c>
      <c r="U923" s="273">
        <v>2.2222222222222222E-3</v>
      </c>
      <c r="V923" s="218">
        <v>2.2271825396825394E-3</v>
      </c>
      <c r="W923" s="250">
        <v>3.8044518273913393E-5</v>
      </c>
      <c r="X923" s="250">
        <v>0.99337748344370858</v>
      </c>
      <c r="Z923" s="218">
        <v>915</v>
      </c>
      <c r="AA923" s="435">
        <v>0.98896247240618107</v>
      </c>
    </row>
    <row r="924" spans="8:27">
      <c r="P924" s="218">
        <v>919</v>
      </c>
      <c r="S924" s="218">
        <v>450</v>
      </c>
      <c r="T924" s="218">
        <v>450</v>
      </c>
      <c r="U924" s="273">
        <v>2.2222222222222222E-3</v>
      </c>
      <c r="V924" s="218">
        <v>2.2222222222222222E-3</v>
      </c>
      <c r="W924" s="250">
        <v>3.7959786607379073E-5</v>
      </c>
      <c r="X924" s="250">
        <v>0.99337748344370858</v>
      </c>
      <c r="Z924" s="218">
        <v>916</v>
      </c>
      <c r="AA924" s="435">
        <v>0.98896247240618107</v>
      </c>
    </row>
    <row r="925" spans="8:27">
      <c r="P925" s="218">
        <v>920</v>
      </c>
      <c r="S925" s="218">
        <v>448</v>
      </c>
      <c r="T925" s="218">
        <v>448</v>
      </c>
      <c r="U925" s="273">
        <v>2.232142857142857E-3</v>
      </c>
      <c r="V925" s="218">
        <v>2.2271825396825394E-3</v>
      </c>
      <c r="W925" s="250">
        <v>3.8044518273913393E-5</v>
      </c>
      <c r="X925" s="250">
        <v>0.98896247240618107</v>
      </c>
      <c r="Z925" s="218">
        <v>917</v>
      </c>
      <c r="AA925" s="435">
        <v>0.98896247240618107</v>
      </c>
    </row>
    <row r="926" spans="8:27">
      <c r="P926" s="218">
        <v>921</v>
      </c>
      <c r="S926" s="218">
        <v>448</v>
      </c>
      <c r="T926" s="218">
        <v>448</v>
      </c>
      <c r="U926" s="273">
        <v>2.232142857142857E-3</v>
      </c>
      <c r="V926" s="218">
        <v>2.232142857142857E-3</v>
      </c>
      <c r="W926" s="250">
        <v>3.8129249940447727E-5</v>
      </c>
      <c r="X926" s="250">
        <v>0.98896247240618107</v>
      </c>
      <c r="Z926" s="218">
        <v>918</v>
      </c>
      <c r="AA926" s="435">
        <v>0.99337748344370858</v>
      </c>
    </row>
    <row r="927" spans="8:27">
      <c r="P927" s="218">
        <v>922</v>
      </c>
      <c r="S927" s="218">
        <v>449</v>
      </c>
      <c r="T927" s="218">
        <v>449</v>
      </c>
      <c r="U927" s="273">
        <v>2.2271714922048997E-3</v>
      </c>
      <c r="V927" s="218">
        <v>2.2296571746738781E-3</v>
      </c>
      <c r="W927" s="250">
        <v>3.8086789751204464E-5</v>
      </c>
      <c r="X927" s="250">
        <v>0.99116997792494477</v>
      </c>
      <c r="Z927" s="218">
        <v>919</v>
      </c>
      <c r="AA927" s="435">
        <v>0.99337748344370858</v>
      </c>
    </row>
    <row r="928" spans="8:27">
      <c r="P928" s="218">
        <v>923</v>
      </c>
      <c r="S928" s="218">
        <v>449</v>
      </c>
      <c r="T928" s="218">
        <v>449</v>
      </c>
      <c r="U928" s="273">
        <v>2.2271714922048997E-3</v>
      </c>
      <c r="V928" s="218">
        <v>2.2271714922048997E-3</v>
      </c>
      <c r="W928" s="250">
        <v>3.8044329561961207E-5</v>
      </c>
      <c r="X928" s="250">
        <v>0.99116997792494477</v>
      </c>
      <c r="Z928" s="218">
        <v>920</v>
      </c>
      <c r="AA928" s="435">
        <v>0.98896247240618107</v>
      </c>
    </row>
    <row r="929" spans="16:27">
      <c r="P929" s="218">
        <v>924</v>
      </c>
      <c r="S929" s="218">
        <v>449</v>
      </c>
      <c r="T929" s="218">
        <v>449</v>
      </c>
      <c r="U929" s="273">
        <v>2.2271714922048997E-3</v>
      </c>
      <c r="V929" s="218">
        <v>2.2271714922048997E-3</v>
      </c>
      <c r="W929" s="250">
        <v>3.8044329561961207E-5</v>
      </c>
      <c r="X929" s="250">
        <v>0.99116997792494477</v>
      </c>
      <c r="Z929" s="218">
        <v>921</v>
      </c>
      <c r="AA929" s="435">
        <v>0.98896247240618107</v>
      </c>
    </row>
    <row r="930" spans="16:27">
      <c r="P930" s="218">
        <v>925</v>
      </c>
      <c r="S930" s="218">
        <v>449</v>
      </c>
      <c r="T930" s="218">
        <v>449</v>
      </c>
      <c r="U930" s="273">
        <v>2.2271714922048997E-3</v>
      </c>
      <c r="V930" s="218">
        <v>2.2271714922048997E-3</v>
      </c>
      <c r="W930" s="250">
        <v>3.8044329561961207E-5</v>
      </c>
      <c r="X930" s="250">
        <v>0.99116997792494477</v>
      </c>
      <c r="Z930" s="218">
        <v>922</v>
      </c>
      <c r="AA930" s="435">
        <v>0.99116997792494477</v>
      </c>
    </row>
    <row r="931" spans="16:27">
      <c r="P931" s="218">
        <v>926</v>
      </c>
      <c r="S931" s="218">
        <v>448</v>
      </c>
      <c r="T931" s="218">
        <v>448</v>
      </c>
      <c r="U931" s="273">
        <v>2.232142857142857E-3</v>
      </c>
      <c r="V931" s="218">
        <v>2.2296571746738781E-3</v>
      </c>
      <c r="W931" s="250">
        <v>3.8086789751204464E-5</v>
      </c>
      <c r="X931" s="250">
        <v>0.98896247240618107</v>
      </c>
      <c r="Z931" s="218">
        <v>923</v>
      </c>
      <c r="AA931" s="435">
        <v>0.99116997792494477</v>
      </c>
    </row>
    <row r="932" spans="16:27">
      <c r="P932" s="218">
        <v>927</v>
      </c>
      <c r="S932" s="218">
        <v>448</v>
      </c>
      <c r="T932" s="218">
        <v>448</v>
      </c>
      <c r="U932" s="273">
        <v>2.232142857142857E-3</v>
      </c>
      <c r="V932" s="218">
        <v>2.232142857142857E-3</v>
      </c>
      <c r="W932" s="250">
        <v>3.8129249940447727E-5</v>
      </c>
      <c r="X932" s="250">
        <v>0.98896247240618107</v>
      </c>
      <c r="Z932" s="218">
        <v>924</v>
      </c>
      <c r="AA932" s="435">
        <v>0.99116997792494477</v>
      </c>
    </row>
    <row r="933" spans="16:27">
      <c r="P933" s="218">
        <v>928</v>
      </c>
      <c r="S933" s="218">
        <v>449</v>
      </c>
      <c r="T933" s="218">
        <v>449</v>
      </c>
      <c r="U933" s="273">
        <v>2.2271714922048997E-3</v>
      </c>
      <c r="V933" s="218">
        <v>2.2296571746738781E-3</v>
      </c>
      <c r="W933" s="250">
        <v>3.8086789751204464E-5</v>
      </c>
      <c r="X933" s="250">
        <v>0.99116997792494477</v>
      </c>
      <c r="Z933" s="218">
        <v>925</v>
      </c>
      <c r="AA933" s="435">
        <v>0.99116997792494477</v>
      </c>
    </row>
    <row r="934" spans="16:27">
      <c r="P934" s="218">
        <v>929</v>
      </c>
      <c r="S934" s="218">
        <v>449</v>
      </c>
      <c r="T934" s="218">
        <v>449</v>
      </c>
      <c r="U934" s="273">
        <v>2.2271714922048997E-3</v>
      </c>
      <c r="V934" s="218">
        <v>2.2271714922048997E-3</v>
      </c>
      <c r="W934" s="250">
        <v>3.8044329561961207E-5</v>
      </c>
      <c r="X934" s="250">
        <v>0.99116997792494477</v>
      </c>
      <c r="Z934" s="218">
        <v>926</v>
      </c>
      <c r="AA934" s="435">
        <v>0.98896247240618107</v>
      </c>
    </row>
    <row r="935" spans="16:27">
      <c r="P935" s="218">
        <v>930</v>
      </c>
      <c r="S935" s="218">
        <v>446</v>
      </c>
      <c r="T935" s="218">
        <v>446</v>
      </c>
      <c r="U935" s="273">
        <v>2.242152466367713E-3</v>
      </c>
      <c r="V935" s="218">
        <v>2.2346619792863063E-3</v>
      </c>
      <c r="W935" s="250">
        <v>3.817228134299919E-5</v>
      </c>
      <c r="X935" s="250">
        <v>0.98454746136865345</v>
      </c>
      <c r="Z935" s="218">
        <v>927</v>
      </c>
      <c r="AA935" s="435">
        <v>0.98896247240618107</v>
      </c>
    </row>
    <row r="936" spans="16:27">
      <c r="P936" s="218">
        <v>931</v>
      </c>
      <c r="S936" s="218">
        <v>446</v>
      </c>
      <c r="T936" s="218">
        <v>446</v>
      </c>
      <c r="U936" s="273">
        <v>2.242152466367713E-3</v>
      </c>
      <c r="V936" s="218">
        <v>2.242152466367713E-3</v>
      </c>
      <c r="W936" s="250">
        <v>3.830023312403718E-5</v>
      </c>
      <c r="X936" s="250">
        <v>0.98454746136865345</v>
      </c>
      <c r="Z936" s="218">
        <v>928</v>
      </c>
      <c r="AA936" s="435">
        <v>0.99116997792494477</v>
      </c>
    </row>
    <row r="937" spans="16:27">
      <c r="P937" s="218">
        <v>932</v>
      </c>
      <c r="S937" s="218">
        <v>448</v>
      </c>
      <c r="T937" s="218">
        <v>448</v>
      </c>
      <c r="U937" s="273">
        <v>2.232142857142857E-3</v>
      </c>
      <c r="V937" s="218">
        <v>2.2371476617552852E-3</v>
      </c>
      <c r="W937" s="250">
        <v>3.8214741532242454E-5</v>
      </c>
      <c r="X937" s="250">
        <v>0.98896247240618107</v>
      </c>
      <c r="Z937" s="218">
        <v>929</v>
      </c>
      <c r="AA937" s="435">
        <v>0.99116997792494477</v>
      </c>
    </row>
    <row r="938" spans="16:27">
      <c r="P938" s="218">
        <v>933</v>
      </c>
      <c r="S938" s="218">
        <v>448</v>
      </c>
      <c r="T938" s="218">
        <v>448</v>
      </c>
      <c r="U938" s="273">
        <v>2.232142857142857E-3</v>
      </c>
      <c r="V938" s="218">
        <v>2.232142857142857E-3</v>
      </c>
      <c r="W938" s="250">
        <v>3.8129249940447727E-5</v>
      </c>
      <c r="X938" s="250">
        <v>0.98896247240618107</v>
      </c>
      <c r="Z938" s="218">
        <v>930</v>
      </c>
      <c r="AA938" s="435">
        <v>0.98454746136865345</v>
      </c>
    </row>
    <row r="939" spans="16:27">
      <c r="P939" s="218">
        <v>934</v>
      </c>
      <c r="S939" s="218">
        <v>448</v>
      </c>
      <c r="T939" s="218">
        <v>448</v>
      </c>
      <c r="U939" s="273">
        <v>2.232142857142857E-3</v>
      </c>
      <c r="V939" s="218">
        <v>2.232142857142857E-3</v>
      </c>
      <c r="W939" s="250">
        <v>3.8129249940447727E-5</v>
      </c>
      <c r="X939" s="250">
        <v>0.98896247240618107</v>
      </c>
      <c r="Z939" s="218">
        <v>931</v>
      </c>
      <c r="AA939" s="435">
        <v>0.98454746136865345</v>
      </c>
    </row>
    <row r="940" spans="16:27">
      <c r="P940" s="218">
        <v>935</v>
      </c>
      <c r="S940" s="218">
        <v>448</v>
      </c>
      <c r="T940" s="218">
        <v>448</v>
      </c>
      <c r="U940" s="273">
        <v>2.232142857142857E-3</v>
      </c>
      <c r="V940" s="218">
        <v>2.232142857142857E-3</v>
      </c>
      <c r="W940" s="250">
        <v>3.8129249940447727E-5</v>
      </c>
      <c r="X940" s="250">
        <v>0.98896247240618107</v>
      </c>
      <c r="Z940" s="218">
        <v>932</v>
      </c>
      <c r="AA940" s="435">
        <v>0.98896247240618107</v>
      </c>
    </row>
    <row r="941" spans="16:27">
      <c r="P941" s="218">
        <v>936</v>
      </c>
      <c r="S941" s="218">
        <v>449</v>
      </c>
      <c r="T941" s="218">
        <v>449</v>
      </c>
      <c r="U941" s="273">
        <v>2.2271714922048997E-3</v>
      </c>
      <c r="V941" s="218">
        <v>2.2296571746738781E-3</v>
      </c>
      <c r="W941" s="250">
        <v>3.8086789751204464E-5</v>
      </c>
      <c r="X941" s="250">
        <v>0.99116997792494477</v>
      </c>
      <c r="Z941" s="218">
        <v>933</v>
      </c>
      <c r="AA941" s="435">
        <v>0.98896247240618107</v>
      </c>
    </row>
    <row r="942" spans="16:27">
      <c r="P942" s="218">
        <v>937</v>
      </c>
      <c r="S942" s="218">
        <v>449</v>
      </c>
      <c r="T942" s="218">
        <v>449</v>
      </c>
      <c r="U942" s="273">
        <v>2.2271714922048997E-3</v>
      </c>
      <c r="V942" s="218">
        <v>2.2271714922048997E-3</v>
      </c>
      <c r="W942" s="250">
        <v>3.8044329561961207E-5</v>
      </c>
      <c r="X942" s="250">
        <v>0.99116997792494477</v>
      </c>
      <c r="Z942" s="218">
        <v>934</v>
      </c>
      <c r="AA942" s="435">
        <v>0.98896247240618107</v>
      </c>
    </row>
    <row r="943" spans="16:27">
      <c r="P943" s="218">
        <v>938</v>
      </c>
      <c r="S943" s="218">
        <v>450</v>
      </c>
      <c r="T943" s="218">
        <v>450</v>
      </c>
      <c r="U943" s="273">
        <v>2.2222222222222222E-3</v>
      </c>
      <c r="V943" s="218">
        <v>2.224696857213561E-3</v>
      </c>
      <c r="W943" s="250">
        <v>3.8002058084670137E-5</v>
      </c>
      <c r="X943" s="250">
        <v>0.99337748344370858</v>
      </c>
      <c r="Z943" s="218">
        <v>935</v>
      </c>
      <c r="AA943" s="435">
        <v>0.98896247240618107</v>
      </c>
    </row>
    <row r="944" spans="16:27">
      <c r="P944" s="218">
        <v>939</v>
      </c>
      <c r="S944" s="218">
        <v>450</v>
      </c>
      <c r="T944" s="218">
        <v>450</v>
      </c>
      <c r="U944" s="273">
        <v>2.2222222222222222E-3</v>
      </c>
      <c r="V944" s="218">
        <v>2.2222222222222222E-3</v>
      </c>
      <c r="W944" s="250">
        <v>3.7959786607379073E-5</v>
      </c>
      <c r="X944" s="250">
        <v>0.99337748344370858</v>
      </c>
      <c r="Z944" s="218">
        <v>936</v>
      </c>
      <c r="AA944" s="435">
        <v>0.99116997792494477</v>
      </c>
    </row>
    <row r="945" spans="16:27">
      <c r="P945" s="218">
        <v>940</v>
      </c>
      <c r="S945" s="218">
        <v>450</v>
      </c>
      <c r="T945" s="218">
        <v>450</v>
      </c>
      <c r="U945" s="273">
        <v>2.2222222222222222E-3</v>
      </c>
      <c r="V945" s="218">
        <v>2.2222222222222222E-3</v>
      </c>
      <c r="W945" s="250">
        <v>3.7959786607379073E-5</v>
      </c>
      <c r="X945" s="250">
        <v>0.99337748344370858</v>
      </c>
      <c r="Z945" s="218">
        <v>937</v>
      </c>
      <c r="AA945" s="435">
        <v>0.99116997792494477</v>
      </c>
    </row>
    <row r="946" spans="16:27">
      <c r="P946" s="218">
        <v>941</v>
      </c>
      <c r="S946" s="218">
        <v>450</v>
      </c>
      <c r="T946" s="218">
        <v>450</v>
      </c>
      <c r="U946" s="273">
        <v>2.2222222222222222E-3</v>
      </c>
      <c r="V946" s="218">
        <v>2.2222222222222222E-3</v>
      </c>
      <c r="W946" s="250">
        <v>3.7959786607379073E-5</v>
      </c>
      <c r="X946" s="250">
        <v>0.99337748344370858</v>
      </c>
      <c r="Z946" s="218">
        <v>938</v>
      </c>
      <c r="AA946" s="435">
        <v>0.99337748344370858</v>
      </c>
    </row>
    <row r="947" spans="16:27">
      <c r="P947" s="218">
        <v>942</v>
      </c>
      <c r="S947" s="218">
        <v>452</v>
      </c>
      <c r="T947" s="218">
        <v>452</v>
      </c>
      <c r="U947" s="273">
        <v>2.2123893805309734E-3</v>
      </c>
      <c r="V947" s="218">
        <v>2.217305801376598E-3</v>
      </c>
      <c r="W947" s="250">
        <v>3.7875804778601689E-5</v>
      </c>
      <c r="X947" s="250">
        <v>0.99779249448123619</v>
      </c>
      <c r="Z947" s="218">
        <v>939</v>
      </c>
      <c r="AA947" s="435">
        <v>0.99337748344370858</v>
      </c>
    </row>
    <row r="948" spans="16:27">
      <c r="P948" s="218">
        <v>943</v>
      </c>
      <c r="S948" s="218">
        <v>452</v>
      </c>
      <c r="T948" s="218">
        <v>452</v>
      </c>
      <c r="U948" s="273">
        <v>2.2123893805309734E-3</v>
      </c>
      <c r="V948" s="218">
        <v>2.2123893805309734E-3</v>
      </c>
      <c r="W948" s="250">
        <v>3.7791822949824292E-5</v>
      </c>
      <c r="X948" s="250">
        <v>0.99779249448123619</v>
      </c>
      <c r="Z948" s="218">
        <v>940</v>
      </c>
      <c r="AA948" s="435">
        <v>0.99337748344370858</v>
      </c>
    </row>
    <row r="949" spans="16:27">
      <c r="P949" s="218">
        <v>944</v>
      </c>
      <c r="S949" s="218">
        <v>451</v>
      </c>
      <c r="T949" s="218">
        <v>451</v>
      </c>
      <c r="U949" s="273">
        <v>2.2172949002217295E-3</v>
      </c>
      <c r="V949" s="218">
        <v>2.2148421403763515E-3</v>
      </c>
      <c r="W949" s="250">
        <v>3.7833720757972662E-5</v>
      </c>
      <c r="X949" s="250">
        <v>0.99558498896247238</v>
      </c>
      <c r="Z949" s="218">
        <v>941</v>
      </c>
      <c r="AA949" s="435">
        <v>0.99337748344370858</v>
      </c>
    </row>
    <row r="950" spans="16:27">
      <c r="P950" s="218">
        <v>945</v>
      </c>
      <c r="S950" s="218">
        <v>451</v>
      </c>
      <c r="T950" s="218">
        <v>451</v>
      </c>
      <c r="U950" s="273">
        <v>2.2172949002217295E-3</v>
      </c>
      <c r="V950" s="218">
        <v>2.2172949002217295E-3</v>
      </c>
      <c r="W950" s="250">
        <v>3.7875618566121026E-5</v>
      </c>
      <c r="X950" s="250">
        <v>0.99558498896247238</v>
      </c>
      <c r="Z950" s="218">
        <v>942</v>
      </c>
      <c r="AA950" s="435">
        <v>0.99779249448123619</v>
      </c>
    </row>
    <row r="951" spans="16:27">
      <c r="P951" s="218">
        <v>946</v>
      </c>
      <c r="S951" s="218">
        <v>452</v>
      </c>
      <c r="T951" s="218">
        <v>452</v>
      </c>
      <c r="U951" s="273">
        <v>2.2123893805309734E-3</v>
      </c>
      <c r="V951" s="218">
        <v>2.2148421403763515E-3</v>
      </c>
      <c r="W951" s="250">
        <v>3.7833720757972662E-5</v>
      </c>
      <c r="X951" s="250">
        <v>0.99779249448123619</v>
      </c>
      <c r="Z951" s="218">
        <v>943</v>
      </c>
      <c r="AA951" s="435">
        <v>0.99779249448123619</v>
      </c>
    </row>
    <row r="952" spans="16:27">
      <c r="P952" s="218">
        <v>947</v>
      </c>
      <c r="S952" s="218">
        <v>452</v>
      </c>
      <c r="T952" s="218">
        <v>452</v>
      </c>
      <c r="U952" s="273">
        <v>2.2123893805309734E-3</v>
      </c>
      <c r="V952" s="218">
        <v>2.2123893805309734E-3</v>
      </c>
      <c r="W952" s="250">
        <v>3.7791822949824292E-5</v>
      </c>
      <c r="X952" s="250">
        <v>0.99779249448123619</v>
      </c>
      <c r="Z952" s="218">
        <v>944</v>
      </c>
      <c r="AA952" s="435">
        <v>0.99558498896247238</v>
      </c>
    </row>
    <row r="953" spans="16:27">
      <c r="P953" s="218">
        <v>948</v>
      </c>
      <c r="S953" s="218">
        <v>453</v>
      </c>
      <c r="T953" s="218">
        <v>453</v>
      </c>
      <c r="U953" s="273">
        <v>2.2075055187637969E-3</v>
      </c>
      <c r="V953" s="218">
        <v>2.2099474496473852E-3</v>
      </c>
      <c r="W953" s="250">
        <v>3.7750110120961357E-5</v>
      </c>
      <c r="X953" s="250">
        <v>1</v>
      </c>
      <c r="Z953" s="218">
        <v>945</v>
      </c>
      <c r="AA953" s="435">
        <v>0.99558498896247238</v>
      </c>
    </row>
    <row r="954" spans="16:27">
      <c r="P954" s="218">
        <v>949</v>
      </c>
      <c r="S954" s="218">
        <v>453</v>
      </c>
      <c r="T954" s="218">
        <v>453</v>
      </c>
      <c r="U954" s="273">
        <v>2.2075055187637969E-3</v>
      </c>
      <c r="V954" s="218">
        <v>2.2075055187637969E-3</v>
      </c>
      <c r="W954" s="250">
        <v>3.7708397292098415E-5</v>
      </c>
      <c r="X954" s="250">
        <v>1</v>
      </c>
      <c r="Z954" s="218">
        <v>946</v>
      </c>
      <c r="AA954" s="435">
        <v>0.99779249448123619</v>
      </c>
    </row>
    <row r="955" spans="16:27">
      <c r="P955" s="218">
        <v>950</v>
      </c>
      <c r="S955" s="218">
        <v>453</v>
      </c>
      <c r="T955" s="218">
        <v>453</v>
      </c>
      <c r="U955" s="273">
        <v>2.2075055187637969E-3</v>
      </c>
      <c r="V955" s="218">
        <v>2.2075055187637969E-3</v>
      </c>
      <c r="W955" s="250">
        <v>3.7708397292098415E-5</v>
      </c>
      <c r="X955" s="250">
        <v>1</v>
      </c>
      <c r="Z955" s="218">
        <v>947</v>
      </c>
      <c r="AA955" s="435">
        <v>0.99779249448123619</v>
      </c>
    </row>
    <row r="956" spans="16:27">
      <c r="P956" s="218">
        <v>951</v>
      </c>
      <c r="S956" s="218">
        <v>453</v>
      </c>
      <c r="T956" s="218">
        <v>453</v>
      </c>
      <c r="U956" s="273">
        <v>2.2075055187637969E-3</v>
      </c>
      <c r="V956" s="218">
        <v>2.2075055187637969E-3</v>
      </c>
      <c r="W956" s="250">
        <v>3.7708397292098415E-5</v>
      </c>
      <c r="X956" s="250">
        <v>1</v>
      </c>
      <c r="Z956" s="218">
        <v>948</v>
      </c>
      <c r="AA956" s="435">
        <v>1</v>
      </c>
    </row>
    <row r="957" spans="16:27">
      <c r="P957" s="218">
        <v>952</v>
      </c>
      <c r="S957" s="218">
        <v>454</v>
      </c>
      <c r="T957" s="218">
        <v>454</v>
      </c>
      <c r="U957" s="273">
        <v>2.2026431718061676E-3</v>
      </c>
      <c r="V957" s="218">
        <v>2.2050743452849825E-3</v>
      </c>
      <c r="W957" s="250">
        <v>3.7666868220190825E-5</v>
      </c>
      <c r="X957" s="250">
        <v>1.0022075055187638</v>
      </c>
      <c r="Z957" s="218">
        <v>949</v>
      </c>
      <c r="AA957" s="435">
        <v>1</v>
      </c>
    </row>
    <row r="958" spans="16:27">
      <c r="P958" s="218">
        <v>953</v>
      </c>
      <c r="S958" s="218">
        <v>454</v>
      </c>
      <c r="T958" s="218">
        <v>454</v>
      </c>
      <c r="U958" s="273">
        <v>2.2026431718061676E-3</v>
      </c>
      <c r="V958" s="218">
        <v>2.2026431718061676E-3</v>
      </c>
      <c r="W958" s="250">
        <v>3.7625339148283221E-5</v>
      </c>
      <c r="X958" s="250">
        <v>1.0022075055187638</v>
      </c>
      <c r="Z958" s="218">
        <v>950</v>
      </c>
      <c r="AA958" s="435">
        <v>1</v>
      </c>
    </row>
    <row r="959" spans="16:27">
      <c r="P959" s="218">
        <v>954</v>
      </c>
      <c r="S959" s="218">
        <v>452</v>
      </c>
      <c r="T959" s="218">
        <v>452</v>
      </c>
      <c r="U959" s="273">
        <v>2.2123893805309734E-3</v>
      </c>
      <c r="V959" s="218">
        <v>2.2075162761685703E-3</v>
      </c>
      <c r="W959" s="250">
        <v>3.7708581049053753E-5</v>
      </c>
      <c r="X959" s="250">
        <v>0.99779249448123619</v>
      </c>
      <c r="Z959" s="218">
        <v>951</v>
      </c>
      <c r="AA959" s="435">
        <v>1</v>
      </c>
    </row>
    <row r="960" spans="16:27">
      <c r="P960" s="218">
        <v>955</v>
      </c>
      <c r="S960" s="218">
        <v>452</v>
      </c>
      <c r="T960" s="218">
        <v>452</v>
      </c>
      <c r="U960" s="273">
        <v>2.2123893805309734E-3</v>
      </c>
      <c r="V960" s="218">
        <v>2.2123893805309734E-3</v>
      </c>
      <c r="W960" s="250">
        <v>3.7791822949824292E-5</v>
      </c>
      <c r="X960" s="250">
        <v>0.99779249448123619</v>
      </c>
      <c r="Z960" s="218">
        <v>952</v>
      </c>
      <c r="AA960" s="435">
        <v>1.0022075055187638</v>
      </c>
    </row>
    <row r="961" spans="16:27">
      <c r="P961" s="218">
        <v>956</v>
      </c>
      <c r="S961" s="218">
        <v>453</v>
      </c>
      <c r="T961" s="218">
        <v>453</v>
      </c>
      <c r="U961" s="273">
        <v>2.2075055187637969E-3</v>
      </c>
      <c r="V961" s="218">
        <v>2.2099474496473852E-3</v>
      </c>
      <c r="W961" s="250">
        <v>3.7750110120961357E-5</v>
      </c>
      <c r="X961" s="250">
        <v>1</v>
      </c>
      <c r="Z961" s="218">
        <v>953</v>
      </c>
      <c r="AA961" s="435">
        <v>1.0022075055187638</v>
      </c>
    </row>
    <row r="962" spans="16:27">
      <c r="P962" s="218">
        <v>957</v>
      </c>
      <c r="S962" s="218">
        <v>453</v>
      </c>
      <c r="T962" s="218">
        <v>453</v>
      </c>
      <c r="U962" s="273">
        <v>2.2075055187637969E-3</v>
      </c>
      <c r="V962" s="218">
        <v>2.2075055187637969E-3</v>
      </c>
      <c r="W962" s="250">
        <v>3.7708397292098415E-5</v>
      </c>
      <c r="X962" s="250">
        <v>1</v>
      </c>
      <c r="Z962" s="218">
        <v>954</v>
      </c>
      <c r="AA962" s="435">
        <v>0.99779249448123619</v>
      </c>
    </row>
    <row r="963" spans="16:27">
      <c r="P963" s="218">
        <v>958</v>
      </c>
      <c r="S963" s="218">
        <v>453</v>
      </c>
      <c r="T963" s="218">
        <v>453</v>
      </c>
      <c r="U963" s="273">
        <v>2.2075055187637969E-3</v>
      </c>
      <c r="V963" s="218">
        <v>2.2075055187637969E-3</v>
      </c>
      <c r="W963" s="250">
        <v>3.7708397292098415E-5</v>
      </c>
      <c r="X963" s="250">
        <v>1</v>
      </c>
      <c r="Z963" s="218">
        <v>955</v>
      </c>
      <c r="AA963" s="435">
        <v>0.99779249448123619</v>
      </c>
    </row>
    <row r="964" spans="16:27">
      <c r="P964" s="218">
        <v>959</v>
      </c>
      <c r="S964" s="218">
        <v>453</v>
      </c>
      <c r="T964" s="218">
        <v>453</v>
      </c>
      <c r="U964" s="273">
        <v>2.2075055187637969E-3</v>
      </c>
      <c r="V964" s="218">
        <v>2.2075055187637969E-3</v>
      </c>
      <c r="W964" s="250">
        <v>3.7708397292098415E-5</v>
      </c>
      <c r="X964" s="250">
        <v>1</v>
      </c>
      <c r="Z964" s="218">
        <v>956</v>
      </c>
      <c r="AA964" s="435">
        <v>1</v>
      </c>
    </row>
    <row r="965" spans="16:27">
      <c r="P965" s="218">
        <v>960</v>
      </c>
      <c r="S965" s="218">
        <v>452</v>
      </c>
      <c r="T965" s="218">
        <v>452</v>
      </c>
      <c r="U965" s="273">
        <v>2.2123893805309734E-3</v>
      </c>
      <c r="V965" s="218">
        <v>2.2099474496473852E-3</v>
      </c>
      <c r="W965" s="250">
        <v>3.7750110120961357E-5</v>
      </c>
      <c r="X965" s="250">
        <v>0.99779249448123619</v>
      </c>
      <c r="Z965" s="218">
        <v>957</v>
      </c>
      <c r="AA965" s="435">
        <v>1</v>
      </c>
    </row>
    <row r="966" spans="16:27">
      <c r="P966" s="218">
        <v>961</v>
      </c>
      <c r="S966" s="218">
        <v>452</v>
      </c>
      <c r="T966" s="218">
        <v>452</v>
      </c>
      <c r="U966" s="273">
        <v>2.2123893805309734E-3</v>
      </c>
      <c r="V966" s="218">
        <v>2.2123893805309734E-3</v>
      </c>
      <c r="W966" s="250">
        <v>3.7791822949824292E-5</v>
      </c>
      <c r="X966" s="250">
        <v>0.99779249448123619</v>
      </c>
      <c r="Z966" s="218">
        <v>958</v>
      </c>
      <c r="AA966" s="435">
        <v>1</v>
      </c>
    </row>
    <row r="967" spans="16:27">
      <c r="P967" s="218">
        <v>962</v>
      </c>
      <c r="S967" s="218">
        <v>453</v>
      </c>
      <c r="T967" s="218">
        <v>453</v>
      </c>
      <c r="U967" s="273">
        <v>2.2075055187637969E-3</v>
      </c>
      <c r="V967" s="218">
        <v>2.2099474496473852E-3</v>
      </c>
      <c r="W967" s="250">
        <v>3.7750110120961357E-5</v>
      </c>
      <c r="X967" s="250">
        <v>1</v>
      </c>
      <c r="Z967" s="218">
        <v>959</v>
      </c>
      <c r="AA967" s="435">
        <v>1</v>
      </c>
    </row>
    <row r="968" spans="16:27">
      <c r="P968" s="218">
        <v>963</v>
      </c>
      <c r="S968" s="218">
        <v>453</v>
      </c>
      <c r="T968" s="218">
        <v>453</v>
      </c>
      <c r="U968" s="273">
        <v>2.2075055187637969E-3</v>
      </c>
      <c r="V968" s="218">
        <v>2.2075055187637969E-3</v>
      </c>
      <c r="W968" s="250">
        <v>3.7708397292098415E-5</v>
      </c>
      <c r="X968" s="250">
        <v>1</v>
      </c>
      <c r="Z968" s="218">
        <v>960</v>
      </c>
      <c r="AA968" s="435">
        <v>0.99779249448123619</v>
      </c>
    </row>
    <row r="969" spans="16:27">
      <c r="T969" s="218">
        <v>430.34999999999997</v>
      </c>
      <c r="U969" s="273">
        <v>2.3236900197513653E-3</v>
      </c>
      <c r="V969" s="218">
        <v>58.541483523256701</v>
      </c>
      <c r="Z969" s="218">
        <v>961</v>
      </c>
      <c r="AA969" s="435">
        <v>0.99779249448123619</v>
      </c>
    </row>
    <row r="970" spans="16:27">
      <c r="Z970" s="218">
        <v>962</v>
      </c>
      <c r="AA970" s="435">
        <v>1</v>
      </c>
    </row>
    <row r="971" spans="16:27">
      <c r="Z971" s="218">
        <v>963</v>
      </c>
      <c r="AA971" s="435">
        <v>1</v>
      </c>
    </row>
  </sheetData>
  <mergeCells count="6">
    <mergeCell ref="AS4:AX4"/>
    <mergeCell ref="I22:I23"/>
    <mergeCell ref="J22:J23"/>
    <mergeCell ref="AA4:AE4"/>
    <mergeCell ref="AG4:AL4"/>
    <mergeCell ref="AM4:AR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38553-709A-40CF-8571-249B06DFEF48}">
  <dimension ref="A1:AR305"/>
  <sheetViews>
    <sheetView topLeftCell="A25" zoomScale="80" zoomScaleNormal="80" workbookViewId="0">
      <selection activeCell="R33" sqref="R33"/>
    </sheetView>
  </sheetViews>
  <sheetFormatPr defaultRowHeight="12"/>
  <cols>
    <col min="1" max="1" width="6.42578125" style="218" customWidth="1"/>
    <col min="2" max="2" width="14.140625" style="218" customWidth="1"/>
    <col min="3" max="3" width="8.85546875" style="218" customWidth="1"/>
    <col min="4" max="4" width="10.42578125" style="218" customWidth="1"/>
    <col min="5" max="5" width="10.5703125" style="218" customWidth="1"/>
    <col min="6" max="6" width="12.5703125" style="218" customWidth="1"/>
    <col min="7" max="7" width="8.85546875" style="218" customWidth="1"/>
    <col min="8" max="8" width="10.5703125" style="218" customWidth="1"/>
    <col min="9" max="9" width="4.5703125" style="218" customWidth="1"/>
    <col min="10" max="10" width="5.28515625" style="218" customWidth="1"/>
    <col min="11" max="11" width="8.7109375" style="218" customWidth="1"/>
    <col min="12" max="12" width="8.85546875" style="218" customWidth="1"/>
    <col min="13" max="14" width="8.28515625" style="218" customWidth="1"/>
    <col min="15" max="15" width="10.42578125" style="218" customWidth="1"/>
    <col min="16" max="16" width="9" style="218" customWidth="1"/>
    <col min="17" max="17" width="9.140625" style="218" customWidth="1"/>
    <col min="18" max="18" width="7.42578125" style="218" customWidth="1"/>
    <col min="19" max="20" width="9.28515625" style="218" bestFit="1" customWidth="1"/>
    <col min="21" max="21" width="7.5703125" style="218" customWidth="1"/>
    <col min="22" max="22" width="11.42578125" style="218" customWidth="1"/>
    <col min="23" max="23" width="7.42578125" style="218" customWidth="1"/>
    <col min="24" max="24" width="11.7109375" style="218" customWidth="1"/>
    <col min="25" max="25" width="6.42578125" style="218" customWidth="1"/>
    <col min="26" max="32" width="10.28515625" style="218" customWidth="1"/>
    <col min="33" max="33" width="9.140625" style="218" customWidth="1"/>
    <col min="34" max="34" width="9.42578125" style="218" customWidth="1"/>
    <col min="35" max="35" width="13.28515625" style="218" customWidth="1"/>
    <col min="36" max="36" width="8.28515625" style="218" customWidth="1"/>
    <col min="37" max="37" width="8.7109375" style="218" customWidth="1"/>
    <col min="38" max="38" width="7.28515625" style="218" customWidth="1"/>
    <col min="39" max="39" width="10.140625" style="218" customWidth="1"/>
    <col min="40" max="40" width="6.85546875" style="218" customWidth="1"/>
    <col min="41" max="16384" width="9.140625" style="218"/>
  </cols>
  <sheetData>
    <row r="1" spans="1:40" ht="15">
      <c r="A1" s="306" t="s">
        <v>527</v>
      </c>
      <c r="K1" s="218">
        <v>1000</v>
      </c>
      <c r="Q1" s="501" t="s">
        <v>306</v>
      </c>
      <c r="R1" s="501" t="s">
        <v>307</v>
      </c>
      <c r="S1" s="501" t="s">
        <v>308</v>
      </c>
      <c r="T1" s="506" t="s">
        <v>224</v>
      </c>
      <c r="U1" s="501" t="s">
        <v>306</v>
      </c>
      <c r="V1" s="501" t="s">
        <v>307</v>
      </c>
      <c r="W1" s="501" t="s">
        <v>308</v>
      </c>
      <c r="X1" s="506" t="s">
        <v>224</v>
      </c>
      <c r="AG1" s="218" t="s">
        <v>271</v>
      </c>
      <c r="AH1" s="314"/>
      <c r="AI1" s="314"/>
      <c r="AJ1" s="314"/>
    </row>
    <row r="2" spans="1:40" ht="12.75">
      <c r="A2" s="312"/>
      <c r="Q2" s="501"/>
      <c r="R2" s="501"/>
      <c r="S2" s="501"/>
      <c r="T2" s="506"/>
      <c r="U2" s="501"/>
      <c r="V2" s="501"/>
      <c r="W2" s="501"/>
      <c r="X2" s="506"/>
      <c r="AH2" s="325"/>
      <c r="AI2" s="325"/>
      <c r="AJ2" s="325"/>
    </row>
    <row r="3" spans="1:40">
      <c r="B3" s="527" t="s">
        <v>225</v>
      </c>
      <c r="C3" s="527"/>
      <c r="D3" s="527"/>
      <c r="F3" s="529" t="s">
        <v>226</v>
      </c>
      <c r="G3" s="527"/>
      <c r="H3" s="527"/>
      <c r="J3" s="529" t="s">
        <v>227</v>
      </c>
      <c r="K3" s="527"/>
      <c r="L3" s="527"/>
      <c r="M3" s="219"/>
      <c r="N3" s="527" t="s">
        <v>228</v>
      </c>
      <c r="O3" s="527"/>
      <c r="P3" s="527"/>
      <c r="Q3" s="514" t="s">
        <v>245</v>
      </c>
      <c r="R3" s="336">
        <v>0.04</v>
      </c>
      <c r="S3" s="224">
        <f>C5</f>
        <v>659.33333333333337</v>
      </c>
      <c r="T3" s="224">
        <f>D5</f>
        <v>181.99244440971233</v>
      </c>
      <c r="U3" s="517" t="s">
        <v>255</v>
      </c>
      <c r="V3" s="336">
        <v>0.04</v>
      </c>
      <c r="W3" s="224">
        <f>C8</f>
        <v>84.666666666666671</v>
      </c>
      <c r="X3" s="224">
        <f>D8</f>
        <v>4.7428495888255009</v>
      </c>
      <c r="AG3" s="218" t="s">
        <v>272</v>
      </c>
    </row>
    <row r="4" spans="1:40" ht="14.25" customHeight="1">
      <c r="A4" s="220" t="s">
        <v>74</v>
      </c>
      <c r="B4" s="218" t="s">
        <v>222</v>
      </c>
      <c r="C4" s="218" t="s">
        <v>223</v>
      </c>
      <c r="D4" s="218" t="s">
        <v>224</v>
      </c>
      <c r="E4" s="530" t="s">
        <v>71</v>
      </c>
      <c r="F4" s="218" t="s">
        <v>222</v>
      </c>
      <c r="G4" s="218" t="s">
        <v>223</v>
      </c>
      <c r="H4" s="218" t="s">
        <v>224</v>
      </c>
      <c r="I4" s="221"/>
      <c r="J4" s="218" t="s">
        <v>222</v>
      </c>
      <c r="K4" s="218" t="s">
        <v>223</v>
      </c>
      <c r="L4" s="218" t="s">
        <v>224</v>
      </c>
      <c r="M4" s="222"/>
      <c r="N4" s="218" t="s">
        <v>222</v>
      </c>
      <c r="O4" s="218" t="s">
        <v>223</v>
      </c>
      <c r="P4" s="223" t="s">
        <v>224</v>
      </c>
      <c r="Q4" s="514"/>
      <c r="R4" s="336">
        <v>0.42</v>
      </c>
      <c r="S4" s="224">
        <f>G5</f>
        <v>72</v>
      </c>
      <c r="T4" s="224">
        <f>H5</f>
        <v>6.1523762347025999</v>
      </c>
      <c r="U4" s="517"/>
      <c r="V4" s="336">
        <v>0.42</v>
      </c>
      <c r="W4" s="224">
        <f>G8</f>
        <v>20.666666666666668</v>
      </c>
      <c r="X4" s="224">
        <f>H8</f>
        <v>1.7759003976074283</v>
      </c>
      <c r="AH4" s="507" t="s">
        <v>270</v>
      </c>
      <c r="AI4" s="507" t="s">
        <v>234</v>
      </c>
      <c r="AJ4" s="509" t="s">
        <v>233</v>
      </c>
      <c r="AK4" s="510"/>
      <c r="AL4" s="510"/>
      <c r="AM4" s="510"/>
      <c r="AN4" s="511"/>
    </row>
    <row r="5" spans="1:40" ht="12.75">
      <c r="A5" s="220"/>
      <c r="B5" s="218">
        <v>100</v>
      </c>
      <c r="C5" s="224">
        <v>659.33333333333337</v>
      </c>
      <c r="D5" s="224">
        <v>181.99244440971233</v>
      </c>
      <c r="E5" s="530"/>
      <c r="F5" s="218">
        <v>100</v>
      </c>
      <c r="G5" s="224">
        <v>72</v>
      </c>
      <c r="H5" s="224">
        <v>6.1523762347025999</v>
      </c>
      <c r="I5" s="531" t="s">
        <v>72</v>
      </c>
      <c r="J5" s="218">
        <v>100</v>
      </c>
      <c r="K5" s="224">
        <v>70.666666666666671</v>
      </c>
      <c r="L5" s="224">
        <v>1.9001286506152393</v>
      </c>
      <c r="M5" s="528" t="s">
        <v>73</v>
      </c>
      <c r="N5" s="218">
        <v>100</v>
      </c>
      <c r="O5" s="224">
        <v>135.33333333333334</v>
      </c>
      <c r="P5" s="224">
        <v>3.7783535508942991</v>
      </c>
      <c r="Q5" s="514"/>
      <c r="R5" s="336">
        <v>0.79</v>
      </c>
      <c r="S5" s="224">
        <f>K5</f>
        <v>70.666666666666671</v>
      </c>
      <c r="T5" s="224">
        <f>L5</f>
        <v>1.9001286506152393</v>
      </c>
      <c r="U5" s="517"/>
      <c r="V5" s="336">
        <v>0.79</v>
      </c>
      <c r="W5" s="224">
        <f>K8</f>
        <v>17.666666666666668</v>
      </c>
      <c r="X5" s="224">
        <f>L8</f>
        <v>0.68967786361137884</v>
      </c>
      <c r="AH5" s="508"/>
      <c r="AI5" s="508"/>
      <c r="AJ5" s="313">
        <v>100</v>
      </c>
      <c r="AK5" s="313">
        <v>200</v>
      </c>
      <c r="AL5" s="313">
        <v>300</v>
      </c>
      <c r="AM5" s="313">
        <v>400</v>
      </c>
      <c r="AN5" s="313">
        <v>500</v>
      </c>
    </row>
    <row r="6" spans="1:40" ht="12.75">
      <c r="A6" s="220"/>
      <c r="B6" s="218">
        <v>200</v>
      </c>
      <c r="C6" s="224">
        <v>162</v>
      </c>
      <c r="D6" s="224">
        <v>15.360915771311728</v>
      </c>
      <c r="E6" s="530"/>
      <c r="F6" s="218">
        <v>200</v>
      </c>
      <c r="G6" s="224">
        <v>41.333333333333336</v>
      </c>
      <c r="H6" s="224">
        <v>2.9351812361230589</v>
      </c>
      <c r="I6" s="531"/>
      <c r="J6" s="218">
        <v>200</v>
      </c>
      <c r="K6" s="224">
        <v>24.666666666666668</v>
      </c>
      <c r="L6" s="224">
        <v>1.7809984715197136</v>
      </c>
      <c r="M6" s="528"/>
      <c r="N6" s="218">
        <v>200</v>
      </c>
      <c r="O6" s="224">
        <v>68.666666666666671</v>
      </c>
      <c r="P6" s="224">
        <v>2.9859597377653229</v>
      </c>
      <c r="Q6" s="514"/>
      <c r="R6" s="336">
        <v>1.21</v>
      </c>
      <c r="S6" s="224">
        <f>O5</f>
        <v>135.33333333333334</v>
      </c>
      <c r="T6" s="224">
        <f>P5</f>
        <v>3.7783535508942991</v>
      </c>
      <c r="U6" s="517"/>
      <c r="V6" s="336">
        <v>1.21</v>
      </c>
      <c r="W6" s="224">
        <f>O8</f>
        <v>35.333333333333336</v>
      </c>
      <c r="X6" s="224">
        <f>P8</f>
        <v>4.8203688194530887</v>
      </c>
      <c r="AH6" s="519">
        <v>0.04</v>
      </c>
      <c r="AI6" s="525">
        <v>1</v>
      </c>
      <c r="AJ6" s="326">
        <v>576</v>
      </c>
      <c r="AK6" s="326">
        <v>157</v>
      </c>
      <c r="AL6" s="326">
        <v>128</v>
      </c>
      <c r="AM6" s="326">
        <v>89</v>
      </c>
      <c r="AN6" s="326">
        <v>85</v>
      </c>
    </row>
    <row r="7" spans="1:40" ht="12.75">
      <c r="A7" s="220"/>
      <c r="B7" s="218">
        <v>300</v>
      </c>
      <c r="C7" s="224">
        <v>136.66666666666666</v>
      </c>
      <c r="D7" s="224">
        <v>25.787184586319018</v>
      </c>
      <c r="E7" s="530"/>
      <c r="F7" s="218">
        <v>300</v>
      </c>
      <c r="G7" s="224">
        <v>27.666666666666668</v>
      </c>
      <c r="H7" s="224">
        <v>0.72179560049150271</v>
      </c>
      <c r="I7" s="531"/>
      <c r="J7" s="218">
        <v>300</v>
      </c>
      <c r="K7" s="224">
        <v>19.666666666666668</v>
      </c>
      <c r="L7" s="224">
        <v>1.3477594576019696</v>
      </c>
      <c r="M7" s="528"/>
      <c r="N7" s="218">
        <v>300</v>
      </c>
      <c r="O7" s="224">
        <v>46</v>
      </c>
      <c r="P7" s="224">
        <v>1.2429534719100848</v>
      </c>
      <c r="Q7" s="515" t="s">
        <v>252</v>
      </c>
      <c r="R7" s="336">
        <v>0.04</v>
      </c>
      <c r="S7" s="224">
        <f>C6</f>
        <v>162</v>
      </c>
      <c r="T7" s="224">
        <f>D6</f>
        <v>15.360915771311728</v>
      </c>
      <c r="U7" s="518" t="s">
        <v>256</v>
      </c>
      <c r="V7" s="336">
        <v>0.04</v>
      </c>
      <c r="W7" s="224">
        <f>C9</f>
        <v>81.666666666666671</v>
      </c>
      <c r="X7" s="224">
        <f>D9</f>
        <v>4.1365914578175218</v>
      </c>
      <c r="AH7" s="520"/>
      <c r="AI7" s="525"/>
      <c r="AJ7" s="313">
        <v>561</v>
      </c>
      <c r="AK7" s="313">
        <v>177</v>
      </c>
      <c r="AL7" s="313">
        <v>162</v>
      </c>
      <c r="AM7" s="313">
        <v>81</v>
      </c>
      <c r="AN7" s="313">
        <v>82</v>
      </c>
    </row>
    <row r="8" spans="1:40" ht="12.75">
      <c r="A8" s="220"/>
      <c r="B8" s="218">
        <v>400</v>
      </c>
      <c r="C8" s="224">
        <v>84.666666666666671</v>
      </c>
      <c r="D8" s="224">
        <v>4.7428495888255009</v>
      </c>
      <c r="E8" s="530"/>
      <c r="F8" s="218">
        <v>400</v>
      </c>
      <c r="G8" s="224">
        <v>20.666666666666668</v>
      </c>
      <c r="H8" s="224">
        <v>1.7759003976074283</v>
      </c>
      <c r="I8" s="531"/>
      <c r="J8" s="218">
        <v>400</v>
      </c>
      <c r="K8" s="224">
        <v>17.666666666666668</v>
      </c>
      <c r="L8" s="224">
        <v>0.68967786361137884</v>
      </c>
      <c r="M8" s="528"/>
      <c r="N8" s="218">
        <v>400</v>
      </c>
      <c r="O8" s="224">
        <v>35.333333333333336</v>
      </c>
      <c r="P8" s="224">
        <v>4.8203688194530887</v>
      </c>
      <c r="Q8" s="515"/>
      <c r="R8" s="336">
        <v>0.42</v>
      </c>
      <c r="S8" s="224">
        <f>G6</f>
        <v>41.333333333333336</v>
      </c>
      <c r="T8" s="224">
        <f>H6</f>
        <v>2.9351812361230589</v>
      </c>
      <c r="U8" s="518"/>
      <c r="V8" s="336">
        <v>0.42</v>
      </c>
      <c r="W8" s="224">
        <f>G9</f>
        <v>20.333333333333332</v>
      </c>
      <c r="X8" s="224">
        <f>H9</f>
        <v>2.6744075148629758</v>
      </c>
      <c r="AH8" s="521"/>
      <c r="AI8" s="525"/>
      <c r="AJ8" s="313">
        <v>841</v>
      </c>
      <c r="AK8" s="313">
        <v>152</v>
      </c>
      <c r="AL8" s="313">
        <v>120</v>
      </c>
      <c r="AM8" s="313">
        <v>84</v>
      </c>
      <c r="AN8" s="313">
        <v>78</v>
      </c>
    </row>
    <row r="9" spans="1:40" ht="12.75">
      <c r="A9" s="220"/>
      <c r="B9" s="218">
        <v>500</v>
      </c>
      <c r="C9" s="224">
        <v>81.666666666666671</v>
      </c>
      <c r="D9" s="224">
        <v>4.1365914578175218</v>
      </c>
      <c r="E9" s="530"/>
      <c r="F9" s="218">
        <v>500</v>
      </c>
      <c r="G9" s="224">
        <v>20.333333333333332</v>
      </c>
      <c r="H9" s="224">
        <v>2.6744075148629758</v>
      </c>
      <c r="I9" s="531"/>
      <c r="J9" s="218">
        <v>500</v>
      </c>
      <c r="K9" s="224">
        <v>16.333333333333332</v>
      </c>
      <c r="L9" s="224">
        <v>2.6716640673724101</v>
      </c>
      <c r="M9" s="528"/>
      <c r="N9" s="218">
        <v>500</v>
      </c>
      <c r="O9" s="224">
        <v>33.333333333333336</v>
      </c>
      <c r="P9" s="224">
        <v>0.74535599249993001</v>
      </c>
      <c r="Q9" s="515"/>
      <c r="R9" s="336">
        <v>0.79</v>
      </c>
      <c r="S9" s="224">
        <f>K6</f>
        <v>24.666666666666668</v>
      </c>
      <c r="T9" s="224">
        <f>L6</f>
        <v>1.7809984715197136</v>
      </c>
      <c r="U9" s="518"/>
      <c r="V9" s="336">
        <v>0.79</v>
      </c>
      <c r="W9" s="224">
        <f>K9</f>
        <v>16.333333333333332</v>
      </c>
      <c r="X9" s="224">
        <f>L9</f>
        <v>2.6716640673724101</v>
      </c>
      <c r="AH9" s="519">
        <v>0.42</v>
      </c>
      <c r="AI9" s="525">
        <v>2</v>
      </c>
      <c r="AJ9" s="326">
        <v>74</v>
      </c>
      <c r="AK9" s="326">
        <v>44</v>
      </c>
      <c r="AL9" s="326">
        <v>27</v>
      </c>
      <c r="AM9" s="326">
        <v>21</v>
      </c>
      <c r="AN9" s="326">
        <v>23</v>
      </c>
    </row>
    <row r="10" spans="1:40" ht="12.75">
      <c r="A10" s="220"/>
      <c r="C10" s="512" t="s">
        <v>295</v>
      </c>
      <c r="D10" s="512"/>
      <c r="E10" s="512"/>
      <c r="F10" s="512"/>
      <c r="G10" s="512"/>
      <c r="H10" s="226"/>
      <c r="I10" s="227"/>
      <c r="J10" s="223"/>
      <c r="K10" s="226"/>
      <c r="L10" s="226"/>
      <c r="M10" s="227"/>
      <c r="O10" s="224"/>
      <c r="P10" s="224"/>
      <c r="Q10" s="515"/>
      <c r="R10" s="336">
        <v>1.21</v>
      </c>
      <c r="S10" s="224">
        <f>O6</f>
        <v>68.666666666666671</v>
      </c>
      <c r="T10" s="224">
        <f>P6</f>
        <v>2.9859597377653229</v>
      </c>
      <c r="U10" s="518"/>
      <c r="V10" s="336">
        <v>1.21</v>
      </c>
      <c r="W10" s="224">
        <f>O9</f>
        <v>33.333333333333336</v>
      </c>
      <c r="X10" s="224">
        <f>P9</f>
        <v>0.74535599249993001</v>
      </c>
      <c r="AH10" s="520"/>
      <c r="AI10" s="525"/>
      <c r="AJ10" s="326"/>
      <c r="AK10" s="326"/>
      <c r="AL10" s="326"/>
      <c r="AM10" s="326"/>
      <c r="AN10" s="326"/>
    </row>
    <row r="11" spans="1:40" ht="12.75">
      <c r="A11" s="225" t="s">
        <v>237</v>
      </c>
      <c r="B11" s="223"/>
      <c r="C11" s="226">
        <v>100</v>
      </c>
      <c r="D11" s="226">
        <v>200</v>
      </c>
      <c r="E11" s="227">
        <v>300</v>
      </c>
      <c r="F11" s="223">
        <v>400</v>
      </c>
      <c r="G11" s="226">
        <v>500</v>
      </c>
      <c r="H11" s="226"/>
      <c r="I11" s="227"/>
      <c r="J11" s="223"/>
      <c r="K11" s="513" t="s">
        <v>294</v>
      </c>
      <c r="L11" s="513"/>
      <c r="M11" s="227"/>
      <c r="O11" s="224"/>
      <c r="P11" s="224"/>
      <c r="Q11" s="516" t="s">
        <v>254</v>
      </c>
      <c r="R11" s="336">
        <v>0.04</v>
      </c>
      <c r="S11" s="224">
        <f>C7</f>
        <v>136.66666666666666</v>
      </c>
      <c r="T11" s="224">
        <f>D7</f>
        <v>25.787184586319018</v>
      </c>
      <c r="AH11" s="520"/>
      <c r="AI11" s="525"/>
      <c r="AJ11" s="313">
        <v>76</v>
      </c>
      <c r="AK11" s="313">
        <v>41</v>
      </c>
      <c r="AL11" s="313">
        <v>28</v>
      </c>
      <c r="AM11" s="313">
        <v>19</v>
      </c>
      <c r="AN11" s="313">
        <v>19</v>
      </c>
    </row>
    <row r="12" spans="1:40" ht="12.75">
      <c r="A12" s="218" t="s">
        <v>59</v>
      </c>
      <c r="B12" s="228" t="s">
        <v>235</v>
      </c>
      <c r="C12" s="229">
        <f>B5/60</f>
        <v>1.6666666666666667</v>
      </c>
      <c r="D12" s="230">
        <f>B6/60</f>
        <v>3.3333333333333335</v>
      </c>
      <c r="E12" s="230">
        <f>B7/60</f>
        <v>5</v>
      </c>
      <c r="F12" s="230">
        <f>B8/60</f>
        <v>6.666666666666667</v>
      </c>
      <c r="G12" s="231">
        <f>B9/60</f>
        <v>8.3333333333333339</v>
      </c>
      <c r="H12" s="232"/>
      <c r="I12" s="233"/>
      <c r="J12" s="234"/>
      <c r="K12" s="218" t="s">
        <v>245</v>
      </c>
      <c r="L12" s="330" t="s">
        <v>297</v>
      </c>
      <c r="M12" s="233"/>
      <c r="N12" s="252" t="s">
        <v>302</v>
      </c>
      <c r="O12" s="232"/>
      <c r="P12" s="232"/>
      <c r="Q12" s="516"/>
      <c r="R12" s="336">
        <v>0.42</v>
      </c>
      <c r="S12" s="224">
        <f>G7</f>
        <v>27.666666666666668</v>
      </c>
      <c r="T12" s="224">
        <f>H7</f>
        <v>0.72179560049150271</v>
      </c>
      <c r="Z12" s="290"/>
      <c r="AA12" s="290"/>
      <c r="AB12" s="290"/>
      <c r="AC12" s="290"/>
      <c r="AD12" s="290"/>
      <c r="AE12" s="290"/>
      <c r="AF12" s="290"/>
      <c r="AG12" s="290"/>
      <c r="AH12" s="522"/>
      <c r="AI12" s="525"/>
      <c r="AJ12" s="313">
        <v>66</v>
      </c>
      <c r="AK12" s="313">
        <v>39</v>
      </c>
      <c r="AL12" s="313">
        <v>28</v>
      </c>
      <c r="AM12" s="313">
        <v>22</v>
      </c>
      <c r="AN12" s="313">
        <v>19</v>
      </c>
    </row>
    <row r="13" spans="1:40" ht="12.75">
      <c r="A13" s="235">
        <v>1</v>
      </c>
      <c r="B13" s="236">
        <v>0.04</v>
      </c>
      <c r="C13" s="237">
        <f>C5</f>
        <v>659.33333333333337</v>
      </c>
      <c r="D13" s="238">
        <f>C6</f>
        <v>162</v>
      </c>
      <c r="E13" s="238">
        <f>C7</f>
        <v>136.66666666666666</v>
      </c>
      <c r="F13" s="238">
        <f>C8</f>
        <v>84.666666666666671</v>
      </c>
      <c r="G13" s="239">
        <f>C9</f>
        <v>81.666666666666671</v>
      </c>
      <c r="H13" s="331">
        <f>AVERAGE(C13:G13)</f>
        <v>224.8666666666667</v>
      </c>
      <c r="I13" s="233"/>
      <c r="J13" s="234"/>
      <c r="K13" s="218" t="s">
        <v>252</v>
      </c>
      <c r="L13" s="330" t="s">
        <v>298</v>
      </c>
      <c r="M13" s="233"/>
      <c r="N13" s="252" t="s">
        <v>303</v>
      </c>
      <c r="O13" s="232"/>
      <c r="P13" s="232"/>
      <c r="Q13" s="516"/>
      <c r="R13" s="336">
        <v>0.79</v>
      </c>
      <c r="S13" s="224">
        <f>K7</f>
        <v>19.666666666666668</v>
      </c>
      <c r="T13" s="224">
        <f>L7</f>
        <v>1.3477594576019696</v>
      </c>
      <c r="Z13" s="290"/>
      <c r="AA13" s="290"/>
      <c r="AB13" s="290"/>
      <c r="AC13" s="290"/>
      <c r="AD13" s="290"/>
      <c r="AE13" s="290"/>
      <c r="AF13" s="290"/>
      <c r="AG13" s="290"/>
      <c r="AH13" s="523">
        <v>0.79</v>
      </c>
      <c r="AI13" s="525">
        <v>3</v>
      </c>
      <c r="AJ13" s="326">
        <v>69</v>
      </c>
      <c r="AK13" s="326">
        <v>23</v>
      </c>
      <c r="AL13" s="326">
        <v>17</v>
      </c>
      <c r="AM13" s="326">
        <v>19</v>
      </c>
      <c r="AN13" s="326">
        <v>23</v>
      </c>
    </row>
    <row r="14" spans="1:40" ht="12.75">
      <c r="A14" s="240">
        <v>2</v>
      </c>
      <c r="B14" s="236">
        <v>0.42</v>
      </c>
      <c r="C14" s="241">
        <f>G5</f>
        <v>72</v>
      </c>
      <c r="D14" s="224">
        <f>G6</f>
        <v>41.333333333333336</v>
      </c>
      <c r="E14" s="224">
        <f>G7</f>
        <v>27.666666666666668</v>
      </c>
      <c r="F14" s="224">
        <f>G8</f>
        <v>20.666666666666668</v>
      </c>
      <c r="G14" s="242">
        <f>G9</f>
        <v>20.333333333333332</v>
      </c>
      <c r="H14" s="331">
        <f t="shared" ref="H14:H16" si="0">AVERAGE(C14:G14)</f>
        <v>36.4</v>
      </c>
      <c r="I14" s="233"/>
      <c r="J14" s="234"/>
      <c r="K14" s="218" t="s">
        <v>254</v>
      </c>
      <c r="L14" s="330" t="s">
        <v>299</v>
      </c>
      <c r="M14" s="233"/>
      <c r="N14" s="252" t="s">
        <v>304</v>
      </c>
      <c r="O14" s="232"/>
      <c r="P14" s="232"/>
      <c r="Q14" s="516"/>
      <c r="R14" s="336">
        <v>1.21</v>
      </c>
      <c r="S14" s="224">
        <f>O7</f>
        <v>46</v>
      </c>
      <c r="T14" s="224">
        <f>P7</f>
        <v>1.2429534719100848</v>
      </c>
      <c r="Z14" s="290"/>
      <c r="AA14" s="290"/>
      <c r="AB14" s="290"/>
      <c r="AC14" s="290"/>
      <c r="AD14" s="290"/>
      <c r="AE14" s="290"/>
      <c r="AF14" s="290"/>
      <c r="AG14" s="290"/>
      <c r="AH14" s="524"/>
      <c r="AI14" s="525"/>
      <c r="AJ14" s="313">
        <v>71</v>
      </c>
      <c r="AK14" s="313">
        <v>26</v>
      </c>
      <c r="AL14" s="313">
        <v>18</v>
      </c>
      <c r="AM14" s="313">
        <v>15</v>
      </c>
      <c r="AN14" s="313">
        <v>19</v>
      </c>
    </row>
    <row r="15" spans="1:40" ht="12.75">
      <c r="A15" s="240">
        <v>3</v>
      </c>
      <c r="B15" s="236">
        <v>0.79</v>
      </c>
      <c r="C15" s="241">
        <f>K5</f>
        <v>70.666666666666671</v>
      </c>
      <c r="D15" s="224">
        <f>K6</f>
        <v>24.666666666666668</v>
      </c>
      <c r="E15" s="224">
        <f>K7</f>
        <v>19.666666666666668</v>
      </c>
      <c r="F15" s="224">
        <f>K8</f>
        <v>17.666666666666668</v>
      </c>
      <c r="G15" s="242">
        <f>K9</f>
        <v>16.333333333333332</v>
      </c>
      <c r="H15" s="331">
        <f t="shared" si="0"/>
        <v>29.800000000000004</v>
      </c>
      <c r="I15" s="233"/>
      <c r="J15" s="234"/>
      <c r="K15" s="218" t="s">
        <v>255</v>
      </c>
      <c r="L15" s="330" t="s">
        <v>300</v>
      </c>
      <c r="M15" s="233"/>
      <c r="N15" s="252" t="s">
        <v>305</v>
      </c>
      <c r="O15" s="232"/>
      <c r="P15" s="232"/>
      <c r="Z15" s="290"/>
      <c r="AA15" s="290"/>
      <c r="AB15" s="290"/>
      <c r="AC15" s="290"/>
      <c r="AD15" s="290"/>
      <c r="AE15" s="290"/>
      <c r="AF15" s="290"/>
      <c r="AG15" s="290"/>
      <c r="AH15" s="522"/>
      <c r="AI15" s="525"/>
      <c r="AJ15" s="313">
        <v>72</v>
      </c>
      <c r="AK15" s="313">
        <v>25</v>
      </c>
      <c r="AL15" s="313">
        <v>18</v>
      </c>
      <c r="AM15" s="313">
        <v>15</v>
      </c>
      <c r="AN15" s="313">
        <v>19</v>
      </c>
    </row>
    <row r="16" spans="1:40" ht="12.75">
      <c r="A16" s="243">
        <v>4</v>
      </c>
      <c r="B16" s="243">
        <v>1.21</v>
      </c>
      <c r="C16" s="244">
        <f>O5</f>
        <v>135.33333333333334</v>
      </c>
      <c r="D16" s="245">
        <f>O6</f>
        <v>68.666666666666671</v>
      </c>
      <c r="E16" s="245">
        <f>O7</f>
        <v>46</v>
      </c>
      <c r="F16" s="245">
        <f>O8</f>
        <v>35.333333333333336</v>
      </c>
      <c r="G16" s="246">
        <f>O9</f>
        <v>33.333333333333336</v>
      </c>
      <c r="H16" s="331">
        <f t="shared" si="0"/>
        <v>63.733333333333327</v>
      </c>
      <c r="I16" s="233"/>
      <c r="J16" s="234"/>
      <c r="K16" s="218" t="s">
        <v>256</v>
      </c>
      <c r="L16" s="330" t="s">
        <v>301</v>
      </c>
      <c r="M16" s="233"/>
      <c r="N16" s="252"/>
      <c r="O16" s="232"/>
      <c r="P16" s="232"/>
      <c r="Z16" s="290"/>
      <c r="AA16" s="290"/>
      <c r="AB16" s="290"/>
      <c r="AC16" s="290"/>
      <c r="AD16" s="290"/>
      <c r="AE16" s="290"/>
      <c r="AF16" s="290"/>
      <c r="AG16" s="290"/>
      <c r="AH16" s="511" t="s">
        <v>292</v>
      </c>
      <c r="AI16" s="525">
        <v>4</v>
      </c>
      <c r="AJ16" s="326">
        <v>138</v>
      </c>
      <c r="AK16" s="326">
        <v>71</v>
      </c>
      <c r="AL16" s="326">
        <v>46</v>
      </c>
      <c r="AM16" s="326">
        <v>40</v>
      </c>
      <c r="AN16" s="326">
        <v>33</v>
      </c>
    </row>
    <row r="17" spans="1:42" ht="12.75">
      <c r="A17" s="290"/>
      <c r="B17" s="290"/>
      <c r="C17" s="332">
        <f>AVERAGE(C13:C16)</f>
        <v>234.33333333333334</v>
      </c>
      <c r="D17" s="332">
        <f t="shared" ref="D17:G17" si="1">AVERAGE(D13:D16)</f>
        <v>74.166666666666671</v>
      </c>
      <c r="E17" s="332">
        <f t="shared" si="1"/>
        <v>57.499999999999993</v>
      </c>
      <c r="F17" s="332">
        <f t="shared" si="1"/>
        <v>39.583333333333336</v>
      </c>
      <c r="G17" s="332">
        <f t="shared" si="1"/>
        <v>37.916666666666664</v>
      </c>
      <c r="H17" s="232"/>
      <c r="I17" s="233"/>
      <c r="J17" s="234"/>
      <c r="K17" s="232"/>
      <c r="L17" s="232"/>
      <c r="M17" s="233"/>
      <c r="N17" s="234"/>
      <c r="O17" s="232"/>
      <c r="P17" s="232"/>
      <c r="Z17" s="290"/>
      <c r="AA17" s="290"/>
      <c r="AB17" s="290"/>
      <c r="AC17" s="290"/>
      <c r="AD17" s="290"/>
      <c r="AE17" s="290"/>
      <c r="AF17" s="290"/>
      <c r="AG17" s="290"/>
      <c r="AH17" s="511"/>
      <c r="AI17" s="525"/>
      <c r="AJ17" s="326"/>
      <c r="AK17" s="326"/>
      <c r="AL17" s="326"/>
      <c r="AM17" s="326"/>
      <c r="AN17" s="326"/>
    </row>
    <row r="18" spans="1:42" ht="13.5" thickBot="1">
      <c r="A18" s="247"/>
      <c r="B18" s="247"/>
      <c r="C18" s="247"/>
      <c r="D18" s="247"/>
      <c r="E18" s="247"/>
      <c r="F18" s="247"/>
      <c r="G18" s="247"/>
      <c r="H18" s="247"/>
      <c r="I18" s="248"/>
      <c r="J18" s="248"/>
      <c r="K18" s="247"/>
      <c r="L18" s="247"/>
      <c r="M18" s="247"/>
      <c r="N18" s="247"/>
      <c r="O18" s="247"/>
      <c r="P18" s="247"/>
      <c r="Q18" s="248"/>
      <c r="R18" s="248"/>
      <c r="S18" s="248"/>
      <c r="T18" s="248"/>
      <c r="U18" s="248"/>
      <c r="V18" s="248"/>
      <c r="W18" s="248"/>
      <c r="X18" s="248"/>
      <c r="Y18" s="248"/>
      <c r="Z18" s="290"/>
      <c r="AA18" s="290"/>
      <c r="AB18" s="290"/>
      <c r="AC18" s="290"/>
      <c r="AD18" s="290"/>
      <c r="AE18" s="290"/>
      <c r="AF18" s="290"/>
      <c r="AG18" s="290"/>
      <c r="AH18" s="511"/>
      <c r="AI18" s="525"/>
      <c r="AJ18" s="313">
        <v>136</v>
      </c>
      <c r="AK18" s="313">
        <v>66</v>
      </c>
      <c r="AL18" s="313">
        <v>47</v>
      </c>
      <c r="AM18" s="313">
        <v>32</v>
      </c>
      <c r="AN18" s="313">
        <v>34</v>
      </c>
    </row>
    <row r="19" spans="1:42" ht="15.75" customHeight="1" thickTop="1">
      <c r="A19" s="526" t="s">
        <v>229</v>
      </c>
      <c r="B19" s="526"/>
      <c r="C19" s="526"/>
      <c r="D19" s="218" t="s">
        <v>230</v>
      </c>
      <c r="E19" s="218">
        <v>0.19</v>
      </c>
      <c r="I19" s="291"/>
      <c r="J19" s="526" t="s">
        <v>259</v>
      </c>
      <c r="K19" s="526"/>
      <c r="L19" s="526"/>
      <c r="P19" s="218" t="s">
        <v>34</v>
      </c>
      <c r="R19" s="249"/>
      <c r="S19" s="526" t="s">
        <v>261</v>
      </c>
      <c r="T19" s="526"/>
      <c r="U19" s="526"/>
      <c r="W19" s="218" t="s">
        <v>34</v>
      </c>
      <c r="Z19" s="290"/>
      <c r="AA19" s="290"/>
      <c r="AB19" s="290"/>
      <c r="AC19" s="290"/>
      <c r="AD19" s="290"/>
      <c r="AE19" s="290"/>
      <c r="AF19" s="290"/>
      <c r="AG19" s="290"/>
      <c r="AH19" s="511"/>
      <c r="AI19" s="525"/>
      <c r="AJ19" s="313">
        <v>132</v>
      </c>
      <c r="AK19" s="313">
        <v>69</v>
      </c>
      <c r="AL19" s="313">
        <v>45</v>
      </c>
      <c r="AM19" s="313">
        <v>34</v>
      </c>
      <c r="AN19" s="313">
        <v>33</v>
      </c>
    </row>
    <row r="20" spans="1:42">
      <c r="D20" s="218" t="s">
        <v>2</v>
      </c>
      <c r="E20" s="250">
        <f>500/$K$1</f>
        <v>0.5</v>
      </c>
      <c r="I20" s="272"/>
      <c r="K20" s="290"/>
      <c r="P20" s="301" t="s">
        <v>15</v>
      </c>
      <c r="Q20" s="254">
        <v>1.0001501343712309</v>
      </c>
      <c r="R20" s="251"/>
      <c r="W20" s="307" t="s">
        <v>19</v>
      </c>
      <c r="X20" s="239">
        <v>160944.55348598157</v>
      </c>
      <c r="Z20" s="290"/>
      <c r="AA20" s="290"/>
      <c r="AB20" s="290"/>
      <c r="AC20" s="290"/>
      <c r="AD20" s="290"/>
      <c r="AE20" s="290"/>
      <c r="AF20" s="290"/>
      <c r="AG20" s="290"/>
    </row>
    <row r="21" spans="1:42" ht="15">
      <c r="D21" s="218" t="s">
        <v>231</v>
      </c>
      <c r="E21" s="250">
        <v>0.11</v>
      </c>
      <c r="I21" s="272"/>
      <c r="K21" s="290"/>
      <c r="P21" s="302" t="s">
        <v>16</v>
      </c>
      <c r="Q21" s="303">
        <v>0.97879708233740925</v>
      </c>
      <c r="R21" s="251"/>
      <c r="W21" s="308" t="s">
        <v>15</v>
      </c>
      <c r="X21" s="283">
        <v>0.50510146460768579</v>
      </c>
      <c r="Z21" s="290"/>
      <c r="AA21" s="290"/>
      <c r="AB21" s="290"/>
      <c r="AC21" s="290"/>
      <c r="AD21" s="290"/>
      <c r="AE21" s="290"/>
      <c r="AF21" s="290"/>
      <c r="AG21" s="290"/>
      <c r="AH21" t="s">
        <v>273</v>
      </c>
      <c r="AI21"/>
      <c r="AJ21"/>
      <c r="AK21"/>
      <c r="AL21"/>
      <c r="AM21"/>
      <c r="AN21"/>
      <c r="AO21" s="319"/>
      <c r="AP21" s="290"/>
    </row>
    <row r="22" spans="1:42" ht="12.75" customHeight="1">
      <c r="D22" s="218" t="s">
        <v>10</v>
      </c>
      <c r="E22" s="250">
        <f>'1'!D97/$K$1</f>
        <v>0.05</v>
      </c>
      <c r="I22" s="272"/>
      <c r="K22" s="290"/>
      <c r="P22" s="304" t="s">
        <v>17</v>
      </c>
      <c r="Q22" s="254">
        <v>0.45246076739521218</v>
      </c>
      <c r="R22" s="251"/>
      <c r="W22" s="308" t="s">
        <v>16</v>
      </c>
      <c r="X22" s="283">
        <v>5.9840077421074132E-2</v>
      </c>
      <c r="Z22" s="290"/>
      <c r="AA22" s="290"/>
      <c r="AB22" s="290"/>
      <c r="AC22" s="290"/>
      <c r="AD22" s="290"/>
      <c r="AE22" s="290"/>
      <c r="AF22" s="290"/>
      <c r="AG22" s="290"/>
      <c r="AH22"/>
      <c r="AI22"/>
      <c r="AJ22"/>
      <c r="AK22"/>
      <c r="AL22"/>
      <c r="AM22"/>
      <c r="AN22"/>
      <c r="AO22" s="319"/>
      <c r="AP22" s="290"/>
    </row>
    <row r="23" spans="1:42" ht="15">
      <c r="A23" s="252" t="s">
        <v>34</v>
      </c>
      <c r="B23" s="234"/>
      <c r="D23" s="218" t="s">
        <v>159</v>
      </c>
      <c r="E23" s="250">
        <f>E20/E21</f>
        <v>4.5454545454545459</v>
      </c>
      <c r="I23" s="272"/>
      <c r="K23" s="290"/>
      <c r="O23" s="272"/>
      <c r="P23" s="305" t="s">
        <v>10</v>
      </c>
      <c r="Q23" s="303">
        <v>0.18574337117247428</v>
      </c>
      <c r="R23" s="251"/>
      <c r="W23" s="308" t="s">
        <v>17</v>
      </c>
      <c r="X23" s="283">
        <v>-0.88952263938318044</v>
      </c>
      <c r="AH23" t="s">
        <v>274</v>
      </c>
      <c r="AI23">
        <v>100</v>
      </c>
      <c r="AJ23">
        <v>200</v>
      </c>
      <c r="AK23">
        <v>300</v>
      </c>
      <c r="AL23">
        <v>400</v>
      </c>
      <c r="AM23">
        <v>500</v>
      </c>
      <c r="AN23" t="s">
        <v>275</v>
      </c>
      <c r="AO23" s="319"/>
      <c r="AP23" s="290"/>
    </row>
    <row r="24" spans="1:42" ht="15.75" thickBot="1">
      <c r="A24" s="253" t="s">
        <v>15</v>
      </c>
      <c r="B24" s="254">
        <v>1.14778080453576</v>
      </c>
      <c r="D24" s="218" t="s">
        <v>232</v>
      </c>
      <c r="E24" s="250">
        <f>E21/E22</f>
        <v>2.1999999999999997</v>
      </c>
      <c r="I24" s="272"/>
      <c r="K24" s="290"/>
      <c r="R24" s="251"/>
      <c r="S24" s="306" t="s">
        <v>262</v>
      </c>
      <c r="T24" s="218">
        <v>993.33</v>
      </c>
      <c r="U24" s="218" t="s">
        <v>266</v>
      </c>
      <c r="W24" s="302" t="s">
        <v>10</v>
      </c>
      <c r="X24" s="309">
        <v>-1.1922058180049773</v>
      </c>
      <c r="AD24" s="218" t="s">
        <v>144</v>
      </c>
      <c r="AH24" s="316">
        <v>1</v>
      </c>
      <c r="AI24" s="316"/>
      <c r="AJ24" s="316"/>
      <c r="AK24" s="316"/>
      <c r="AL24" s="316"/>
      <c r="AM24" s="316"/>
      <c r="AN24" s="316"/>
      <c r="AO24" s="320"/>
      <c r="AP24" s="290"/>
    </row>
    <row r="25" spans="1:42" ht="15">
      <c r="A25" s="253" t="s">
        <v>16</v>
      </c>
      <c r="B25" s="254">
        <v>0.457050131759065</v>
      </c>
      <c r="D25" s="218" t="s">
        <v>19</v>
      </c>
      <c r="E25" s="224">
        <f>(PI())*E23*(E24)^3</f>
        <v>152.05308443374594</v>
      </c>
      <c r="I25" s="272"/>
      <c r="K25" s="290"/>
      <c r="R25" s="251"/>
      <c r="S25" s="310" t="s">
        <v>264</v>
      </c>
      <c r="T25" s="218">
        <v>6.9149999999999995E-4</v>
      </c>
      <c r="AH25" s="315" t="s">
        <v>276</v>
      </c>
      <c r="AI25" s="315">
        <v>3</v>
      </c>
      <c r="AJ25" s="315">
        <v>3</v>
      </c>
      <c r="AK25" s="315">
        <v>3</v>
      </c>
      <c r="AL25" s="315">
        <v>3</v>
      </c>
      <c r="AM25" s="315">
        <v>3</v>
      </c>
      <c r="AN25" s="315">
        <v>15</v>
      </c>
      <c r="AO25" s="315"/>
      <c r="AP25" s="290"/>
    </row>
    <row r="26" spans="1:42" ht="15">
      <c r="A26" s="255" t="s">
        <v>230</v>
      </c>
      <c r="I26" s="272"/>
      <c r="J26" s="255" t="s">
        <v>230</v>
      </c>
      <c r="K26" s="290"/>
      <c r="R26" s="251"/>
      <c r="T26" s="218">
        <v>600</v>
      </c>
      <c r="U26" s="218" t="s">
        <v>296</v>
      </c>
      <c r="AH26" s="315" t="s">
        <v>277</v>
      </c>
      <c r="AI26" s="315">
        <v>1978</v>
      </c>
      <c r="AJ26" s="315">
        <v>486</v>
      </c>
      <c r="AK26" s="315">
        <v>410</v>
      </c>
      <c r="AL26" s="315">
        <v>254</v>
      </c>
      <c r="AM26" s="315">
        <v>245</v>
      </c>
      <c r="AN26" s="315">
        <v>3373</v>
      </c>
      <c r="AO26" s="315"/>
      <c r="AP26" s="290"/>
    </row>
    <row r="27" spans="1:42" ht="15">
      <c r="C27" s="218" t="s">
        <v>233</v>
      </c>
      <c r="I27" s="272"/>
      <c r="L27" s="218" t="s">
        <v>233</v>
      </c>
      <c r="R27" s="251"/>
      <c r="AH27" s="315" t="s">
        <v>278</v>
      </c>
      <c r="AI27" s="328">
        <v>659.33333333333337</v>
      </c>
      <c r="AJ27" s="328">
        <v>162</v>
      </c>
      <c r="AK27" s="328">
        <v>136.66666666666666</v>
      </c>
      <c r="AL27" s="328">
        <v>84.666666666666671</v>
      </c>
      <c r="AM27" s="328">
        <v>81.666666666666671</v>
      </c>
      <c r="AN27" s="328">
        <v>224.86666666666667</v>
      </c>
      <c r="AO27" s="315"/>
      <c r="AP27" s="290"/>
    </row>
    <row r="28" spans="1:42" ht="15">
      <c r="A28" s="256" t="s">
        <v>234</v>
      </c>
      <c r="B28" s="228" t="s">
        <v>235</v>
      </c>
      <c r="C28" s="230">
        <v>1.6666666666666667</v>
      </c>
      <c r="D28" s="254">
        <v>3.3333333333333335</v>
      </c>
      <c r="E28" s="230">
        <v>5</v>
      </c>
      <c r="F28" s="254">
        <v>6.666666666666667</v>
      </c>
      <c r="G28" s="231">
        <v>8.3333333333333339</v>
      </c>
      <c r="I28" s="272"/>
      <c r="J28" s="256" t="s">
        <v>234</v>
      </c>
      <c r="K28" s="228" t="s">
        <v>235</v>
      </c>
      <c r="L28" s="230">
        <v>1.6666666666666667</v>
      </c>
      <c r="M28" s="254">
        <v>3.3333333333333335</v>
      </c>
      <c r="N28" s="230">
        <v>5</v>
      </c>
      <c r="O28" s="254">
        <v>6.666666666666667</v>
      </c>
      <c r="P28" s="231">
        <v>8.3333333333333339</v>
      </c>
      <c r="R28" s="251"/>
      <c r="S28" s="218" t="s">
        <v>263</v>
      </c>
      <c r="AH28" s="315" t="s">
        <v>279</v>
      </c>
      <c r="AI28" s="328">
        <v>24808.333333333372</v>
      </c>
      <c r="AJ28" s="328">
        <v>175</v>
      </c>
      <c r="AK28" s="328">
        <v>497.33333333333212</v>
      </c>
      <c r="AL28" s="328">
        <v>16.333333333333332</v>
      </c>
      <c r="AM28" s="328">
        <v>12.333333333333332</v>
      </c>
      <c r="AN28" s="328">
        <v>55213.123809523808</v>
      </c>
      <c r="AO28" s="315"/>
      <c r="AP28" s="290"/>
    </row>
    <row r="29" spans="1:42" ht="15">
      <c r="A29" s="257">
        <v>1</v>
      </c>
      <c r="B29" s="240">
        <v>0.04</v>
      </c>
      <c r="C29" s="258">
        <f>(4*($A$13/1000))/(C5*C12*($E$22^3))</f>
        <v>2.9120323559150649E-2</v>
      </c>
      <c r="D29" s="258">
        <f>(4*($A$13/1000))/(D13*D12*($E$22^3))</f>
        <v>5.9259259259259248E-2</v>
      </c>
      <c r="E29" s="258">
        <f>(4*($A$13/1000))/(E13*E12*($E$22^3))</f>
        <v>4.682926829268292E-2</v>
      </c>
      <c r="F29" s="258">
        <f>(4*($A$13/1000))/(F13*F12*($E$22^3))</f>
        <v>5.669291338582675E-2</v>
      </c>
      <c r="G29" s="258">
        <f>(4*($A$13/1000))/(G13*G12*($E$22^3))</f>
        <v>4.702040816326529E-2</v>
      </c>
      <c r="I29" s="272"/>
      <c r="J29" s="257">
        <v>1</v>
      </c>
      <c r="K29" s="240">
        <v>0.04</v>
      </c>
      <c r="L29" s="258">
        <f>C29</f>
        <v>2.9120323559150649E-2</v>
      </c>
      <c r="M29" s="258">
        <f t="shared" ref="M29:P32" si="2">D29</f>
        <v>5.9259259259259248E-2</v>
      </c>
      <c r="N29" s="258">
        <f t="shared" si="2"/>
        <v>4.682926829268292E-2</v>
      </c>
      <c r="O29" s="258">
        <f t="shared" si="2"/>
        <v>5.669291338582675E-2</v>
      </c>
      <c r="P29" s="258">
        <f t="shared" si="2"/>
        <v>4.702040816326529E-2</v>
      </c>
      <c r="R29" s="251"/>
      <c r="S29" s="218" t="s">
        <v>265</v>
      </c>
      <c r="AH29" s="315"/>
      <c r="AI29" s="315"/>
      <c r="AJ29" s="315"/>
      <c r="AK29" s="315"/>
      <c r="AL29" s="315"/>
      <c r="AM29" s="315"/>
      <c r="AN29" s="315"/>
      <c r="AO29" s="315"/>
      <c r="AP29" s="290"/>
    </row>
    <row r="30" spans="1:42" ht="13.5" thickBot="1">
      <c r="A30" s="257">
        <v>2</v>
      </c>
      <c r="B30" s="240">
        <v>0.42</v>
      </c>
      <c r="C30" s="258">
        <f>(4*($A$14/1000))/(C14*C12*($E$22^3))</f>
        <v>0.53333333333333321</v>
      </c>
      <c r="D30" s="258">
        <f>(4*($A$14/1000))/(D14*D12*($E$22^3))</f>
        <v>0.46451612903225786</v>
      </c>
      <c r="E30" s="258">
        <f>(4*($A$14/1000))/(E14*E12*($E$22^3))</f>
        <v>0.46265060240963846</v>
      </c>
      <c r="F30" s="258">
        <f>(4*($A$14/1000))/(F14*F12*($E$22^3))</f>
        <v>0.46451612903225786</v>
      </c>
      <c r="G30" s="258">
        <f>(4*($A$14/1000))/(G14*G12*($E$22^3))</f>
        <v>0.37770491803278677</v>
      </c>
      <c r="I30" s="272"/>
      <c r="J30" s="257">
        <v>2</v>
      </c>
      <c r="K30" s="623">
        <v>0.42</v>
      </c>
      <c r="L30" s="624">
        <f t="shared" ref="L30:L32" si="3">C30</f>
        <v>0.53333333333333321</v>
      </c>
      <c r="M30" s="624">
        <f t="shared" si="2"/>
        <v>0.46451612903225786</v>
      </c>
      <c r="N30" s="624">
        <f t="shared" si="2"/>
        <v>0.46265060240963846</v>
      </c>
      <c r="O30" s="624">
        <f t="shared" si="2"/>
        <v>0.46451612903225786</v>
      </c>
      <c r="P30" s="624">
        <f t="shared" si="2"/>
        <v>0.37770491803278677</v>
      </c>
      <c r="R30" s="251"/>
      <c r="S30" s="230">
        <v>1.6666666666666667</v>
      </c>
      <c r="T30" s="254">
        <v>3.3333333333333335</v>
      </c>
      <c r="U30" s="230">
        <v>5</v>
      </c>
      <c r="V30" s="254">
        <v>6.666666666666667</v>
      </c>
      <c r="W30" s="231">
        <v>8.3333333333333339</v>
      </c>
      <c r="AH30" s="316">
        <v>2</v>
      </c>
      <c r="AI30" s="316"/>
      <c r="AJ30" s="316"/>
      <c r="AK30" s="316"/>
      <c r="AL30" s="316"/>
      <c r="AM30" s="316"/>
      <c r="AN30" s="316"/>
      <c r="AO30" s="320"/>
      <c r="AP30" s="290"/>
    </row>
    <row r="31" spans="1:42" ht="15">
      <c r="A31" s="257">
        <v>3</v>
      </c>
      <c r="B31" s="240">
        <v>0.79</v>
      </c>
      <c r="C31" s="258">
        <f>(4*($A$15/1000))/(C15*C12*($E$22^3))</f>
        <v>0.81509433962264122</v>
      </c>
      <c r="D31" s="258">
        <f>(4*($A$15/1000))/(D15*D12*($E$22^3))</f>
        <v>1.1675675675675672</v>
      </c>
      <c r="E31" s="258">
        <f>(4*($A$15/1000))/(E15*E12*($E$22^3))</f>
        <v>0.97627118644067767</v>
      </c>
      <c r="F31" s="258">
        <f>(4*($A$15/1000))/(F15*F12*($E$22^3))</f>
        <v>0.81509433962264122</v>
      </c>
      <c r="G31" s="258">
        <f>(4*($A$15/1000))/(G15*G12*($E$22^3))</f>
        <v>0.70530612244897939</v>
      </c>
      <c r="I31" s="272"/>
      <c r="J31" s="257">
        <v>3</v>
      </c>
      <c r="K31" s="623">
        <v>0.79</v>
      </c>
      <c r="L31" s="624">
        <f t="shared" si="3"/>
        <v>0.81509433962264122</v>
      </c>
      <c r="M31" s="624">
        <f t="shared" si="2"/>
        <v>1.1675675675675672</v>
      </c>
      <c r="N31" s="624">
        <f t="shared" si="2"/>
        <v>0.97627118644067767</v>
      </c>
      <c r="O31" s="624">
        <f t="shared" si="2"/>
        <v>0.81509433962264122</v>
      </c>
      <c r="P31" s="624">
        <f t="shared" si="2"/>
        <v>0.70530612244897939</v>
      </c>
      <c r="R31" s="251"/>
      <c r="S31" s="237">
        <f>($T$24*S30*($E$22^2))/$T$25</f>
        <v>5985.3579175705017</v>
      </c>
      <c r="T31" s="237">
        <f t="shared" ref="T31:W31" si="4">($T$24*T30*($E$22^2))/$T$25</f>
        <v>11970.715835141003</v>
      </c>
      <c r="U31" s="237">
        <f t="shared" si="4"/>
        <v>17956.073752711502</v>
      </c>
      <c r="V31" s="237">
        <f t="shared" si="4"/>
        <v>23941.431670282007</v>
      </c>
      <c r="W31" s="237">
        <f t="shared" si="4"/>
        <v>29926.789587852509</v>
      </c>
      <c r="AH31" s="315" t="s">
        <v>276</v>
      </c>
      <c r="AI31" s="315">
        <v>3</v>
      </c>
      <c r="AJ31" s="315">
        <v>3</v>
      </c>
      <c r="AK31" s="315">
        <v>3</v>
      </c>
      <c r="AL31" s="315">
        <v>3</v>
      </c>
      <c r="AM31" s="315">
        <v>3</v>
      </c>
      <c r="AN31" s="315">
        <v>15</v>
      </c>
      <c r="AO31" s="315"/>
      <c r="AP31" s="290"/>
    </row>
    <row r="32" spans="1:42" ht="15">
      <c r="A32" s="259">
        <v>4</v>
      </c>
      <c r="B32" s="243">
        <v>1.21</v>
      </c>
      <c r="C32" s="258">
        <f>(4*($A$16/1000))/(C16*C12*($E$22^3))</f>
        <v>0.56748768472906386</v>
      </c>
      <c r="D32" s="258">
        <f>(4*($A$16/1000))/(D16*D12*($E$22^3))</f>
        <v>0.55922330097087358</v>
      </c>
      <c r="E32" s="258">
        <f>(4*($A$16/1000))/(E16*E12*($E$22^3))</f>
        <v>0.55652173913043468</v>
      </c>
      <c r="F32" s="258">
        <f>(4*($A$16/1000))/(F16*F12*($E$22^3))</f>
        <v>0.54339622641509422</v>
      </c>
      <c r="G32" s="258">
        <f>(4*($A$16/1000))/(G16*G12*($E$22^3))</f>
        <v>0.46079999999999982</v>
      </c>
      <c r="I32" s="272"/>
      <c r="J32" s="259">
        <v>4</v>
      </c>
      <c r="K32" s="243">
        <v>1.21</v>
      </c>
      <c r="L32" s="258">
        <f t="shared" si="3"/>
        <v>0.56748768472906386</v>
      </c>
      <c r="M32" s="258">
        <f t="shared" si="2"/>
        <v>0.55922330097087358</v>
      </c>
      <c r="N32" s="258">
        <f t="shared" si="2"/>
        <v>0.55652173913043468</v>
      </c>
      <c r="O32" s="258">
        <f t="shared" si="2"/>
        <v>0.54339622641509422</v>
      </c>
      <c r="P32" s="258">
        <f t="shared" si="2"/>
        <v>0.46079999999999982</v>
      </c>
      <c r="R32" s="251"/>
      <c r="AH32" s="315" t="s">
        <v>277</v>
      </c>
      <c r="AI32" s="315">
        <v>216</v>
      </c>
      <c r="AJ32" s="315">
        <v>124</v>
      </c>
      <c r="AK32" s="315">
        <v>83</v>
      </c>
      <c r="AL32" s="315">
        <v>62</v>
      </c>
      <c r="AM32" s="315">
        <v>61</v>
      </c>
      <c r="AN32" s="315">
        <v>546</v>
      </c>
      <c r="AO32" s="315"/>
      <c r="AP32" s="290"/>
    </row>
    <row r="33" spans="1:44" ht="15">
      <c r="I33" s="272"/>
      <c r="R33" s="251"/>
      <c r="S33" s="218" t="s">
        <v>267</v>
      </c>
      <c r="AH33" s="315" t="s">
        <v>278</v>
      </c>
      <c r="AI33" s="315">
        <v>72</v>
      </c>
      <c r="AJ33" s="328">
        <v>41.333333333333336</v>
      </c>
      <c r="AK33" s="328">
        <v>27.666666666666668</v>
      </c>
      <c r="AL33" s="328">
        <v>20.666666666666668</v>
      </c>
      <c r="AM33" s="328">
        <v>20.333333333333332</v>
      </c>
      <c r="AN33" s="328">
        <v>36.4</v>
      </c>
      <c r="AO33" s="315"/>
      <c r="AP33" s="290"/>
    </row>
    <row r="34" spans="1:44" ht="15">
      <c r="A34" s="255" t="s">
        <v>238</v>
      </c>
      <c r="I34" s="272"/>
      <c r="J34" s="255" t="s">
        <v>268</v>
      </c>
      <c r="R34" s="251"/>
      <c r="U34" s="218" t="s">
        <v>233</v>
      </c>
      <c r="AH34" s="315" t="s">
        <v>279</v>
      </c>
      <c r="AI34" s="315">
        <v>28</v>
      </c>
      <c r="AJ34" s="328">
        <v>6.333333333333333</v>
      </c>
      <c r="AK34" s="328">
        <v>0.33333333333333337</v>
      </c>
      <c r="AL34" s="328">
        <v>2.333333333333333</v>
      </c>
      <c r="AM34" s="328">
        <v>5.3333333333333339</v>
      </c>
      <c r="AN34" s="328">
        <v>407.54285714285703</v>
      </c>
      <c r="AO34" s="315"/>
      <c r="AP34" s="290"/>
    </row>
    <row r="35" spans="1:44" ht="15">
      <c r="C35" s="218" t="s">
        <v>233</v>
      </c>
      <c r="I35" s="272"/>
      <c r="L35" s="218" t="s">
        <v>233</v>
      </c>
      <c r="R35" s="251"/>
      <c r="S35" s="256" t="s">
        <v>234</v>
      </c>
      <c r="T35" s="228" t="s">
        <v>235</v>
      </c>
      <c r="U35" s="311">
        <v>1.6666666666666667</v>
      </c>
      <c r="V35" s="311">
        <v>3.3333333333333335</v>
      </c>
      <c r="W35" s="311">
        <v>5</v>
      </c>
      <c r="X35" s="311">
        <v>6.666666666666667</v>
      </c>
      <c r="Y35" s="311">
        <v>8.3333333333333339</v>
      </c>
      <c r="AH35" s="315"/>
      <c r="AI35" s="315"/>
      <c r="AJ35" s="315"/>
      <c r="AK35" s="315"/>
      <c r="AL35" s="315"/>
      <c r="AM35" s="315"/>
      <c r="AN35" s="315"/>
      <c r="AO35" s="315"/>
      <c r="AP35" s="290"/>
    </row>
    <row r="36" spans="1:44" ht="13.5" thickBot="1">
      <c r="A36" s="256" t="s">
        <v>234</v>
      </c>
      <c r="B36" s="228" t="s">
        <v>235</v>
      </c>
      <c r="C36" s="254">
        <v>1.6666666666666667</v>
      </c>
      <c r="D36" s="254">
        <v>3.3333333333333335</v>
      </c>
      <c r="E36" s="254">
        <v>5</v>
      </c>
      <c r="F36" s="254">
        <v>6.666666666666667</v>
      </c>
      <c r="G36" s="254">
        <v>8.3333333333333339</v>
      </c>
      <c r="I36" s="272"/>
      <c r="J36" s="256" t="s">
        <v>234</v>
      </c>
      <c r="K36" s="228" t="s">
        <v>235</v>
      </c>
      <c r="L36" s="254">
        <v>1.6666666666666667</v>
      </c>
      <c r="M36" s="254">
        <v>3.3333333333333335</v>
      </c>
      <c r="N36" s="254">
        <v>5</v>
      </c>
      <c r="O36" s="254">
        <v>6.666666666666667</v>
      </c>
      <c r="P36" s="254">
        <v>8.3333333333333339</v>
      </c>
      <c r="R36" s="251"/>
      <c r="S36" s="257">
        <v>1</v>
      </c>
      <c r="T36" s="240">
        <v>0.04</v>
      </c>
      <c r="U36" s="311">
        <f>$T$26*L29/$S$31</f>
        <v>2.9191561099795476E-3</v>
      </c>
      <c r="V36" s="311">
        <f>$T$26*M29/$T$31</f>
        <v>2.9702113094339224E-3</v>
      </c>
      <c r="W36" s="311">
        <f>$T$26*N29/$U$31</f>
        <v>1.5647942508237253E-3</v>
      </c>
      <c r="X36" s="311">
        <f>$T$26*O29/$V$31</f>
        <v>1.4207900554969351E-3</v>
      </c>
      <c r="Y36" s="311">
        <f>$T$26*P29/$W$31</f>
        <v>9.4270869967992554E-4</v>
      </c>
      <c r="AH36" s="316">
        <v>3</v>
      </c>
      <c r="AI36" s="316"/>
      <c r="AJ36" s="316"/>
      <c r="AK36" s="316"/>
      <c r="AL36" s="316"/>
      <c r="AM36" s="316"/>
      <c r="AN36" s="316"/>
      <c r="AO36" s="320"/>
      <c r="AP36" s="290"/>
    </row>
    <row r="37" spans="1:44" ht="15">
      <c r="A37" s="257">
        <v>1</v>
      </c>
      <c r="B37" s="228">
        <v>0.04</v>
      </c>
      <c r="C37" s="260">
        <f>($E$25/(C29*(C36^$B$24)))*(($B$37^$B$25))</f>
        <v>667.17019531555377</v>
      </c>
      <c r="D37" s="260">
        <f>($E$25/(D29*(D36^$B$24)))*(($B$37^$B$25))</f>
        <v>147.96539701427409</v>
      </c>
      <c r="E37" s="260">
        <f>($E$25/(E29*(E36^$B$24)))*(($B$37^$B$25))</f>
        <v>117.56683946706343</v>
      </c>
      <c r="F37" s="260">
        <f>($E$25/(F29*(F36^$B$24)))*(($B$37^$B$25))</f>
        <v>69.802528747290495</v>
      </c>
      <c r="G37" s="260">
        <f>($E$25/(G29*(G36^$B$24)))*(($B$37^$B$25))</f>
        <v>65.145149372080951</v>
      </c>
      <c r="I37" s="272"/>
      <c r="J37" s="257">
        <v>1</v>
      </c>
      <c r="K37" s="228">
        <v>0.04</v>
      </c>
      <c r="L37" s="260">
        <f>($E$25/(L29*(L28^$Q$20)))*(($K$29^$Q$21)-$Q$22*$K$29+$Q$23)</f>
        <v>659.33734581850808</v>
      </c>
      <c r="M37" s="260">
        <f>($E$25/(M29*(M28^$Q$20)))*(($K$29^$Q$21)-$Q$22*$K$29+$Q$23)</f>
        <v>161.98412808812392</v>
      </c>
      <c r="N37" s="260">
        <f>($E$25/(N29*(N28^$Q$20)))*(($K$29^$Q$21)-$Q$22*$K$29+$Q$23)</f>
        <v>136.64495836974734</v>
      </c>
      <c r="O37" s="260">
        <f>($E$25/(O29*(O28^$Q$20)))*(($K$29^$Q$21)-$Q$22*$K$29+$Q$23)</f>
        <v>84.649561936592121</v>
      </c>
      <c r="P37" s="260">
        <f>($E$25/(P29*(P28^$Q$20)))*(($K$29^$Q$21)-$Q$22*$K$29+$Q$23)</f>
        <v>81.647432651051659</v>
      </c>
      <c r="R37" s="251"/>
      <c r="S37" s="625">
        <v>2</v>
      </c>
      <c r="T37" s="623">
        <v>0.42</v>
      </c>
      <c r="U37" s="626">
        <f t="shared" ref="U37:U38" si="5">$T$26*L30/$S$31</f>
        <v>5.3463803569810606E-2</v>
      </c>
      <c r="V37" s="626">
        <f t="shared" ref="V37:V39" si="6">$T$26*M30/$T$31</f>
        <v>2.3282624135240095E-2</v>
      </c>
      <c r="W37" s="626">
        <f t="shared" ref="W37:W39" si="7">$T$26*N30/$U$31</f>
        <v>1.5459413080427163E-2</v>
      </c>
      <c r="X37" s="626">
        <f t="shared" ref="X37:X39" si="8">$T$26*O30/$V$31</f>
        <v>1.1641312067620048E-2</v>
      </c>
      <c r="Y37" s="626">
        <f t="shared" ref="Y37:Y39" si="9">$T$26*P30/$W$31</f>
        <v>7.5725780793961242E-3</v>
      </c>
      <c r="AH37" s="315" t="s">
        <v>276</v>
      </c>
      <c r="AI37" s="315">
        <v>3</v>
      </c>
      <c r="AJ37" s="315">
        <v>3</v>
      </c>
      <c r="AK37" s="315">
        <v>3</v>
      </c>
      <c r="AL37" s="315">
        <v>3</v>
      </c>
      <c r="AM37" s="315">
        <v>3</v>
      </c>
      <c r="AN37" s="315">
        <v>15</v>
      </c>
      <c r="AO37" s="315"/>
      <c r="AP37" s="290"/>
      <c r="AQ37" s="290"/>
      <c r="AR37" s="290"/>
    </row>
    <row r="38" spans="1:44" ht="15">
      <c r="A38" s="257">
        <v>2</v>
      </c>
      <c r="B38" s="228">
        <v>0.42</v>
      </c>
      <c r="C38" s="260">
        <f>($E$25/(C30*(C36^$B$24)))*(($B$38^$B$25))</f>
        <v>106.70107836820272</v>
      </c>
      <c r="D38" s="260">
        <f>($E$25/(D30*(D36^$B$24)))*(($B$38^$B$25))</f>
        <v>55.290470761324059</v>
      </c>
      <c r="E38" s="260">
        <f>($E$25/(E30*(E36^$B$24)))*(($B$38^$B$25))</f>
        <v>34.856500821761486</v>
      </c>
      <c r="F38" s="260">
        <f>($E$25/(F30*(F36^$B$24)))*(($B$38^$B$25))</f>
        <v>24.953636077576586</v>
      </c>
      <c r="G38" s="260">
        <f>($E$25/(G30*(G36^$B$24)))*(($B$38^$B$25))</f>
        <v>23.754754305696281</v>
      </c>
      <c r="I38" s="272"/>
      <c r="J38" s="257">
        <v>2</v>
      </c>
      <c r="K38" s="228">
        <v>0.42</v>
      </c>
      <c r="L38" s="260">
        <f>($E$25/(L30*(L28^$Q$20)))*(($K$30^$Q$21)-$Q$22*$K$30+$Q$23)</f>
        <v>72.439368455405457</v>
      </c>
      <c r="M38" s="260">
        <f>($E$25/(M30*(M28^$Q$20)))*(($K$30^$Q$21)-$Q$22*$K$30+$Q$23)</f>
        <v>41.581235987076646</v>
      </c>
      <c r="N38" s="260">
        <f>($E$25/(N30*(N28^$Q$20)))*(($K$30^$Q$21)-$Q$22*$K$30+$Q$23)</f>
        <v>27.830907270330751</v>
      </c>
      <c r="O38" s="260">
        <f>($E$25/(O30*(O28^$Q$20)))*(($K$30^$Q$21)-$Q$22*$K$30+$Q$23)</f>
        <v>20.788454525956297</v>
      </c>
      <c r="P38" s="260">
        <f>($E$25/(P30*(P28^$Q$20)))*(($K$30^$Q$21)-$Q$22*$K$30+$Q$23)</f>
        <v>20.452471672011551</v>
      </c>
      <c r="R38" s="251"/>
      <c r="S38" s="625">
        <v>3</v>
      </c>
      <c r="T38" s="623">
        <v>0.79</v>
      </c>
      <c r="U38" s="626">
        <f t="shared" si="5"/>
        <v>8.1708831870842602E-2</v>
      </c>
      <c r="V38" s="626">
        <f t="shared" si="6"/>
        <v>5.8521190393981862E-2</v>
      </c>
      <c r="W38" s="626">
        <f t="shared" si="7"/>
        <v>3.2621981839206469E-2</v>
      </c>
      <c r="X38" s="626">
        <f t="shared" si="8"/>
        <v>2.0427207967710651E-2</v>
      </c>
      <c r="Y38" s="626">
        <f t="shared" si="9"/>
        <v>1.4140630495198885E-2</v>
      </c>
      <c r="AH38" s="315" t="s">
        <v>277</v>
      </c>
      <c r="AI38" s="315">
        <v>212</v>
      </c>
      <c r="AJ38" s="315">
        <v>74</v>
      </c>
      <c r="AK38" s="315">
        <v>53</v>
      </c>
      <c r="AL38" s="315">
        <v>49</v>
      </c>
      <c r="AM38" s="315">
        <v>61</v>
      </c>
      <c r="AN38" s="315">
        <v>449</v>
      </c>
      <c r="AO38" s="315"/>
      <c r="AP38" s="290"/>
      <c r="AQ38" s="290"/>
      <c r="AR38" s="290"/>
    </row>
    <row r="39" spans="1:44" ht="15">
      <c r="A39" s="257">
        <v>3</v>
      </c>
      <c r="B39" s="228">
        <v>0.79</v>
      </c>
      <c r="C39" s="260">
        <f>($E$25/(C31*(C36^$B$24)))*(($B$39^$B$25))</f>
        <v>93.188875115751756</v>
      </c>
      <c r="D39" s="260">
        <f>($E$25/(D31*(D36^$B$24)))*(($B$39^$B$25))</f>
        <v>29.361177818728802</v>
      </c>
      <c r="E39" s="260">
        <f>($E$25/(E31*(E36^$B$24)))*(($B$39^$B$25))</f>
        <v>22.048084121356375</v>
      </c>
      <c r="F39" s="260">
        <f>($E$25/(F31*(F36^$B$24)))*(($B$39^$B$25))</f>
        <v>18.981527923875721</v>
      </c>
      <c r="G39" s="260">
        <f>($E$25/(G31*(G36^$B$24)))*(($B$39^$B$25))</f>
        <v>16.979697111111829</v>
      </c>
      <c r="I39" s="272"/>
      <c r="J39" s="257">
        <v>3</v>
      </c>
      <c r="K39" s="228">
        <v>0.79</v>
      </c>
      <c r="L39" s="260">
        <f>($E$25/(L31*(L28^$Q$20)))*(($K$31^$Q$21)-$Q$22*$K$31+$Q$23)</f>
        <v>69.64269332978796</v>
      </c>
      <c r="M39" s="260">
        <f>($E$25/(M31*(M28^$Q$20)))*(($K$31^$Q$21)-$Q$22*$K$31+$Q$23)</f>
        <v>24.306712396442101</v>
      </c>
      <c r="N39" s="260">
        <f>($E$25/(N31*(N28^$Q$20)))*(($K$31^$Q$21)-$Q$22*$K$31+$Q$23)</f>
        <v>19.378496412543022</v>
      </c>
      <c r="O39" s="260">
        <f>($E$25/(O31*(O28^$Q$20)))*(($K$31^$Q$21)-$Q$22*$K$31+$Q$23)</f>
        <v>17.40705001855461</v>
      </c>
      <c r="P39" s="260">
        <f>($E$25/(P31*(P28^$Q$20)))*(($K$31^$Q$21)-$Q$22*$K$31+$Q$23)</f>
        <v>16.09277125323575</v>
      </c>
      <c r="R39" s="251"/>
      <c r="S39" s="259">
        <v>4</v>
      </c>
      <c r="T39" s="243">
        <v>1.21</v>
      </c>
      <c r="U39" s="311">
        <f>$T$26*L32/$S$31</f>
        <v>5.6887593946202401E-2</v>
      </c>
      <c r="V39" s="311">
        <f t="shared" si="6"/>
        <v>2.8029566920094871E-2</v>
      </c>
      <c r="W39" s="311">
        <f t="shared" si="7"/>
        <v>1.8596105589499343E-2</v>
      </c>
      <c r="X39" s="311">
        <f t="shared" si="8"/>
        <v>1.3618138645140434E-2</v>
      </c>
      <c r="Y39" s="311">
        <f t="shared" si="9"/>
        <v>9.238545256863271E-3</v>
      </c>
      <c r="AH39" s="315" t="s">
        <v>278</v>
      </c>
      <c r="AI39" s="328">
        <v>70.666666666666671</v>
      </c>
      <c r="AJ39" s="328">
        <v>24.666666666666668</v>
      </c>
      <c r="AK39" s="328">
        <v>17.666666666666668</v>
      </c>
      <c r="AL39" s="328">
        <v>16.333333333333332</v>
      </c>
      <c r="AM39" s="328">
        <v>20.333333333333332</v>
      </c>
      <c r="AN39" s="328">
        <v>29.933333333333334</v>
      </c>
      <c r="AO39" s="315"/>
      <c r="AP39" s="290"/>
      <c r="AQ39" s="290"/>
      <c r="AR39" s="290"/>
    </row>
    <row r="40" spans="1:44" ht="15">
      <c r="A40" s="259">
        <v>4</v>
      </c>
      <c r="B40" s="228">
        <v>1.21</v>
      </c>
      <c r="C40" s="260">
        <f>($E$25/(C32*(C36^$B$24)))*(($B$40^$B$25))</f>
        <v>162.64552596407486</v>
      </c>
      <c r="D40" s="260">
        <f>($E$25/(D32*(D36^$B$24)))*(($B$40^$B$25))</f>
        <v>74.489807696736634</v>
      </c>
      <c r="E40" s="260">
        <f>($E$25/(E32*(E36^$B$24)))*(($B$40^$B$25))</f>
        <v>46.998696301843268</v>
      </c>
      <c r="F40" s="260">
        <f>($E$25/(F32*(F36^$B$24)))*(($B$40^$B$25))</f>
        <v>34.597844550820078</v>
      </c>
      <c r="G40" s="260">
        <f>($E$25/(G32*(G36^$B$24)))*(($B$40^$B$25))</f>
        <v>31.580698980900987</v>
      </c>
      <c r="I40" s="272"/>
      <c r="J40" s="259">
        <v>4</v>
      </c>
      <c r="K40" s="228">
        <v>1.21</v>
      </c>
      <c r="L40" s="260">
        <f>($E$25/(L32*(L28^$Q$20)))*(($K$32^$Q$21)-$Q$22*$K$32+$Q$23)</f>
        <v>135.5759747681179</v>
      </c>
      <c r="M40" s="260">
        <f>($E$25/(M32*(M28^$Q$20)))*(($K$32^$Q$21)-$Q$22*$K$32+$Q$23)</f>
        <v>68.782622050179526</v>
      </c>
      <c r="N40" s="260">
        <f>($E$25/(N32*(N28^$Q$20)))*(($K$32^$Q$21)-$Q$22*$K$32+$Q$23)</f>
        <v>46.074873990423647</v>
      </c>
      <c r="O40" s="260">
        <f>($E$25/(O32*(O28^$Q$20)))*(($K$32^$Q$21)-$Q$22*$K$32+$Q$23)</f>
        <v>35.389316707199676</v>
      </c>
      <c r="P40" s="260">
        <f>($E$25/(P32*(P28^$Q$20)))*(($K$32^$Q$21)-$Q$22*$K$32+$Q$23)</f>
        <v>33.385029369124439</v>
      </c>
      <c r="R40" s="251"/>
      <c r="AH40" s="315" t="s">
        <v>279</v>
      </c>
      <c r="AI40" s="328">
        <v>2.3333333333333335</v>
      </c>
      <c r="AJ40" s="328">
        <v>2.3333333333333335</v>
      </c>
      <c r="AK40" s="328">
        <v>0.33333333333333337</v>
      </c>
      <c r="AL40" s="328">
        <v>5.3333333333333144</v>
      </c>
      <c r="AM40" s="328">
        <v>5.3333333333333339</v>
      </c>
      <c r="AN40" s="328">
        <v>455.35238095238088</v>
      </c>
      <c r="AO40" s="315"/>
      <c r="AP40" s="290"/>
      <c r="AQ40" s="290"/>
      <c r="AR40" s="290"/>
    </row>
    <row r="41" spans="1:44" ht="15">
      <c r="I41" s="272"/>
      <c r="R41" s="251"/>
      <c r="S41" s="255" t="s">
        <v>269</v>
      </c>
      <c r="AH41" s="315"/>
      <c r="AI41" s="315"/>
      <c r="AJ41" s="315"/>
      <c r="AK41" s="315"/>
      <c r="AL41" s="315"/>
      <c r="AM41" s="315"/>
      <c r="AN41" s="315"/>
      <c r="AO41" s="315"/>
      <c r="AP41" s="290"/>
      <c r="AQ41" s="290"/>
      <c r="AR41" s="290"/>
    </row>
    <row r="42" spans="1:44" ht="13.5" thickBot="1">
      <c r="A42" s="255" t="s">
        <v>236</v>
      </c>
      <c r="I42" s="272"/>
      <c r="J42" s="255" t="s">
        <v>236</v>
      </c>
      <c r="R42" s="251"/>
      <c r="U42" s="218" t="s">
        <v>233</v>
      </c>
      <c r="AH42" s="316">
        <v>4</v>
      </c>
      <c r="AI42" s="316"/>
      <c r="AJ42" s="316"/>
      <c r="AK42" s="316"/>
      <c r="AL42" s="316"/>
      <c r="AM42" s="316"/>
      <c r="AN42" s="316"/>
      <c r="AO42" s="320"/>
      <c r="AP42" s="290"/>
      <c r="AQ42" s="290"/>
      <c r="AR42" s="290"/>
    </row>
    <row r="43" spans="1:44" ht="15">
      <c r="C43" s="218" t="s">
        <v>233</v>
      </c>
      <c r="I43" s="272"/>
      <c r="L43" s="218" t="s">
        <v>233</v>
      </c>
      <c r="R43" s="251"/>
      <c r="S43" s="256" t="s">
        <v>234</v>
      </c>
      <c r="T43" s="228" t="s">
        <v>235</v>
      </c>
      <c r="U43" s="254">
        <v>1.6666666666666667</v>
      </c>
      <c r="V43" s="254">
        <v>3.3333333333333335</v>
      </c>
      <c r="W43" s="254">
        <v>5</v>
      </c>
      <c r="X43" s="254">
        <v>6.666666666666667</v>
      </c>
      <c r="Y43" s="254">
        <v>8.3333333333333339</v>
      </c>
      <c r="AH43" s="315" t="s">
        <v>276</v>
      </c>
      <c r="AI43" s="315">
        <v>3</v>
      </c>
      <c r="AJ43" s="315">
        <v>3</v>
      </c>
      <c r="AK43" s="315">
        <v>3</v>
      </c>
      <c r="AL43" s="315">
        <v>3</v>
      </c>
      <c r="AM43" s="315">
        <v>3</v>
      </c>
      <c r="AN43" s="315">
        <v>15</v>
      </c>
      <c r="AO43" s="315"/>
      <c r="AP43" s="290"/>
      <c r="AQ43" s="290"/>
      <c r="AR43" s="290"/>
    </row>
    <row r="44" spans="1:44" ht="15">
      <c r="A44" s="256" t="s">
        <v>234</v>
      </c>
      <c r="B44" s="228" t="s">
        <v>235</v>
      </c>
      <c r="C44" s="254">
        <v>1.6666666666666667</v>
      </c>
      <c r="D44" s="254">
        <v>3.3333333333333335</v>
      </c>
      <c r="E44" s="254">
        <v>5</v>
      </c>
      <c r="F44" s="254">
        <v>6.666666666666667</v>
      </c>
      <c r="G44" s="254">
        <v>8.3333333333333339</v>
      </c>
      <c r="I44" s="272"/>
      <c r="J44" s="256" t="s">
        <v>234</v>
      </c>
      <c r="K44" s="228" t="s">
        <v>235</v>
      </c>
      <c r="L44" s="254">
        <v>1.6666666666666667</v>
      </c>
      <c r="M44" s="254">
        <v>3.3333333333333335</v>
      </c>
      <c r="N44" s="254">
        <v>5</v>
      </c>
      <c r="O44" s="254">
        <v>6.666666666666667</v>
      </c>
      <c r="P44" s="254">
        <v>8.3333333333333339</v>
      </c>
      <c r="R44" s="251"/>
      <c r="S44" s="257">
        <v>1</v>
      </c>
      <c r="T44" s="228">
        <v>0.04</v>
      </c>
      <c r="U44" s="260">
        <f>$X$20*($T$36^$X$21)*(S31^$X$23)*(U36^$X$22)*(L29^$X$24)</f>
        <v>660.81910844582683</v>
      </c>
      <c r="V44" s="260">
        <f t="shared" ref="V44:Y44" si="10">$X$20*($T$36^$X$21)*(T31^$X$23)*(V36^$X$22)*(M29^$X$24)</f>
        <v>153.0710777304599</v>
      </c>
      <c r="W44" s="260">
        <f t="shared" si="10"/>
        <v>135.98482008302128</v>
      </c>
      <c r="X44" s="260">
        <f t="shared" si="10"/>
        <v>83.344891046712647</v>
      </c>
      <c r="Y44" s="260">
        <f t="shared" si="10"/>
        <v>83.343612064257229</v>
      </c>
      <c r="AH44" s="315" t="s">
        <v>277</v>
      </c>
      <c r="AI44" s="315">
        <v>406</v>
      </c>
      <c r="AJ44" s="315">
        <v>206</v>
      </c>
      <c r="AK44" s="315">
        <v>138</v>
      </c>
      <c r="AL44" s="315">
        <v>106</v>
      </c>
      <c r="AM44" s="315">
        <v>100</v>
      </c>
      <c r="AN44" s="315">
        <v>956</v>
      </c>
      <c r="AO44" s="315"/>
      <c r="AP44" s="290"/>
      <c r="AQ44" s="290"/>
      <c r="AR44" s="290"/>
    </row>
    <row r="45" spans="1:44" ht="15">
      <c r="A45" s="257">
        <v>1</v>
      </c>
      <c r="B45" s="228">
        <v>0.04</v>
      </c>
      <c r="C45" s="260">
        <f t="shared" ref="C45:G48" si="11">(C13-C37)^2</f>
        <v>61.41640572837143</v>
      </c>
      <c r="D45" s="260">
        <f t="shared" si="11"/>
        <v>196.97008096694665</v>
      </c>
      <c r="E45" s="260">
        <f t="shared" si="11"/>
        <v>364.80339905470322</v>
      </c>
      <c r="F45" s="260">
        <f t="shared" si="11"/>
        <v>220.94259608623673</v>
      </c>
      <c r="G45" s="260">
        <f t="shared" si="11"/>
        <v>272.96053371529507</v>
      </c>
      <c r="H45" s="239">
        <f>SUM(C45:G45)</f>
        <v>1117.093015551553</v>
      </c>
      <c r="I45" s="272"/>
      <c r="J45" s="257">
        <v>1</v>
      </c>
      <c r="K45" s="228">
        <v>0.04</v>
      </c>
      <c r="L45" s="254">
        <f t="shared" ref="L45:P48" si="12">(C13-L37)^2</f>
        <v>1.6100037277286077E-5</v>
      </c>
      <c r="M45" s="254">
        <f t="shared" si="12"/>
        <v>2.5191758660191374E-4</v>
      </c>
      <c r="N45" s="254">
        <f t="shared" si="12"/>
        <v>4.7125015513711105E-4</v>
      </c>
      <c r="O45" s="254">
        <f t="shared" si="12"/>
        <v>2.9257179092321298E-4</v>
      </c>
      <c r="P45" s="254">
        <f t="shared" si="12"/>
        <v>3.699473566785396E-4</v>
      </c>
      <c r="Q45" s="295">
        <f>SUM(L45:P45)</f>
        <v>1.4017869266180634E-3</v>
      </c>
      <c r="R45" s="251"/>
      <c r="S45" s="257">
        <v>2</v>
      </c>
      <c r="T45" s="228">
        <v>0.42</v>
      </c>
      <c r="U45" s="260">
        <f>$X$20*($T$37^$X$21)*(S31^$X$23)*(U37^$X$22)*(L30^$X$24)</f>
        <v>80.525323679173894</v>
      </c>
      <c r="V45" s="260">
        <f t="shared" ref="V45:Y45" si="13">$X$20*($T$37^$X$21)*(T31^$X$23)*(V37^$X$22)*(M30^$X$24)</f>
        <v>48.762439527297936</v>
      </c>
      <c r="W45" s="260">
        <f t="shared" si="13"/>
        <v>33.334193034279387</v>
      </c>
      <c r="X45" s="260">
        <f t="shared" si="13"/>
        <v>25.252173827723315</v>
      </c>
      <c r="Y45" s="260">
        <f t="shared" si="13"/>
        <v>25.824801588970598</v>
      </c>
      <c r="AH45" s="315" t="s">
        <v>278</v>
      </c>
      <c r="AI45" s="328">
        <v>135.33333333333334</v>
      </c>
      <c r="AJ45" s="328">
        <v>68.666666666666671</v>
      </c>
      <c r="AK45" s="328">
        <v>46</v>
      </c>
      <c r="AL45" s="328">
        <v>35.333333333333336</v>
      </c>
      <c r="AM45" s="328">
        <v>33.333333333333336</v>
      </c>
      <c r="AN45" s="328">
        <v>63.733333333333334</v>
      </c>
      <c r="AO45" s="315"/>
      <c r="AP45" s="290"/>
      <c r="AQ45" s="290"/>
      <c r="AR45" s="290"/>
    </row>
    <row r="46" spans="1:44" ht="15">
      <c r="A46" s="257">
        <v>2</v>
      </c>
      <c r="B46" s="228">
        <v>0.42</v>
      </c>
      <c r="C46" s="260">
        <f t="shared" si="11"/>
        <v>1204.1648399161463</v>
      </c>
      <c r="D46" s="260">
        <f t="shared" si="11"/>
        <v>194.8016851838195</v>
      </c>
      <c r="E46" s="260">
        <f t="shared" si="11"/>
        <v>51.69371517776802</v>
      </c>
      <c r="F46" s="260">
        <f t="shared" si="11"/>
        <v>18.378106730077334</v>
      </c>
      <c r="G46" s="260">
        <f t="shared" si="11"/>
        <v>11.706121470125026</v>
      </c>
      <c r="H46" s="242">
        <f>SUM(C46:G46)</f>
        <v>1480.7444684779364</v>
      </c>
      <c r="I46" s="272"/>
      <c r="J46" s="257">
        <v>2</v>
      </c>
      <c r="K46" s="228">
        <v>0.42</v>
      </c>
      <c r="L46" s="254">
        <f t="shared" si="12"/>
        <v>0.19304463960537735</v>
      </c>
      <c r="M46" s="254">
        <f t="shared" si="12"/>
        <v>6.1455725732975447E-2</v>
      </c>
      <c r="N46" s="254">
        <f t="shared" si="12"/>
        <v>2.6974975891942574E-2</v>
      </c>
      <c r="O46" s="254">
        <f t="shared" si="12"/>
        <v>1.4832282670350496E-2</v>
      </c>
      <c r="P46" s="254">
        <f t="shared" si="12"/>
        <v>1.4193943743006063E-2</v>
      </c>
      <c r="Q46" s="283">
        <f>SUM(L46:P46)</f>
        <v>0.31050156764365194</v>
      </c>
      <c r="R46" s="251"/>
      <c r="S46" s="257">
        <v>3</v>
      </c>
      <c r="T46" s="228">
        <v>0.79</v>
      </c>
      <c r="U46" s="260">
        <f>$X$20*($T$38^$X$21)*(S31^$X$23)*(U38^$X$22)*(L31^$X$24)</f>
        <v>68.537613567977743</v>
      </c>
      <c r="V46" s="260">
        <f t="shared" ref="V46:Y46" si="14">$X$20*($T$38^$X$21)*(T31^$X$23)*(V38^$X$22)*(M31^$X$24)</f>
        <v>23.627039568187506</v>
      </c>
      <c r="W46" s="260">
        <f t="shared" si="14"/>
        <v>19.689411265818645</v>
      </c>
      <c r="X46" s="260">
        <f t="shared" si="14"/>
        <v>18.380430094414937</v>
      </c>
      <c r="Y46" s="260">
        <f t="shared" si="14"/>
        <v>17.518612593053568</v>
      </c>
      <c r="AH46" s="315" t="s">
        <v>279</v>
      </c>
      <c r="AI46" s="328">
        <v>9.3333333333333339</v>
      </c>
      <c r="AJ46" s="328">
        <v>6.333333333333333</v>
      </c>
      <c r="AK46" s="328">
        <v>1</v>
      </c>
      <c r="AL46" s="328">
        <v>17.333333333333336</v>
      </c>
      <c r="AM46" s="328">
        <v>0.33333333333333337</v>
      </c>
      <c r="AN46" s="328">
        <v>1546.9238095238095</v>
      </c>
      <c r="AO46" s="315"/>
      <c r="AP46" s="290"/>
      <c r="AQ46" s="290"/>
      <c r="AR46" s="290"/>
    </row>
    <row r="47" spans="1:44" ht="15">
      <c r="A47" s="257">
        <v>3</v>
      </c>
      <c r="B47" s="228">
        <v>0.79</v>
      </c>
      <c r="C47" s="260">
        <f t="shared" si="11"/>
        <v>507.24987342403955</v>
      </c>
      <c r="D47" s="260">
        <f t="shared" si="11"/>
        <v>22.038434956835744</v>
      </c>
      <c r="E47" s="260">
        <f t="shared" si="11"/>
        <v>5.6711490935008033</v>
      </c>
      <c r="F47" s="260">
        <f t="shared" si="11"/>
        <v>1.7288601257093708</v>
      </c>
      <c r="G47" s="260">
        <f t="shared" si="11"/>
        <v>0.41778613322408992</v>
      </c>
      <c r="H47" s="242">
        <f>SUM(C47:G47)</f>
        <v>537.10610373330962</v>
      </c>
      <c r="I47" s="272"/>
      <c r="J47" s="257">
        <v>3</v>
      </c>
      <c r="K47" s="228">
        <v>0.79</v>
      </c>
      <c r="L47" s="254">
        <f t="shared" si="12"/>
        <v>1.048521394638523</v>
      </c>
      <c r="M47" s="254">
        <f t="shared" si="12"/>
        <v>0.12956707665290015</v>
      </c>
      <c r="N47" s="254">
        <f t="shared" si="12"/>
        <v>8.3042095361686552E-2</v>
      </c>
      <c r="O47" s="254">
        <f t="shared" si="12"/>
        <v>6.7400803976939969E-2</v>
      </c>
      <c r="P47" s="254">
        <f t="shared" si="12"/>
        <v>5.7870114380875699E-2</v>
      </c>
      <c r="Q47" s="283">
        <f>SUM(L47:P47)</f>
        <v>1.3864014850109256</v>
      </c>
      <c r="R47" s="251"/>
      <c r="S47" s="259">
        <v>4</v>
      </c>
      <c r="T47" s="228">
        <v>1.21</v>
      </c>
      <c r="U47" s="260">
        <f>$X$20*($T$39^$X$21)*(S31^$X$23)*(U39^$X$22)*(L32^$X$24)</f>
        <v>128.0910646200627</v>
      </c>
      <c r="V47" s="260">
        <f t="shared" ref="V47:Y47" si="15">$X$20*($T$39^$X$21)*(T31^$X$23)*(V39^$X$22)*(M32^$X$24)</f>
        <v>67.444523312817267</v>
      </c>
      <c r="W47" s="260">
        <f t="shared" si="15"/>
        <v>46.148088857521557</v>
      </c>
      <c r="X47" s="260">
        <f t="shared" si="15"/>
        <v>36.081044088735922</v>
      </c>
      <c r="Y47" s="260">
        <f t="shared" si="15"/>
        <v>35.185070610795663</v>
      </c>
      <c r="AH47" s="315"/>
      <c r="AI47" s="315"/>
      <c r="AJ47" s="315"/>
      <c r="AK47" s="315"/>
      <c r="AL47" s="315"/>
      <c r="AM47" s="315"/>
      <c r="AN47" s="315"/>
      <c r="AO47" s="315"/>
      <c r="AP47" s="290"/>
      <c r="AQ47" s="290"/>
      <c r="AR47" s="290"/>
    </row>
    <row r="48" spans="1:44" ht="15.75" thickBot="1">
      <c r="A48" s="259">
        <v>4</v>
      </c>
      <c r="B48" s="228">
        <v>1.21</v>
      </c>
      <c r="C48" s="260">
        <f t="shared" si="11"/>
        <v>745.95586629873139</v>
      </c>
      <c r="D48" s="260">
        <f t="shared" si="11"/>
        <v>33.908971456084259</v>
      </c>
      <c r="E48" s="260">
        <f t="shared" si="11"/>
        <v>0.9973943033154189</v>
      </c>
      <c r="F48" s="260">
        <f t="shared" si="11"/>
        <v>0.54094374920283439</v>
      </c>
      <c r="G48" s="260">
        <f t="shared" si="11"/>
        <v>3.0717271733259581</v>
      </c>
      <c r="H48" s="242">
        <f>SUM(C48:G48)</f>
        <v>784.47490298065986</v>
      </c>
      <c r="I48" s="272"/>
      <c r="J48" s="259">
        <v>4</v>
      </c>
      <c r="K48" s="228">
        <v>1.21</v>
      </c>
      <c r="L48" s="254">
        <f t="shared" si="12"/>
        <v>5.8874865874309568E-2</v>
      </c>
      <c r="M48" s="254">
        <f t="shared" si="12"/>
        <v>1.3445650965613247E-2</v>
      </c>
      <c r="N48" s="254">
        <f t="shared" si="12"/>
        <v>5.6061144419604254E-3</v>
      </c>
      <c r="O48" s="254">
        <f t="shared" si="12"/>
        <v>3.1341381494584008E-3</v>
      </c>
      <c r="P48" s="254">
        <f t="shared" si="12"/>
        <v>2.6724801165150186E-3</v>
      </c>
      <c r="Q48" s="283">
        <f>SUM(L48:P48)</f>
        <v>8.3733249547856659E-2</v>
      </c>
      <c r="R48" s="251"/>
      <c r="AH48" s="316" t="s">
        <v>275</v>
      </c>
      <c r="AI48" s="316"/>
      <c r="AJ48" s="316"/>
      <c r="AK48" s="316"/>
      <c r="AL48" s="316"/>
      <c r="AM48" s="316"/>
      <c r="AN48"/>
      <c r="AO48" s="319"/>
      <c r="AP48" s="290"/>
      <c r="AQ48" s="290"/>
      <c r="AR48" s="290"/>
    </row>
    <row r="49" spans="1:44" ht="15">
      <c r="C49" s="238">
        <f t="shared" ref="C49:H49" si="16">SUM(C45:C48)</f>
        <v>2518.7869853672887</v>
      </c>
      <c r="D49" s="238">
        <f t="shared" si="16"/>
        <v>447.71917256368613</v>
      </c>
      <c r="E49" s="238">
        <f t="shared" si="16"/>
        <v>423.16565762928747</v>
      </c>
      <c r="F49" s="238">
        <f t="shared" si="16"/>
        <v>241.59050669122624</v>
      </c>
      <c r="G49" s="238">
        <f t="shared" si="16"/>
        <v>288.15616849197011</v>
      </c>
      <c r="H49" s="289">
        <f t="shared" si="16"/>
        <v>3919.4184907434587</v>
      </c>
      <c r="I49" s="272"/>
      <c r="L49" s="292">
        <f t="shared" ref="L49" si="17">SUM(L45:L48)</f>
        <v>1.3004570001554874</v>
      </c>
      <c r="M49" s="292">
        <f t="shared" ref="M49" si="18">SUM(M45:M48)</f>
        <v>0.20472037093809078</v>
      </c>
      <c r="N49" s="292">
        <f t="shared" ref="N49" si="19">SUM(N45:N48)</f>
        <v>0.11609443585072667</v>
      </c>
      <c r="O49" s="292">
        <f t="shared" ref="O49" si="20">SUM(O45:O48)</f>
        <v>8.5659796587672074E-2</v>
      </c>
      <c r="P49" s="292">
        <f t="shared" ref="P49" si="21">SUM(P45:P48)</f>
        <v>7.5106485597075334E-2</v>
      </c>
      <c r="Q49" s="294">
        <f t="shared" ref="Q49" si="22">SUM(Q45:Q48)</f>
        <v>1.7820380891290524</v>
      </c>
      <c r="R49" s="251"/>
      <c r="S49" s="255" t="s">
        <v>236</v>
      </c>
      <c r="AH49" s="315" t="s">
        <v>276</v>
      </c>
      <c r="AI49" s="315">
        <v>12</v>
      </c>
      <c r="AJ49" s="315">
        <v>12</v>
      </c>
      <c r="AK49" s="315">
        <v>12</v>
      </c>
      <c r="AL49" s="315">
        <v>12</v>
      </c>
      <c r="AM49" s="315">
        <v>12</v>
      </c>
      <c r="AN49"/>
      <c r="AO49" s="319"/>
      <c r="AP49" s="290"/>
      <c r="AQ49" s="290"/>
      <c r="AR49" s="290"/>
    </row>
    <row r="50" spans="1:44" ht="15">
      <c r="A50" s="312" t="s">
        <v>260</v>
      </c>
      <c r="C50" s="290"/>
      <c r="D50" s="290"/>
      <c r="E50" s="290"/>
      <c r="F50" s="290"/>
      <c r="G50" s="290"/>
      <c r="H50" s="290"/>
      <c r="I50" s="272"/>
      <c r="J50" s="312" t="s">
        <v>260</v>
      </c>
      <c r="L50" s="290"/>
      <c r="M50" s="290"/>
      <c r="N50" s="290"/>
      <c r="O50" s="290"/>
      <c r="P50" s="290"/>
      <c r="Q50" s="290"/>
      <c r="R50" s="251"/>
      <c r="U50" s="218" t="s">
        <v>233</v>
      </c>
      <c r="AH50" s="315" t="s">
        <v>277</v>
      </c>
      <c r="AI50" s="315">
        <v>2812</v>
      </c>
      <c r="AJ50" s="315">
        <v>890</v>
      </c>
      <c r="AK50" s="315">
        <v>684</v>
      </c>
      <c r="AL50" s="315">
        <v>471</v>
      </c>
      <c r="AM50" s="315">
        <v>467</v>
      </c>
      <c r="AN50"/>
      <c r="AO50" s="319"/>
      <c r="AP50" s="290"/>
      <c r="AQ50" s="290"/>
      <c r="AR50" s="290"/>
    </row>
    <row r="51" spans="1:44" ht="15">
      <c r="C51" s="218" t="s">
        <v>233</v>
      </c>
      <c r="I51" s="272"/>
      <c r="L51" s="218" t="s">
        <v>233</v>
      </c>
      <c r="R51" s="251"/>
      <c r="S51" s="256" t="s">
        <v>234</v>
      </c>
      <c r="T51" s="228" t="s">
        <v>235</v>
      </c>
      <c r="U51" s="254">
        <v>1.6666666666666667</v>
      </c>
      <c r="V51" s="254">
        <v>3.3333333333333335</v>
      </c>
      <c r="W51" s="254">
        <v>5</v>
      </c>
      <c r="X51" s="254">
        <v>6.666666666666667</v>
      </c>
      <c r="Y51" s="254">
        <v>8.3333333333333339</v>
      </c>
      <c r="AH51" s="315" t="s">
        <v>278</v>
      </c>
      <c r="AI51" s="328">
        <v>234.33333333333334</v>
      </c>
      <c r="AJ51" s="328">
        <v>74.166666666666671</v>
      </c>
      <c r="AK51" s="328">
        <v>57</v>
      </c>
      <c r="AL51" s="328">
        <v>39.25</v>
      </c>
      <c r="AM51" s="328">
        <v>38.916666666666664</v>
      </c>
      <c r="AN51"/>
      <c r="AO51" s="319"/>
      <c r="AP51" s="290"/>
      <c r="AQ51" s="290"/>
      <c r="AR51" s="290"/>
    </row>
    <row r="52" spans="1:44" ht="15">
      <c r="A52" s="256" t="s">
        <v>234</v>
      </c>
      <c r="B52" s="228" t="s">
        <v>235</v>
      </c>
      <c r="C52" s="230">
        <v>1.6666666666666667</v>
      </c>
      <c r="D52" s="230">
        <v>3.3333333333333335</v>
      </c>
      <c r="E52" s="230">
        <v>5</v>
      </c>
      <c r="F52" s="230">
        <v>6.666666666666667</v>
      </c>
      <c r="G52" s="231">
        <v>8.3333333333333339</v>
      </c>
      <c r="I52" s="272"/>
      <c r="J52" s="256" t="s">
        <v>234</v>
      </c>
      <c r="K52" s="228" t="s">
        <v>235</v>
      </c>
      <c r="L52" s="230">
        <v>1.6666666666666667</v>
      </c>
      <c r="M52" s="230">
        <v>3.3333333333333335</v>
      </c>
      <c r="N52" s="230">
        <v>5</v>
      </c>
      <c r="O52" s="230">
        <v>6.666666666666667</v>
      </c>
      <c r="P52" s="231">
        <v>8.3333333333333339</v>
      </c>
      <c r="R52" s="251"/>
      <c r="S52" s="257">
        <v>1</v>
      </c>
      <c r="T52" s="228">
        <v>0.04</v>
      </c>
      <c r="U52" s="254">
        <f>(C13-U44)^2</f>
        <v>2.2075276849049437</v>
      </c>
      <c r="V52" s="254">
        <f t="shared" ref="V52:Y52" si="23">(D13-V44)^2</f>
        <v>79.725652895489048</v>
      </c>
      <c r="W52" s="254">
        <f t="shared" si="23"/>
        <v>0.46491476362887768</v>
      </c>
      <c r="X52" s="254">
        <f t="shared" si="23"/>
        <v>1.7470907895048464</v>
      </c>
      <c r="Y52" s="254">
        <f t="shared" si="23"/>
        <v>2.8121458665001535</v>
      </c>
      <c r="Z52" s="295">
        <f>SUM(U52:Y52)</f>
        <v>86.95733200002789</v>
      </c>
      <c r="AA52" s="333"/>
      <c r="AB52" s="333"/>
      <c r="AC52" s="333"/>
      <c r="AD52" s="333"/>
      <c r="AE52" s="333"/>
      <c r="AF52" s="333"/>
      <c r="AH52" s="315" t="s">
        <v>279</v>
      </c>
      <c r="AI52" s="328">
        <v>70944.606060606064</v>
      </c>
      <c r="AJ52" s="328">
        <v>3109.0606060606065</v>
      </c>
      <c r="AK52" s="328">
        <v>2511.2727272727275</v>
      </c>
      <c r="AL52" s="328">
        <v>811.65909090909088</v>
      </c>
      <c r="AM52" s="328">
        <v>699.53787878787887</v>
      </c>
      <c r="AN52"/>
      <c r="AO52" s="319"/>
      <c r="AP52" s="290"/>
      <c r="AQ52" s="290"/>
      <c r="AR52" s="290"/>
    </row>
    <row r="53" spans="1:44" ht="15">
      <c r="A53" s="257">
        <v>1</v>
      </c>
      <c r="B53" s="257">
        <v>0.04</v>
      </c>
      <c r="C53" s="263">
        <f>ABS(C37-C13)/C13</f>
        <v>1.1886039406805457E-2</v>
      </c>
      <c r="D53" s="263">
        <f t="shared" ref="D53:G53" si="24">ABS(D37-D13)/D13</f>
        <v>8.6633351763740193E-2</v>
      </c>
      <c r="E53" s="263">
        <f t="shared" si="24"/>
        <v>0.1397548331678285</v>
      </c>
      <c r="F53" s="263">
        <f t="shared" si="24"/>
        <v>0.17556068408712019</v>
      </c>
      <c r="G53" s="263">
        <f t="shared" si="24"/>
        <v>0.20230429340309045</v>
      </c>
      <c r="H53" s="264">
        <f>AVERAGE(C53:G53)</f>
        <v>0.12322784036571695</v>
      </c>
      <c r="I53" s="272"/>
      <c r="J53" s="257">
        <v>1</v>
      </c>
      <c r="K53" s="257">
        <v>0.04</v>
      </c>
      <c r="L53" s="296">
        <f t="shared" ref="L53:P56" si="25">ABS(L37-C13)/C13</f>
        <v>6.0856701335373763E-6</v>
      </c>
      <c r="M53" s="296">
        <f t="shared" si="25"/>
        <v>9.7974764667134131E-5</v>
      </c>
      <c r="N53" s="296">
        <f t="shared" si="25"/>
        <v>1.5884119697059251E-4</v>
      </c>
      <c r="O53" s="296">
        <f t="shared" si="25"/>
        <v>2.0202437095925119E-4</v>
      </c>
      <c r="P53" s="296">
        <f t="shared" si="25"/>
        <v>2.3551855855117183E-4</v>
      </c>
      <c r="Q53" s="296">
        <f>AVERAGE(L53:P53)</f>
        <v>1.4008891225633741E-4</v>
      </c>
      <c r="R53" s="251"/>
      <c r="S53" s="257">
        <v>2</v>
      </c>
      <c r="T53" s="228">
        <v>0.42</v>
      </c>
      <c r="U53" s="254">
        <f>(C14-U45)^2</f>
        <v>72.681143834683098</v>
      </c>
      <c r="V53" s="254">
        <f t="shared" ref="V53:Y55" si="26">(D14-V45)^2</f>
        <v>55.191618841203187</v>
      </c>
      <c r="W53" s="254">
        <f t="shared" si="26"/>
        <v>32.120855127585429</v>
      </c>
      <c r="X53" s="254">
        <f t="shared" si="26"/>
        <v>21.026875924101791</v>
      </c>
      <c r="Y53" s="254">
        <f t="shared" si="26"/>
        <v>30.15622360267179</v>
      </c>
      <c r="Z53" s="283">
        <f>SUM(U53:Y53)</f>
        <v>211.17671733024531</v>
      </c>
      <c r="AA53" s="333"/>
      <c r="AB53" s="333"/>
      <c r="AC53" s="333"/>
      <c r="AD53" s="333"/>
      <c r="AE53" s="333"/>
      <c r="AF53" s="333"/>
      <c r="AH53" s="315"/>
      <c r="AI53" s="315"/>
      <c r="AJ53" s="315"/>
      <c r="AK53" s="315"/>
      <c r="AL53" s="315"/>
      <c r="AM53" s="315"/>
      <c r="AN53"/>
      <c r="AO53" s="319"/>
      <c r="AP53" s="290"/>
      <c r="AQ53" s="290"/>
      <c r="AR53" s="290"/>
    </row>
    <row r="54" spans="1:44" ht="15">
      <c r="A54" s="257">
        <v>2</v>
      </c>
      <c r="B54" s="257">
        <v>0.42</v>
      </c>
      <c r="C54" s="263">
        <f>ABS(C38-C14)/C14</f>
        <v>0.48195942178059326</v>
      </c>
      <c r="D54" s="263">
        <f t="shared" ref="D54:G56" si="27">ABS(D38-D14)/D14</f>
        <v>0.33767267970945297</v>
      </c>
      <c r="E54" s="263">
        <f t="shared" si="27"/>
        <v>0.25987352367812594</v>
      </c>
      <c r="F54" s="263">
        <f t="shared" si="27"/>
        <v>0.20743400375370571</v>
      </c>
      <c r="G54" s="263">
        <f t="shared" si="27"/>
        <v>0.16826660519817782</v>
      </c>
      <c r="H54" s="264">
        <f>AVERAGE(C54:G54)</f>
        <v>0.29104124682401117</v>
      </c>
      <c r="I54" s="272"/>
      <c r="J54" s="257">
        <v>2</v>
      </c>
      <c r="K54" s="257">
        <v>0.42</v>
      </c>
      <c r="L54" s="296">
        <f t="shared" si="25"/>
        <v>6.1023396584091293E-3</v>
      </c>
      <c r="M54" s="296">
        <f t="shared" si="25"/>
        <v>5.9976448486284677E-3</v>
      </c>
      <c r="N54" s="296">
        <f t="shared" si="25"/>
        <v>5.9364073613524171E-3</v>
      </c>
      <c r="O54" s="296">
        <f t="shared" si="25"/>
        <v>5.8929609333691494E-3</v>
      </c>
      <c r="P54" s="296">
        <f t="shared" si="25"/>
        <v>5.8592625579452079E-3</v>
      </c>
      <c r="Q54" s="296">
        <f t="shared" ref="Q54:Q56" si="28">AVERAGE(L54:P54)</f>
        <v>5.9577230719408741E-3</v>
      </c>
      <c r="R54" s="251"/>
      <c r="S54" s="257">
        <v>3</v>
      </c>
      <c r="T54" s="228">
        <v>0.79</v>
      </c>
      <c r="U54" s="254">
        <f>(C15-U46)^2</f>
        <v>4.5328670970369265</v>
      </c>
      <c r="V54" s="254">
        <f t="shared" si="26"/>
        <v>1.0808245038922013</v>
      </c>
      <c r="W54" s="254">
        <f t="shared" si="26"/>
        <v>5.1731679058412386E-4</v>
      </c>
      <c r="X54" s="254">
        <f t="shared" si="26"/>
        <v>0.50945823079095831</v>
      </c>
      <c r="Y54" s="254">
        <f t="shared" si="26"/>
        <v>1.4048869235229506</v>
      </c>
      <c r="Z54" s="283">
        <f>SUM(U54:Y54)</f>
        <v>7.5285540720336215</v>
      </c>
      <c r="AA54" s="333"/>
      <c r="AB54" s="333"/>
      <c r="AC54" s="333"/>
      <c r="AD54" s="333"/>
      <c r="AE54" s="333"/>
      <c r="AF54" s="333"/>
      <c r="AH54"/>
      <c r="AI54"/>
      <c r="AJ54"/>
      <c r="AK54"/>
      <c r="AL54"/>
      <c r="AM54"/>
      <c r="AN54"/>
      <c r="AO54" s="319"/>
      <c r="AP54" s="290"/>
      <c r="AQ54" s="290"/>
      <c r="AR54" s="290"/>
    </row>
    <row r="55" spans="1:44" ht="15.75" thickBot="1">
      <c r="A55" s="257">
        <v>3</v>
      </c>
      <c r="B55" s="257">
        <v>0.79</v>
      </c>
      <c r="C55" s="263">
        <f>ABS(C39-C15)/C15</f>
        <v>0.31871049692101533</v>
      </c>
      <c r="D55" s="263">
        <f t="shared" si="27"/>
        <v>0.19031801967819462</v>
      </c>
      <c r="E55" s="263">
        <f t="shared" si="27"/>
        <v>0.12108902311981561</v>
      </c>
      <c r="F55" s="263">
        <f t="shared" si="27"/>
        <v>7.4426108898625623E-2</v>
      </c>
      <c r="G55" s="263">
        <f t="shared" si="27"/>
        <v>3.9573292517050822E-2</v>
      </c>
      <c r="H55" s="264">
        <f>AVERAGE(C55:G55)</f>
        <v>0.14882338822694038</v>
      </c>
      <c r="I55" s="272"/>
      <c r="J55" s="257">
        <v>3</v>
      </c>
      <c r="K55" s="257">
        <v>0.79</v>
      </c>
      <c r="L55" s="296">
        <f t="shared" si="25"/>
        <v>1.4490188729415727E-2</v>
      </c>
      <c r="M55" s="296">
        <f t="shared" si="25"/>
        <v>1.4592740684779717E-2</v>
      </c>
      <c r="N55" s="296">
        <f t="shared" si="25"/>
        <v>1.4652724785948087E-2</v>
      </c>
      <c r="O55" s="296">
        <f t="shared" si="25"/>
        <v>1.4695281968607036E-2</v>
      </c>
      <c r="P55" s="296">
        <f t="shared" si="25"/>
        <v>1.4728290618219338E-2</v>
      </c>
      <c r="Q55" s="296">
        <f t="shared" si="28"/>
        <v>1.463184535739398E-2</v>
      </c>
      <c r="R55" s="251"/>
      <c r="S55" s="259">
        <v>4</v>
      </c>
      <c r="T55" s="228">
        <v>1.21</v>
      </c>
      <c r="U55" s="254">
        <f>(C16-U47)^2</f>
        <v>52.450456115218877</v>
      </c>
      <c r="V55" s="254">
        <f t="shared" si="26"/>
        <v>1.4936343773582694</v>
      </c>
      <c r="W55" s="254">
        <f t="shared" si="26"/>
        <v>2.1930309722040103E-2</v>
      </c>
      <c r="X55" s="254">
        <f t="shared" si="26"/>
        <v>0.55907137374470628</v>
      </c>
      <c r="Y55" s="254">
        <f t="shared" si="26"/>
        <v>3.4289309447435903</v>
      </c>
      <c r="Z55" s="283">
        <f>SUM(U55:Y55)</f>
        <v>57.954023120787483</v>
      </c>
      <c r="AA55" s="333"/>
      <c r="AB55" s="333"/>
      <c r="AC55" s="333"/>
      <c r="AD55" s="333"/>
      <c r="AE55" s="333"/>
      <c r="AF55" s="333"/>
      <c r="AH55" t="s">
        <v>280</v>
      </c>
      <c r="AI55"/>
      <c r="AJ55"/>
      <c r="AK55"/>
      <c r="AL55"/>
      <c r="AM55"/>
      <c r="AN55"/>
      <c r="AO55" s="319"/>
      <c r="AP55" s="290"/>
      <c r="AQ55" s="290"/>
      <c r="AR55" s="290"/>
    </row>
    <row r="56" spans="1:44" ht="15">
      <c r="A56" s="259">
        <v>4</v>
      </c>
      <c r="B56" s="259">
        <v>1.21</v>
      </c>
      <c r="C56" s="263">
        <f>ABS(C40-C16)/C16</f>
        <v>0.20181423126163683</v>
      </c>
      <c r="D56" s="263">
        <f t="shared" si="27"/>
        <v>8.480302470975673E-2</v>
      </c>
      <c r="E56" s="263">
        <f t="shared" si="27"/>
        <v>2.1710789170505815E-2</v>
      </c>
      <c r="F56" s="263">
        <f t="shared" si="27"/>
        <v>2.0815720259809184E-2</v>
      </c>
      <c r="G56" s="263">
        <f t="shared" si="27"/>
        <v>5.2579030572970455E-2</v>
      </c>
      <c r="H56" s="264">
        <f>AVERAGE(C56:G56)</f>
        <v>7.6344559194935796E-2</v>
      </c>
      <c r="I56" s="272"/>
      <c r="J56" s="259">
        <v>4</v>
      </c>
      <c r="K56" s="259">
        <v>1.21</v>
      </c>
      <c r="L56" s="296">
        <f t="shared" si="25"/>
        <v>1.7929170057972364E-3</v>
      </c>
      <c r="M56" s="296">
        <f t="shared" si="25"/>
        <v>1.6886706336823518E-3</v>
      </c>
      <c r="N56" s="296">
        <f t="shared" si="25"/>
        <v>1.6276954439923322E-3</v>
      </c>
      <c r="O56" s="296">
        <f t="shared" si="25"/>
        <v>1.584435109424717E-3</v>
      </c>
      <c r="P56" s="296">
        <f t="shared" si="25"/>
        <v>1.5508810737330945E-3</v>
      </c>
      <c r="Q56" s="296">
        <f t="shared" si="28"/>
        <v>1.6489198533259464E-3</v>
      </c>
      <c r="R56" s="251"/>
      <c r="U56" s="292">
        <f t="shared" ref="U56" si="29">SUM(U52:U55)</f>
        <v>131.87199473184384</v>
      </c>
      <c r="V56" s="292">
        <f t="shared" ref="V56" si="30">SUM(V52:V55)</f>
        <v>137.49173061794269</v>
      </c>
      <c r="W56" s="292">
        <f t="shared" ref="W56" si="31">SUM(W52:W55)</f>
        <v>32.608217517726928</v>
      </c>
      <c r="X56" s="292">
        <f t="shared" ref="X56" si="32">SUM(X52:X55)</f>
        <v>23.842496318142302</v>
      </c>
      <c r="Y56" s="292">
        <f t="shared" ref="Y56" si="33">SUM(Y52:Y55)</f>
        <v>37.80218733743849</v>
      </c>
      <c r="Z56" s="294">
        <f t="shared" ref="Z56" si="34">SUM(Z52:Z55)</f>
        <v>363.61662652309434</v>
      </c>
      <c r="AA56" s="333"/>
      <c r="AB56" s="333"/>
      <c r="AC56" s="333"/>
      <c r="AD56" s="333"/>
      <c r="AE56" s="333"/>
      <c r="AF56" s="333"/>
      <c r="AH56" s="318" t="s">
        <v>281</v>
      </c>
      <c r="AI56" s="318" t="s">
        <v>282</v>
      </c>
      <c r="AJ56" s="318" t="s">
        <v>283</v>
      </c>
      <c r="AK56" s="318" t="s">
        <v>284</v>
      </c>
      <c r="AL56" s="318" t="s">
        <v>285</v>
      </c>
      <c r="AM56" s="318" t="s">
        <v>286</v>
      </c>
      <c r="AN56" s="318" t="s">
        <v>287</v>
      </c>
      <c r="AO56" s="321"/>
      <c r="AP56" s="290"/>
      <c r="AQ56" s="290"/>
      <c r="AR56" s="290"/>
    </row>
    <row r="57" spans="1:44" ht="15">
      <c r="C57" s="265">
        <f t="shared" ref="C57:H57" si="35">AVERAGE(C53:C56)</f>
        <v>0.25359254734251274</v>
      </c>
      <c r="D57" s="266">
        <f t="shared" si="35"/>
        <v>0.17485676896528615</v>
      </c>
      <c r="E57" s="266">
        <f t="shared" si="35"/>
        <v>0.13560704228406897</v>
      </c>
      <c r="F57" s="266">
        <f t="shared" si="35"/>
        <v>0.11955912924981518</v>
      </c>
      <c r="G57" s="266">
        <f t="shared" si="35"/>
        <v>0.11568080542282239</v>
      </c>
      <c r="H57" s="267">
        <f t="shared" si="35"/>
        <v>0.15985925865290107</v>
      </c>
      <c r="I57" s="272"/>
      <c r="L57" s="297">
        <f t="shared" ref="L57" si="36">AVERAGE(L53:L56)</f>
        <v>5.5978827659389071E-3</v>
      </c>
      <c r="M57" s="298">
        <f t="shared" ref="M57" si="37">AVERAGE(M53:M56)</f>
        <v>5.5942577329394175E-3</v>
      </c>
      <c r="N57" s="298">
        <f t="shared" ref="N57" si="38">AVERAGE(N53:N56)</f>
        <v>5.593917197065857E-3</v>
      </c>
      <c r="O57" s="298">
        <f t="shared" ref="O57" si="39">AVERAGE(O53:O56)</f>
        <v>5.5936755955900384E-3</v>
      </c>
      <c r="P57" s="298">
        <f t="shared" ref="P57" si="40">AVERAGE(P53:P56)</f>
        <v>5.5934882021122026E-3</v>
      </c>
      <c r="Q57" s="299">
        <f t="shared" ref="Q57" si="41">AVERAGE(Q53:Q56)</f>
        <v>5.5946442987292845E-3</v>
      </c>
      <c r="R57" s="251"/>
      <c r="S57" s="312" t="s">
        <v>260</v>
      </c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H57" s="315" t="s">
        <v>288</v>
      </c>
      <c r="AI57" s="328">
        <v>380302.53333333309</v>
      </c>
      <c r="AJ57" s="328">
        <v>3</v>
      </c>
      <c r="AK57" s="328">
        <v>126767.51111111103</v>
      </c>
      <c r="AL57" s="328">
        <v>99.030670746262174</v>
      </c>
      <c r="AM57" s="327">
        <v>1.4830899363728141E-18</v>
      </c>
      <c r="AN57" s="328">
        <v>2.8387453980206416</v>
      </c>
      <c r="AO57" s="315"/>
      <c r="AP57" s="290"/>
      <c r="AQ57" s="290"/>
      <c r="AR57" s="290"/>
    </row>
    <row r="58" spans="1:44" ht="15">
      <c r="A58" s="261"/>
      <c r="B58" s="261"/>
      <c r="C58" s="261"/>
      <c r="D58" s="261"/>
      <c r="E58" s="261"/>
      <c r="F58" s="261"/>
      <c r="G58" s="261"/>
      <c r="I58" s="272"/>
      <c r="J58" s="261"/>
      <c r="K58" s="261"/>
      <c r="L58" s="261"/>
      <c r="M58" s="261"/>
      <c r="N58" s="261"/>
      <c r="O58" s="261"/>
      <c r="P58" s="261"/>
      <c r="R58" s="251"/>
      <c r="U58" s="218" t="s">
        <v>233</v>
      </c>
      <c r="AH58" s="315" t="s">
        <v>289</v>
      </c>
      <c r="AI58" s="328">
        <v>328186.23333333305</v>
      </c>
      <c r="AJ58" s="328">
        <v>4</v>
      </c>
      <c r="AK58" s="328">
        <v>82046.558333333262</v>
      </c>
      <c r="AL58" s="328">
        <v>64.094700865829026</v>
      </c>
      <c r="AM58" s="327">
        <v>7.3574267378272354E-17</v>
      </c>
      <c r="AN58" s="328">
        <v>2.6059749491238664</v>
      </c>
      <c r="AO58" s="315"/>
      <c r="AP58" s="290"/>
      <c r="AQ58" s="290"/>
      <c r="AR58" s="290"/>
    </row>
    <row r="59" spans="1:44" ht="11.25" customHeight="1">
      <c r="A59" s="218" t="s">
        <v>239</v>
      </c>
      <c r="G59" s="261"/>
      <c r="I59" s="272"/>
      <c r="J59" s="218" t="s">
        <v>239</v>
      </c>
      <c r="P59" s="261"/>
      <c r="R59" s="251"/>
      <c r="S59" s="256" t="s">
        <v>234</v>
      </c>
      <c r="T59" s="228" t="s">
        <v>235</v>
      </c>
      <c r="U59" s="230">
        <v>1.6666666666666667</v>
      </c>
      <c r="V59" s="230">
        <v>3.3333333333333335</v>
      </c>
      <c r="W59" s="230">
        <v>5</v>
      </c>
      <c r="X59" s="230">
        <v>6.666666666666667</v>
      </c>
      <c r="Y59" s="231">
        <v>8.3333333333333339</v>
      </c>
      <c r="AH59" s="315" t="s">
        <v>290</v>
      </c>
      <c r="AI59" s="328">
        <v>427331.63333333348</v>
      </c>
      <c r="AJ59" s="328">
        <v>12</v>
      </c>
      <c r="AK59" s="328">
        <v>35610.969444444454</v>
      </c>
      <c r="AL59" s="328">
        <v>27.819258728815424</v>
      </c>
      <c r="AM59" s="327">
        <v>1.2016299676689854E-15</v>
      </c>
      <c r="AN59" s="328">
        <v>2.0034593955018329</v>
      </c>
      <c r="AO59" s="315"/>
      <c r="AP59" s="290"/>
      <c r="AQ59" s="290"/>
      <c r="AR59" s="290"/>
    </row>
    <row r="60" spans="1:44" ht="11.25" customHeight="1">
      <c r="B60" s="218" t="s">
        <v>240</v>
      </c>
      <c r="G60" s="261"/>
      <c r="I60" s="272"/>
      <c r="K60" s="218" t="s">
        <v>240</v>
      </c>
      <c r="P60" s="261"/>
      <c r="R60" s="251"/>
      <c r="S60" s="257">
        <v>1</v>
      </c>
      <c r="T60" s="257">
        <v>0.04</v>
      </c>
      <c r="U60" s="296">
        <f t="shared" ref="U60:Y63" si="42">ABS(U44-C13)/C13</f>
        <v>2.253450625622027E-3</v>
      </c>
      <c r="V60" s="296">
        <f t="shared" si="42"/>
        <v>5.5116804132963548E-2</v>
      </c>
      <c r="W60" s="296">
        <f t="shared" si="42"/>
        <v>4.9891213437466908E-3</v>
      </c>
      <c r="X60" s="296">
        <f t="shared" si="42"/>
        <v>1.5611523070323126E-2</v>
      </c>
      <c r="Y60" s="296">
        <f t="shared" si="42"/>
        <v>2.0534025276619072E-2</v>
      </c>
      <c r="Z60" s="296">
        <f>AVERAGE(U60:Y60)</f>
        <v>1.9700984889854896E-2</v>
      </c>
      <c r="AA60" s="334"/>
      <c r="AB60" s="334"/>
      <c r="AC60" s="334"/>
      <c r="AD60" s="334"/>
      <c r="AE60" s="334"/>
      <c r="AF60" s="334"/>
      <c r="AH60" s="315" t="s">
        <v>291</v>
      </c>
      <c r="AI60" s="328">
        <v>51203.333333333299</v>
      </c>
      <c r="AJ60" s="328">
        <v>40</v>
      </c>
      <c r="AK60" s="328">
        <v>1280.0833333333326</v>
      </c>
      <c r="AL60" s="328"/>
      <c r="AM60" s="328"/>
      <c r="AN60" s="328"/>
      <c r="AO60" s="315"/>
      <c r="AP60" s="290"/>
      <c r="AQ60" s="290"/>
      <c r="AR60" s="290"/>
    </row>
    <row r="61" spans="1:44" ht="15">
      <c r="A61" s="228" t="s">
        <v>235</v>
      </c>
      <c r="B61" s="228">
        <v>100</v>
      </c>
      <c r="C61" s="228">
        <v>200</v>
      </c>
      <c r="D61" s="228">
        <v>300</v>
      </c>
      <c r="E61" s="228">
        <v>400</v>
      </c>
      <c r="F61" s="228">
        <v>500</v>
      </c>
      <c r="I61" s="272"/>
      <c r="J61" s="228" t="s">
        <v>235</v>
      </c>
      <c r="K61" s="228">
        <v>100</v>
      </c>
      <c r="L61" s="228">
        <v>200</v>
      </c>
      <c r="M61" s="228">
        <v>300</v>
      </c>
      <c r="N61" s="228">
        <v>400</v>
      </c>
      <c r="O61" s="228">
        <v>500</v>
      </c>
      <c r="R61" s="251"/>
      <c r="S61" s="257">
        <v>2</v>
      </c>
      <c r="T61" s="257">
        <v>0.42</v>
      </c>
      <c r="U61" s="296">
        <f t="shared" si="42"/>
        <v>0.11840727332185964</v>
      </c>
      <c r="V61" s="296">
        <f t="shared" si="42"/>
        <v>0.1797364401765629</v>
      </c>
      <c r="W61" s="296">
        <f t="shared" si="42"/>
        <v>0.20485035063660431</v>
      </c>
      <c r="X61" s="296">
        <f t="shared" si="42"/>
        <v>0.22187937876080549</v>
      </c>
      <c r="Y61" s="296">
        <f t="shared" si="42"/>
        <v>0.27007220929363601</v>
      </c>
      <c r="Z61" s="296">
        <f t="shared" ref="Z61:Z63" si="43">AVERAGE(U61:Y61)</f>
        <v>0.19898913043789368</v>
      </c>
      <c r="AA61" s="334"/>
      <c r="AB61" s="334"/>
      <c r="AC61" s="334"/>
      <c r="AD61" s="334"/>
      <c r="AE61" s="334"/>
      <c r="AF61" s="334"/>
      <c r="AH61" s="315"/>
      <c r="AI61" s="328"/>
      <c r="AJ61" s="328"/>
      <c r="AK61" s="328"/>
      <c r="AL61" s="328"/>
      <c r="AM61" s="328"/>
      <c r="AN61" s="328"/>
      <c r="AO61" s="315"/>
      <c r="AP61" s="290"/>
      <c r="AQ61" s="290"/>
      <c r="AR61" s="290"/>
    </row>
    <row r="62" spans="1:44" ht="15.75" thickBot="1">
      <c r="A62" s="228"/>
      <c r="B62" s="254">
        <v>1.6666666666666667</v>
      </c>
      <c r="C62" s="254">
        <v>3.3333333333333335</v>
      </c>
      <c r="D62" s="254">
        <v>5</v>
      </c>
      <c r="E62" s="254">
        <v>6.666666666666667</v>
      </c>
      <c r="F62" s="254">
        <v>8.3333333333333339</v>
      </c>
      <c r="I62" s="272"/>
      <c r="J62" s="228"/>
      <c r="K62" s="254">
        <v>1.6666666666666667</v>
      </c>
      <c r="L62" s="254">
        <v>3.3333333333333335</v>
      </c>
      <c r="M62" s="254">
        <v>5</v>
      </c>
      <c r="N62" s="254">
        <v>6.666666666666667</v>
      </c>
      <c r="O62" s="254">
        <v>8.3333333333333339</v>
      </c>
      <c r="R62" s="251"/>
      <c r="S62" s="257">
        <v>3</v>
      </c>
      <c r="T62" s="257">
        <v>0.79</v>
      </c>
      <c r="U62" s="296">
        <f t="shared" si="42"/>
        <v>3.0128109887107471E-2</v>
      </c>
      <c r="V62" s="296">
        <f t="shared" si="42"/>
        <v>4.2147044532939E-2</v>
      </c>
      <c r="W62" s="296">
        <f t="shared" si="42"/>
        <v>1.1565050416259613E-3</v>
      </c>
      <c r="X62" s="296">
        <f t="shared" si="42"/>
        <v>4.040170345744918E-2</v>
      </c>
      <c r="Y62" s="296">
        <f t="shared" si="42"/>
        <v>7.2568117942055269E-2</v>
      </c>
      <c r="Z62" s="296">
        <f t="shared" si="43"/>
        <v>3.7280296172235369E-2</v>
      </c>
      <c r="AA62" s="334"/>
      <c r="AB62" s="334"/>
      <c r="AC62" s="334"/>
      <c r="AD62" s="334"/>
      <c r="AE62" s="334"/>
      <c r="AF62" s="334"/>
      <c r="AH62" s="317" t="s">
        <v>275</v>
      </c>
      <c r="AI62" s="329">
        <v>1187023.7333333329</v>
      </c>
      <c r="AJ62" s="329">
        <v>59</v>
      </c>
      <c r="AK62" s="329"/>
      <c r="AL62" s="329"/>
      <c r="AM62" s="329"/>
      <c r="AN62" s="329"/>
      <c r="AO62" s="315"/>
      <c r="AP62" s="290"/>
      <c r="AQ62" s="290"/>
      <c r="AR62" s="290"/>
    </row>
    <row r="63" spans="1:44" ht="15">
      <c r="A63" s="268">
        <v>0.04</v>
      </c>
      <c r="B63" s="260">
        <f>C13-C37</f>
        <v>-7.8368619822203982</v>
      </c>
      <c r="C63" s="260">
        <f t="shared" ref="C63:F63" si="44">D13-D37</f>
        <v>14.034602985725911</v>
      </c>
      <c r="D63" s="260">
        <f t="shared" si="44"/>
        <v>19.099827199603226</v>
      </c>
      <c r="E63" s="260">
        <f t="shared" si="44"/>
        <v>14.864137919376176</v>
      </c>
      <c r="F63" s="260">
        <f t="shared" si="44"/>
        <v>16.52151729458572</v>
      </c>
      <c r="I63" s="272"/>
      <c r="J63" s="268">
        <v>0.04</v>
      </c>
      <c r="K63" s="293">
        <f t="shared" ref="K63:O66" si="45">C13-L37</f>
        <v>-4.0124851747123103E-3</v>
      </c>
      <c r="L63" s="293">
        <f t="shared" si="45"/>
        <v>1.5871911876075728E-2</v>
      </c>
      <c r="M63" s="293">
        <f t="shared" si="45"/>
        <v>2.1708296919314307E-2</v>
      </c>
      <c r="N63" s="293">
        <f t="shared" si="45"/>
        <v>1.7104730074549934E-2</v>
      </c>
      <c r="O63" s="293">
        <f t="shared" si="45"/>
        <v>1.9234015615012368E-2</v>
      </c>
      <c r="R63" s="251"/>
      <c r="S63" s="259">
        <v>4</v>
      </c>
      <c r="T63" s="259">
        <v>1.21</v>
      </c>
      <c r="U63" s="296">
        <f t="shared" si="42"/>
        <v>5.3514300836975219E-2</v>
      </c>
      <c r="V63" s="296">
        <f t="shared" si="42"/>
        <v>1.7798204182272872E-2</v>
      </c>
      <c r="W63" s="296">
        <f t="shared" si="42"/>
        <v>3.2193229895990721E-3</v>
      </c>
      <c r="X63" s="296">
        <f t="shared" si="42"/>
        <v>2.1161625152903388E-2</v>
      </c>
      <c r="Y63" s="296">
        <f t="shared" si="42"/>
        <v>5.5552118323869804E-2</v>
      </c>
      <c r="Z63" s="296">
        <f t="shared" si="43"/>
        <v>3.0249114297124069E-2</v>
      </c>
      <c r="AA63" s="334"/>
      <c r="AB63" s="334"/>
      <c r="AC63" s="334"/>
      <c r="AD63" s="334"/>
      <c r="AE63" s="334"/>
      <c r="AF63" s="334"/>
      <c r="AH63" s="290"/>
      <c r="AI63" s="290"/>
      <c r="AJ63" s="290"/>
      <c r="AK63" s="290"/>
      <c r="AL63" s="290"/>
      <c r="AM63" s="290"/>
      <c r="AN63" s="290"/>
      <c r="AO63" s="315"/>
      <c r="AP63" s="290"/>
      <c r="AQ63" s="290"/>
      <c r="AR63" s="290"/>
    </row>
    <row r="64" spans="1:44" ht="15">
      <c r="A64" s="268">
        <v>0.42</v>
      </c>
      <c r="B64" s="260">
        <f>C14-C38</f>
        <v>-34.701078368202715</v>
      </c>
      <c r="C64" s="260">
        <f t="shared" ref="C64:F66" si="46">D14-D38</f>
        <v>-13.957137427990723</v>
      </c>
      <c r="D64" s="260">
        <f t="shared" si="46"/>
        <v>-7.1898341550948182</v>
      </c>
      <c r="E64" s="260">
        <f t="shared" si="46"/>
        <v>-4.2869694109099186</v>
      </c>
      <c r="F64" s="260">
        <f t="shared" si="46"/>
        <v>-3.4214209723629487</v>
      </c>
      <c r="I64" s="272"/>
      <c r="J64" s="268">
        <v>0.42</v>
      </c>
      <c r="K64" s="293">
        <f t="shared" si="45"/>
        <v>-0.43936845540545733</v>
      </c>
      <c r="L64" s="293">
        <f t="shared" si="45"/>
        <v>-0.24790265374331</v>
      </c>
      <c r="M64" s="293">
        <f t="shared" si="45"/>
        <v>-0.16424060366408355</v>
      </c>
      <c r="N64" s="293">
        <f t="shared" si="45"/>
        <v>-0.1217878592896291</v>
      </c>
      <c r="O64" s="293">
        <f t="shared" si="45"/>
        <v>-0.11913833867821921</v>
      </c>
      <c r="R64" s="251"/>
      <c r="U64" s="297">
        <f t="shared" ref="U64" si="47">AVERAGE(U60:U63)</f>
        <v>5.1075783667891089E-2</v>
      </c>
      <c r="V64" s="298">
        <f t="shared" ref="V64" si="48">AVERAGE(V60:V63)</f>
        <v>7.3699623256184579E-2</v>
      </c>
      <c r="W64" s="298">
        <f t="shared" ref="W64" si="49">AVERAGE(W60:W63)</f>
        <v>5.3553825002894004E-2</v>
      </c>
      <c r="X64" s="298">
        <f t="shared" ref="X64" si="50">AVERAGE(X60:X63)</f>
        <v>7.476355761037029E-2</v>
      </c>
      <c r="Y64" s="298">
        <f t="shared" ref="Y64" si="51">AVERAGE(Y60:Y63)</f>
        <v>0.10468161770904504</v>
      </c>
      <c r="Z64" s="299">
        <f t="shared" ref="Z64" si="52">AVERAGE(Z60:Z63)</f>
        <v>7.1554881449277005E-2</v>
      </c>
      <c r="AA64" s="335"/>
      <c r="AB64" s="335"/>
      <c r="AC64" s="335"/>
      <c r="AD64" s="335"/>
      <c r="AE64" s="335"/>
      <c r="AF64" s="335"/>
      <c r="AH64" s="290"/>
      <c r="AI64" s="290"/>
      <c r="AJ64" s="290"/>
      <c r="AK64" s="290"/>
      <c r="AL64" s="290"/>
      <c r="AM64" s="290"/>
      <c r="AN64" s="290"/>
      <c r="AO64" s="319"/>
      <c r="AP64" s="290"/>
      <c r="AQ64" s="290"/>
      <c r="AR64" s="290"/>
    </row>
    <row r="65" spans="1:44" ht="15">
      <c r="A65" s="268">
        <v>0.79</v>
      </c>
      <c r="B65" s="260">
        <f>C15-C39</f>
        <v>-22.522208449085085</v>
      </c>
      <c r="C65" s="260">
        <f t="shared" si="46"/>
        <v>-4.6945111520621339</v>
      </c>
      <c r="D65" s="260">
        <f t="shared" si="46"/>
        <v>-2.3814174546897071</v>
      </c>
      <c r="E65" s="260">
        <f t="shared" si="46"/>
        <v>-1.3148612572090528</v>
      </c>
      <c r="F65" s="260">
        <f t="shared" si="46"/>
        <v>-0.64636377777849674</v>
      </c>
      <c r="I65" s="272"/>
      <c r="J65" s="268">
        <v>0.79</v>
      </c>
      <c r="K65" s="293">
        <f t="shared" si="45"/>
        <v>1.0239733368787114</v>
      </c>
      <c r="L65" s="293">
        <f t="shared" si="45"/>
        <v>0.35995427022456639</v>
      </c>
      <c r="M65" s="293">
        <f t="shared" si="45"/>
        <v>0.28817025412364572</v>
      </c>
      <c r="N65" s="293">
        <f t="shared" si="45"/>
        <v>0.25961664811205765</v>
      </c>
      <c r="O65" s="293">
        <f t="shared" si="45"/>
        <v>0.24056208009758251</v>
      </c>
      <c r="R65" s="251"/>
      <c r="S65" s="261"/>
      <c r="T65" s="261"/>
      <c r="U65" s="261"/>
      <c r="V65" s="261"/>
      <c r="W65" s="261"/>
      <c r="X65" s="261"/>
      <c r="Y65" s="261"/>
      <c r="AH65" s="290"/>
      <c r="AI65" s="290"/>
      <c r="AJ65" s="290"/>
      <c r="AK65" s="290"/>
      <c r="AL65" s="290"/>
      <c r="AM65" s="290"/>
      <c r="AN65" s="290"/>
      <c r="AO65" s="319"/>
      <c r="AP65" s="290"/>
      <c r="AQ65" s="290"/>
      <c r="AR65" s="290"/>
    </row>
    <row r="66" spans="1:44" ht="15">
      <c r="A66" s="268">
        <v>1.21</v>
      </c>
      <c r="B66" s="260">
        <f>C16-C40</f>
        <v>-27.312192630741521</v>
      </c>
      <c r="C66" s="260">
        <f t="shared" si="46"/>
        <v>-5.8231410300699622</v>
      </c>
      <c r="D66" s="260">
        <f t="shared" si="46"/>
        <v>-0.99869630184326752</v>
      </c>
      <c r="E66" s="260">
        <f t="shared" si="46"/>
        <v>0.73548878251325789</v>
      </c>
      <c r="F66" s="260">
        <f t="shared" si="46"/>
        <v>1.7526343524323487</v>
      </c>
      <c r="I66" s="272"/>
      <c r="J66" s="268">
        <v>1.21</v>
      </c>
      <c r="K66" s="293">
        <f t="shared" si="45"/>
        <v>-0.24264143478455935</v>
      </c>
      <c r="L66" s="293">
        <f t="shared" si="45"/>
        <v>-0.11595538351285484</v>
      </c>
      <c r="M66" s="293">
        <f t="shared" si="45"/>
        <v>-7.4873990423647285E-2</v>
      </c>
      <c r="N66" s="293">
        <f t="shared" si="45"/>
        <v>-5.5983373866340003E-2</v>
      </c>
      <c r="O66" s="293">
        <f t="shared" si="45"/>
        <v>-5.1696035791103156E-2</v>
      </c>
      <c r="R66" s="251"/>
      <c r="S66" s="218" t="s">
        <v>239</v>
      </c>
      <c r="Y66" s="261"/>
      <c r="AH66" s="290"/>
      <c r="AI66" s="290"/>
      <c r="AJ66" s="290"/>
      <c r="AK66" s="290"/>
      <c r="AL66" s="290"/>
      <c r="AM66" s="290"/>
      <c r="AN66" s="290"/>
      <c r="AO66" s="319"/>
      <c r="AP66" s="290"/>
      <c r="AQ66" s="290"/>
      <c r="AR66" s="290"/>
    </row>
    <row r="67" spans="1:44" ht="15">
      <c r="A67" s="322"/>
      <c r="B67" s="323"/>
      <c r="C67" s="323"/>
      <c r="D67" s="323"/>
      <c r="E67" s="323"/>
      <c r="F67" s="323"/>
      <c r="I67" s="272"/>
      <c r="J67" s="322"/>
      <c r="K67" s="324"/>
      <c r="L67" s="324"/>
      <c r="M67" s="324"/>
      <c r="N67" s="324"/>
      <c r="O67" s="324"/>
      <c r="R67" s="251"/>
      <c r="T67" s="218" t="s">
        <v>240</v>
      </c>
      <c r="Y67" s="261"/>
      <c r="AH67" s="290"/>
      <c r="AI67" s="290"/>
      <c r="AJ67" s="290"/>
      <c r="AK67" s="290"/>
      <c r="AL67" s="290"/>
      <c r="AM67" s="290"/>
      <c r="AN67" s="290"/>
      <c r="AO67" s="319"/>
      <c r="AP67" s="290"/>
      <c r="AQ67" s="290"/>
      <c r="AR67" s="290"/>
    </row>
    <row r="68" spans="1:44" ht="15">
      <c r="A68" s="322"/>
      <c r="B68" s="323"/>
      <c r="C68" s="323"/>
      <c r="D68" s="323"/>
      <c r="E68" s="323"/>
      <c r="F68" s="323"/>
      <c r="I68" s="272"/>
      <c r="J68" s="322"/>
      <c r="K68" s="324"/>
      <c r="L68" s="324"/>
      <c r="M68" s="324"/>
      <c r="N68" s="324"/>
      <c r="O68" s="324"/>
      <c r="R68" s="251"/>
      <c r="S68" s="228" t="s">
        <v>235</v>
      </c>
      <c r="T68" s="228">
        <v>100</v>
      </c>
      <c r="U68" s="228">
        <v>200</v>
      </c>
      <c r="V68" s="228">
        <v>300</v>
      </c>
      <c r="W68" s="228">
        <v>400</v>
      </c>
      <c r="X68" s="228">
        <v>500</v>
      </c>
      <c r="Y68" s="261"/>
      <c r="AH68" s="290"/>
      <c r="AI68" s="290"/>
      <c r="AJ68" s="290"/>
      <c r="AK68" s="290"/>
      <c r="AL68" s="290"/>
      <c r="AM68" s="290"/>
      <c r="AN68" s="290"/>
      <c r="AO68" s="319"/>
      <c r="AP68" s="290"/>
      <c r="AQ68" s="290"/>
      <c r="AR68" s="290"/>
    </row>
    <row r="69" spans="1:44" ht="15">
      <c r="A69" s="322"/>
      <c r="B69" s="323"/>
      <c r="C69" s="323"/>
      <c r="D69" s="323"/>
      <c r="E69" s="323"/>
      <c r="F69" s="323"/>
      <c r="I69" s="272"/>
      <c r="J69" s="322"/>
      <c r="K69" s="324"/>
      <c r="L69" s="324"/>
      <c r="M69" s="324"/>
      <c r="N69" s="324"/>
      <c r="O69" s="324"/>
      <c r="R69" s="251"/>
      <c r="S69" s="228"/>
      <c r="T69" s="254">
        <v>1.6666666666666667</v>
      </c>
      <c r="U69" s="254">
        <v>3.3333333333333335</v>
      </c>
      <c r="V69" s="254">
        <v>5</v>
      </c>
      <c r="W69" s="254">
        <v>6.666666666666667</v>
      </c>
      <c r="X69" s="254">
        <v>8.3333333333333339</v>
      </c>
      <c r="Y69" s="261"/>
      <c r="AH69" s="290"/>
      <c r="AI69" s="290"/>
      <c r="AJ69" s="290"/>
      <c r="AK69" s="290"/>
      <c r="AL69" s="290"/>
      <c r="AM69" s="290"/>
      <c r="AN69" s="290"/>
      <c r="AO69" s="319"/>
      <c r="AP69" s="290"/>
      <c r="AQ69" s="290"/>
      <c r="AR69" s="290"/>
    </row>
    <row r="70" spans="1:44" ht="15">
      <c r="A70" s="322"/>
      <c r="B70" s="323"/>
      <c r="C70" s="323"/>
      <c r="D70" s="323"/>
      <c r="E70" s="323"/>
      <c r="F70" s="323"/>
      <c r="I70" s="272"/>
      <c r="J70" s="322"/>
      <c r="K70" s="324"/>
      <c r="L70" s="324"/>
      <c r="M70" s="324"/>
      <c r="N70" s="324"/>
      <c r="O70" s="324"/>
      <c r="R70" s="251"/>
      <c r="S70" s="268">
        <v>0.04</v>
      </c>
      <c r="T70" s="293">
        <f t="shared" ref="T70:X73" si="53">C13-U44</f>
        <v>-1.4857751124934566</v>
      </c>
      <c r="U70" s="293">
        <f t="shared" si="53"/>
        <v>8.9289222695400952</v>
      </c>
      <c r="V70" s="293">
        <f t="shared" si="53"/>
        <v>0.68184658364538109</v>
      </c>
      <c r="W70" s="293">
        <f t="shared" si="53"/>
        <v>1.3217756199540247</v>
      </c>
      <c r="X70" s="293">
        <f t="shared" si="53"/>
        <v>-1.6769453975905577</v>
      </c>
      <c r="Y70" s="261"/>
      <c r="AH70" s="290"/>
      <c r="AI70" s="290"/>
      <c r="AJ70" s="290"/>
      <c r="AK70" s="290"/>
      <c r="AL70" s="290"/>
      <c r="AM70" s="290"/>
      <c r="AN70" s="290"/>
      <c r="AO70" s="319"/>
      <c r="AP70" s="290"/>
      <c r="AQ70" s="290"/>
      <c r="AR70" s="290"/>
    </row>
    <row r="71" spans="1:44" ht="15">
      <c r="A71" s="322"/>
      <c r="B71" s="323"/>
      <c r="C71" s="323"/>
      <c r="D71" s="323"/>
      <c r="E71" s="323"/>
      <c r="F71" s="323"/>
      <c r="I71" s="272"/>
      <c r="J71" s="322"/>
      <c r="K71" s="324"/>
      <c r="L71" s="324"/>
      <c r="M71" s="324"/>
      <c r="N71" s="324"/>
      <c r="O71" s="324"/>
      <c r="R71" s="251"/>
      <c r="S71" s="268">
        <v>0.42</v>
      </c>
      <c r="T71" s="293">
        <f t="shared" si="53"/>
        <v>-8.5253236791738942</v>
      </c>
      <c r="U71" s="293">
        <f t="shared" si="53"/>
        <v>-7.4291061939645999</v>
      </c>
      <c r="V71" s="293">
        <f t="shared" si="53"/>
        <v>-5.6675263676127194</v>
      </c>
      <c r="W71" s="293">
        <f t="shared" si="53"/>
        <v>-4.5855071610566469</v>
      </c>
      <c r="X71" s="293">
        <f t="shared" si="53"/>
        <v>-5.4914682556372654</v>
      </c>
      <c r="Y71" s="261"/>
      <c r="AH71" s="290"/>
      <c r="AI71" s="290"/>
      <c r="AJ71" s="290"/>
      <c r="AK71" s="290"/>
      <c r="AL71" s="290"/>
      <c r="AM71" s="290"/>
      <c r="AN71" s="290"/>
      <c r="AO71" s="319"/>
      <c r="AP71" s="290"/>
      <c r="AQ71" s="290"/>
      <c r="AR71" s="290"/>
    </row>
    <row r="72" spans="1:44" ht="15">
      <c r="A72" s="322"/>
      <c r="B72" s="323"/>
      <c r="C72" s="323"/>
      <c r="D72" s="323"/>
      <c r="E72" s="323"/>
      <c r="F72" s="323"/>
      <c r="I72" s="272"/>
      <c r="J72" s="322"/>
      <c r="K72" s="324"/>
      <c r="L72" s="324"/>
      <c r="M72" s="324"/>
      <c r="N72" s="324"/>
      <c r="O72" s="324"/>
      <c r="R72" s="251"/>
      <c r="S72" s="268">
        <v>0.79</v>
      </c>
      <c r="T72" s="293">
        <f t="shared" si="53"/>
        <v>2.129053098688928</v>
      </c>
      <c r="U72" s="293">
        <f t="shared" si="53"/>
        <v>1.039627098479162</v>
      </c>
      <c r="V72" s="293">
        <f t="shared" si="53"/>
        <v>-2.2744599151977241E-2</v>
      </c>
      <c r="W72" s="293">
        <f t="shared" si="53"/>
        <v>-0.71376342774826895</v>
      </c>
      <c r="X72" s="293">
        <f t="shared" si="53"/>
        <v>-1.185279259720236</v>
      </c>
      <c r="Y72" s="261"/>
      <c r="AH72" s="290"/>
      <c r="AI72" s="290"/>
      <c r="AJ72" s="290"/>
      <c r="AK72" s="290"/>
      <c r="AL72" s="290"/>
      <c r="AM72" s="290"/>
      <c r="AN72" s="290"/>
      <c r="AO72" s="319"/>
      <c r="AP72" s="290"/>
      <c r="AQ72" s="290"/>
      <c r="AR72" s="290"/>
    </row>
    <row r="73" spans="1:44" ht="15">
      <c r="A73" s="322"/>
      <c r="B73" s="323"/>
      <c r="C73" s="323"/>
      <c r="D73" s="323"/>
      <c r="E73" s="323"/>
      <c r="F73" s="323"/>
      <c r="I73" s="272"/>
      <c r="J73" s="322"/>
      <c r="K73" s="324"/>
      <c r="L73" s="324"/>
      <c r="M73" s="324"/>
      <c r="N73" s="324"/>
      <c r="O73" s="324"/>
      <c r="R73" s="251"/>
      <c r="S73" s="268">
        <v>1.21</v>
      </c>
      <c r="T73" s="293">
        <f t="shared" si="53"/>
        <v>7.2422687132706471</v>
      </c>
      <c r="U73" s="293">
        <f t="shared" si="53"/>
        <v>1.222143353849404</v>
      </c>
      <c r="V73" s="293">
        <f t="shared" si="53"/>
        <v>-0.14808885752155732</v>
      </c>
      <c r="W73" s="293">
        <f t="shared" si="53"/>
        <v>-0.74771075540258636</v>
      </c>
      <c r="X73" s="293">
        <f t="shared" si="53"/>
        <v>-1.8517372774623269</v>
      </c>
      <c r="Y73" s="261"/>
      <c r="AH73" s="290"/>
      <c r="AI73" s="290"/>
      <c r="AJ73" s="290"/>
      <c r="AK73" s="290"/>
      <c r="AL73" s="290"/>
      <c r="AM73" s="290"/>
      <c r="AN73" s="290"/>
      <c r="AO73" s="319"/>
      <c r="AP73" s="290"/>
      <c r="AQ73" s="290"/>
      <c r="AR73" s="290"/>
    </row>
    <row r="74" spans="1:44" ht="15">
      <c r="A74" s="322"/>
      <c r="B74" s="323"/>
      <c r="C74" s="323"/>
      <c r="D74" s="323"/>
      <c r="E74" s="323"/>
      <c r="F74" s="323"/>
      <c r="I74" s="272"/>
      <c r="J74" s="322"/>
      <c r="K74" s="324"/>
      <c r="L74" s="324"/>
      <c r="M74" s="324"/>
      <c r="N74" s="324"/>
      <c r="O74" s="324"/>
      <c r="R74" s="251"/>
      <c r="Y74" s="261"/>
      <c r="AH74" s="290"/>
      <c r="AI74" s="290"/>
      <c r="AJ74" s="290"/>
      <c r="AK74" s="290"/>
      <c r="AL74" s="290"/>
      <c r="AM74" s="290"/>
      <c r="AN74" s="290"/>
      <c r="AO74" s="319"/>
      <c r="AP74" s="290"/>
      <c r="AQ74" s="290"/>
      <c r="AR74" s="290"/>
    </row>
    <row r="75" spans="1:44" ht="15">
      <c r="A75" s="322"/>
      <c r="B75" s="323"/>
      <c r="C75" s="323"/>
      <c r="D75" s="323"/>
      <c r="E75" s="323"/>
      <c r="F75" s="323"/>
      <c r="I75" s="272"/>
      <c r="J75" s="322"/>
      <c r="K75" s="324"/>
      <c r="L75" s="324"/>
      <c r="M75" s="324"/>
      <c r="N75" s="324"/>
      <c r="O75" s="324"/>
      <c r="R75" s="251"/>
      <c r="Y75" s="261"/>
      <c r="AH75" s="290"/>
      <c r="AI75" s="290"/>
      <c r="AJ75" s="290"/>
      <c r="AK75" s="290"/>
      <c r="AL75" s="290"/>
      <c r="AM75" s="290"/>
      <c r="AN75" s="290"/>
      <c r="AO75" s="319"/>
      <c r="AP75" s="290"/>
      <c r="AQ75" s="290"/>
      <c r="AR75" s="290"/>
    </row>
    <row r="76" spans="1:44" ht="15">
      <c r="A76" s="322"/>
      <c r="B76" s="323"/>
      <c r="C76" s="323"/>
      <c r="D76" s="323"/>
      <c r="E76" s="323"/>
      <c r="F76" s="323"/>
      <c r="I76" s="272"/>
      <c r="J76" s="322"/>
      <c r="K76" s="324"/>
      <c r="L76" s="324"/>
      <c r="M76" s="324"/>
      <c r="N76" s="324"/>
      <c r="O76" s="324"/>
      <c r="R76" s="251"/>
      <c r="Y76" s="261"/>
      <c r="AH76" s="290"/>
      <c r="AI76" s="290"/>
      <c r="AJ76" s="290"/>
      <c r="AK76" s="290"/>
      <c r="AL76" s="290"/>
      <c r="AM76" s="290"/>
      <c r="AN76" s="290"/>
      <c r="AO76" s="319"/>
      <c r="AP76" s="290"/>
      <c r="AQ76" s="290"/>
      <c r="AR76" s="290"/>
    </row>
    <row r="77" spans="1:44" ht="15">
      <c r="A77" s="322"/>
      <c r="B77" s="323"/>
      <c r="C77" s="323"/>
      <c r="D77" s="323"/>
      <c r="E77" s="323"/>
      <c r="F77" s="323"/>
      <c r="I77" s="272"/>
      <c r="J77" s="322"/>
      <c r="K77" s="324"/>
      <c r="L77" s="324"/>
      <c r="M77" s="324"/>
      <c r="N77" s="324"/>
      <c r="O77" s="324"/>
      <c r="R77" s="251"/>
      <c r="Y77" s="261"/>
      <c r="AH77" s="290"/>
      <c r="AI77" s="290"/>
      <c r="AJ77" s="290"/>
      <c r="AK77" s="290"/>
      <c r="AL77" s="290"/>
      <c r="AM77" s="290"/>
      <c r="AN77" s="290"/>
      <c r="AO77" s="319"/>
      <c r="AP77" s="290"/>
      <c r="AQ77" s="290"/>
      <c r="AR77" s="290"/>
    </row>
    <row r="78" spans="1:44" ht="15">
      <c r="A78" s="322"/>
      <c r="B78" s="323"/>
      <c r="C78" s="323"/>
      <c r="D78" s="323"/>
      <c r="E78" s="323"/>
      <c r="F78" s="323"/>
      <c r="I78" s="272"/>
      <c r="J78" s="322"/>
      <c r="K78" s="324"/>
      <c r="L78" s="324"/>
      <c r="M78" s="324"/>
      <c r="N78" s="324"/>
      <c r="O78" s="324"/>
      <c r="R78" s="251"/>
      <c r="Y78" s="261"/>
      <c r="AH78" s="290"/>
      <c r="AI78" s="290"/>
      <c r="AJ78" s="290"/>
      <c r="AK78" s="290"/>
      <c r="AL78" s="290"/>
      <c r="AM78" s="290"/>
      <c r="AN78" s="290"/>
      <c r="AO78" s="319"/>
      <c r="AP78" s="290"/>
      <c r="AQ78" s="290"/>
      <c r="AR78" s="290"/>
    </row>
    <row r="79" spans="1:44" ht="15">
      <c r="A79" s="322"/>
      <c r="B79" s="323"/>
      <c r="C79" s="323"/>
      <c r="D79" s="323"/>
      <c r="E79" s="323"/>
      <c r="F79" s="323"/>
      <c r="I79" s="272"/>
      <c r="J79" s="322"/>
      <c r="K79" s="324"/>
      <c r="L79" s="324"/>
      <c r="M79" s="324"/>
      <c r="N79" s="324"/>
      <c r="O79" s="324"/>
      <c r="R79" s="251"/>
      <c r="Y79" s="261"/>
      <c r="AH79" s="290"/>
      <c r="AI79" s="290"/>
      <c r="AJ79" s="290"/>
      <c r="AK79" s="290"/>
      <c r="AL79" s="290"/>
      <c r="AM79" s="290"/>
      <c r="AN79" s="290"/>
      <c r="AO79" s="319"/>
      <c r="AP79" s="290"/>
      <c r="AQ79" s="290"/>
      <c r="AR79" s="290"/>
    </row>
    <row r="80" spans="1:44" ht="15">
      <c r="A80" s="322"/>
      <c r="B80" s="323"/>
      <c r="C80" s="323"/>
      <c r="D80" s="323"/>
      <c r="E80" s="323"/>
      <c r="F80" s="323"/>
      <c r="I80" s="272"/>
      <c r="J80" s="322"/>
      <c r="K80" s="324"/>
      <c r="L80" s="324"/>
      <c r="M80" s="324"/>
      <c r="N80" s="324"/>
      <c r="O80" s="324"/>
      <c r="R80" s="251"/>
      <c r="Y80" s="261"/>
      <c r="AH80" s="290"/>
      <c r="AI80" s="290"/>
      <c r="AJ80" s="290"/>
      <c r="AK80" s="290"/>
      <c r="AL80" s="290"/>
      <c r="AM80" s="290"/>
      <c r="AN80" s="290"/>
      <c r="AO80" s="319"/>
      <c r="AP80" s="290"/>
      <c r="AQ80" s="290"/>
      <c r="AR80" s="290"/>
    </row>
    <row r="81" spans="1:44" ht="15">
      <c r="A81" s="322"/>
      <c r="B81" s="323"/>
      <c r="C81" s="323"/>
      <c r="D81" s="323"/>
      <c r="E81" s="323"/>
      <c r="F81" s="323"/>
      <c r="I81" s="272"/>
      <c r="J81" s="322"/>
      <c r="K81" s="324"/>
      <c r="L81" s="324"/>
      <c r="M81" s="324"/>
      <c r="N81" s="324"/>
      <c r="O81" s="324"/>
      <c r="R81" s="251"/>
      <c r="Y81" s="261"/>
      <c r="AH81" s="290"/>
      <c r="AI81" s="290"/>
      <c r="AJ81" s="290"/>
      <c r="AK81" s="290"/>
      <c r="AL81" s="290"/>
      <c r="AM81" s="290"/>
      <c r="AN81" s="290"/>
      <c r="AO81" s="319"/>
      <c r="AP81" s="290"/>
      <c r="AQ81" s="290"/>
      <c r="AR81" s="290"/>
    </row>
    <row r="82" spans="1:44" ht="15">
      <c r="A82" s="322"/>
      <c r="B82" s="323"/>
      <c r="C82" s="323"/>
      <c r="D82" s="323"/>
      <c r="E82" s="323"/>
      <c r="F82" s="323"/>
      <c r="I82" s="272"/>
      <c r="J82" s="322"/>
      <c r="K82" s="324"/>
      <c r="L82" s="324"/>
      <c r="M82" s="324"/>
      <c r="N82" s="324"/>
      <c r="O82" s="324"/>
      <c r="R82" s="251"/>
      <c r="Y82" s="261"/>
      <c r="AH82" s="290"/>
      <c r="AI82" s="290"/>
      <c r="AJ82" s="290"/>
      <c r="AK82" s="290"/>
      <c r="AL82" s="290"/>
      <c r="AM82" s="290"/>
      <c r="AN82" s="290"/>
      <c r="AO82" s="319"/>
      <c r="AP82" s="290"/>
      <c r="AQ82" s="290"/>
      <c r="AR82" s="290"/>
    </row>
    <row r="83" spans="1:44" ht="15">
      <c r="A83" s="322"/>
      <c r="B83" s="323"/>
      <c r="C83" s="323"/>
      <c r="D83" s="323"/>
      <c r="E83" s="323"/>
      <c r="F83" s="323"/>
      <c r="I83" s="272"/>
      <c r="J83" s="322"/>
      <c r="K83" s="324"/>
      <c r="L83" s="324"/>
      <c r="M83" s="324"/>
      <c r="N83" s="324"/>
      <c r="O83" s="324"/>
      <c r="R83" s="251"/>
      <c r="Y83" s="261"/>
      <c r="AH83" s="290"/>
      <c r="AI83" s="290"/>
      <c r="AJ83" s="290"/>
      <c r="AK83" s="290"/>
      <c r="AL83" s="290"/>
      <c r="AM83" s="290"/>
      <c r="AN83" s="290"/>
      <c r="AO83" s="319"/>
      <c r="AP83" s="290"/>
      <c r="AQ83" s="290"/>
      <c r="AR83" s="290"/>
    </row>
    <row r="84" spans="1:44" ht="15">
      <c r="A84" s="322"/>
      <c r="B84" s="323"/>
      <c r="C84" s="323"/>
      <c r="D84" s="323"/>
      <c r="E84" s="323"/>
      <c r="F84" s="323"/>
      <c r="I84" s="272"/>
      <c r="J84" s="322"/>
      <c r="K84" s="324"/>
      <c r="L84" s="324"/>
      <c r="M84" s="324"/>
      <c r="N84" s="324"/>
      <c r="O84" s="324"/>
      <c r="R84" s="251"/>
      <c r="Y84" s="261"/>
      <c r="AH84" s="290"/>
      <c r="AI84" s="290"/>
      <c r="AJ84" s="290"/>
      <c r="AK84" s="290"/>
      <c r="AL84" s="290"/>
      <c r="AM84" s="290"/>
      <c r="AN84" s="290"/>
      <c r="AO84" s="319"/>
      <c r="AP84" s="290"/>
      <c r="AQ84" s="290"/>
      <c r="AR84" s="290"/>
    </row>
    <row r="85" spans="1:44" ht="15">
      <c r="A85" s="322"/>
      <c r="B85" s="323"/>
      <c r="C85" s="323"/>
      <c r="D85" s="323"/>
      <c r="E85" s="323"/>
      <c r="F85" s="323"/>
      <c r="I85" s="272"/>
      <c r="J85" s="322"/>
      <c r="K85" s="324"/>
      <c r="L85" s="324"/>
      <c r="M85" s="324"/>
      <c r="N85" s="324"/>
      <c r="O85" s="324"/>
      <c r="R85" s="251"/>
      <c r="Y85" s="261"/>
      <c r="AH85" s="290"/>
      <c r="AI85" s="290"/>
      <c r="AJ85" s="290"/>
      <c r="AK85" s="290"/>
      <c r="AL85" s="290"/>
      <c r="AM85" s="290"/>
      <c r="AN85" s="290"/>
      <c r="AO85" s="319"/>
      <c r="AP85" s="290"/>
      <c r="AQ85" s="290"/>
      <c r="AR85" s="290"/>
    </row>
    <row r="86" spans="1:44" ht="15">
      <c r="A86" s="322"/>
      <c r="B86" s="323"/>
      <c r="C86" s="323"/>
      <c r="D86" s="323"/>
      <c r="E86" s="323"/>
      <c r="F86" s="323"/>
      <c r="I86" s="272"/>
      <c r="J86" s="322"/>
      <c r="K86" s="324"/>
      <c r="L86" s="324"/>
      <c r="M86" s="324"/>
      <c r="N86" s="324"/>
      <c r="O86" s="324"/>
      <c r="R86" s="251"/>
      <c r="Y86" s="261"/>
      <c r="AH86" s="290"/>
      <c r="AI86" s="290"/>
      <c r="AJ86" s="290"/>
      <c r="AK86" s="290"/>
      <c r="AL86" s="290"/>
      <c r="AM86" s="290"/>
      <c r="AN86" s="290"/>
      <c r="AO86" s="319"/>
      <c r="AP86" s="290"/>
      <c r="AQ86" s="290"/>
      <c r="AR86" s="290"/>
    </row>
    <row r="87" spans="1:44" ht="15">
      <c r="A87" s="322"/>
      <c r="B87" s="323"/>
      <c r="C87" s="323"/>
      <c r="D87" s="323"/>
      <c r="E87" s="323"/>
      <c r="F87" s="323"/>
      <c r="I87" s="272"/>
      <c r="J87" s="322"/>
      <c r="K87" s="324"/>
      <c r="L87" s="324"/>
      <c r="M87" s="324"/>
      <c r="N87" s="324"/>
      <c r="O87" s="324"/>
      <c r="R87" s="251"/>
      <c r="Y87" s="261"/>
      <c r="AH87" s="290"/>
      <c r="AI87" s="290"/>
      <c r="AJ87" s="290"/>
      <c r="AK87" s="290"/>
      <c r="AL87" s="290"/>
      <c r="AM87" s="290"/>
      <c r="AN87" s="290"/>
      <c r="AO87" s="319"/>
      <c r="AP87" s="290"/>
      <c r="AQ87" s="290"/>
      <c r="AR87" s="290"/>
    </row>
    <row r="88" spans="1:44" ht="15">
      <c r="A88" s="322"/>
      <c r="B88" s="323"/>
      <c r="C88" s="323"/>
      <c r="D88" s="323"/>
      <c r="E88" s="323"/>
      <c r="F88" s="323"/>
      <c r="I88" s="272"/>
      <c r="J88" s="322"/>
      <c r="K88" s="324"/>
      <c r="L88" s="324"/>
      <c r="M88" s="324"/>
      <c r="N88" s="324"/>
      <c r="O88" s="324"/>
      <c r="R88" s="251"/>
      <c r="Y88" s="261"/>
      <c r="AH88" s="290"/>
      <c r="AI88" s="290"/>
      <c r="AJ88" s="290"/>
      <c r="AK88" s="290"/>
      <c r="AL88" s="290"/>
      <c r="AM88" s="290"/>
      <c r="AN88" s="290"/>
      <c r="AO88" s="319"/>
      <c r="AP88" s="290"/>
      <c r="AQ88" s="290"/>
      <c r="AR88" s="290"/>
    </row>
    <row r="89" spans="1:44" ht="15">
      <c r="A89" s="322"/>
      <c r="B89" s="323"/>
      <c r="C89" s="323"/>
      <c r="D89" s="323"/>
      <c r="E89" s="323"/>
      <c r="F89" s="323"/>
      <c r="I89" s="272"/>
      <c r="J89" s="322"/>
      <c r="K89" s="324"/>
      <c r="L89" s="324"/>
      <c r="M89" s="324"/>
      <c r="N89" s="324"/>
      <c r="O89" s="324"/>
      <c r="R89" s="251"/>
      <c r="Y89" s="261"/>
      <c r="AH89" s="290"/>
      <c r="AI89" s="290"/>
      <c r="AJ89" s="290"/>
      <c r="AK89" s="290"/>
      <c r="AL89" s="290"/>
      <c r="AM89" s="290"/>
      <c r="AN89" s="290"/>
      <c r="AO89" s="319"/>
      <c r="AP89" s="290"/>
      <c r="AQ89" s="290"/>
      <c r="AR89" s="290"/>
    </row>
    <row r="90" spans="1:44" ht="15">
      <c r="A90" s="322"/>
      <c r="B90" s="323"/>
      <c r="C90" s="323"/>
      <c r="D90" s="323"/>
      <c r="E90" s="323"/>
      <c r="F90" s="323"/>
      <c r="I90" s="272"/>
      <c r="J90" s="322"/>
      <c r="K90" s="324"/>
      <c r="L90" s="324"/>
      <c r="M90" s="324"/>
      <c r="N90" s="324"/>
      <c r="O90" s="324"/>
      <c r="R90" s="251"/>
      <c r="Y90" s="261"/>
      <c r="AH90" s="290"/>
      <c r="AI90" s="290"/>
      <c r="AJ90" s="290"/>
      <c r="AK90" s="290"/>
      <c r="AL90" s="290"/>
      <c r="AM90" s="290"/>
      <c r="AN90" s="290"/>
      <c r="AO90" s="319"/>
      <c r="AP90" s="290"/>
      <c r="AQ90" s="290"/>
      <c r="AR90" s="290"/>
    </row>
    <row r="91" spans="1:44" ht="15">
      <c r="A91" s="322"/>
      <c r="B91" s="323"/>
      <c r="C91" s="323"/>
      <c r="D91" s="323"/>
      <c r="E91" s="323"/>
      <c r="F91" s="323"/>
      <c r="I91" s="272"/>
      <c r="J91" s="322"/>
      <c r="K91" s="324"/>
      <c r="L91" s="324"/>
      <c r="M91" s="324"/>
      <c r="N91" s="324"/>
      <c r="O91" s="324"/>
      <c r="R91" s="251"/>
      <c r="Y91" s="261"/>
      <c r="AH91" s="290"/>
      <c r="AI91" s="290"/>
      <c r="AJ91" s="290"/>
      <c r="AK91" s="290"/>
      <c r="AL91" s="290"/>
      <c r="AM91" s="290"/>
      <c r="AN91" s="290"/>
      <c r="AO91" s="319"/>
      <c r="AP91" s="290"/>
      <c r="AQ91" s="290"/>
      <c r="AR91" s="290"/>
    </row>
    <row r="92" spans="1:44" ht="15">
      <c r="A92" s="322"/>
      <c r="B92" s="323"/>
      <c r="C92" s="323"/>
      <c r="D92" s="323"/>
      <c r="E92" s="323"/>
      <c r="F92" s="323"/>
      <c r="I92" s="272"/>
      <c r="J92" s="322"/>
      <c r="K92" s="324"/>
      <c r="L92" s="324"/>
      <c r="M92" s="324"/>
      <c r="N92" s="324"/>
      <c r="O92" s="324"/>
      <c r="R92" s="251"/>
      <c r="Y92" s="261"/>
      <c r="AH92" s="290"/>
      <c r="AI92" s="290"/>
      <c r="AJ92" s="290"/>
      <c r="AK92" s="290"/>
      <c r="AL92" s="290"/>
      <c r="AM92" s="290"/>
      <c r="AN92" s="290"/>
      <c r="AO92" s="319"/>
      <c r="AP92" s="290"/>
      <c r="AQ92" s="290"/>
      <c r="AR92" s="290"/>
    </row>
    <row r="93" spans="1:44" ht="15">
      <c r="A93" s="322"/>
      <c r="B93" s="323"/>
      <c r="C93" s="323"/>
      <c r="D93" s="323"/>
      <c r="E93" s="323"/>
      <c r="F93" s="323"/>
      <c r="I93" s="272"/>
      <c r="J93" s="322"/>
      <c r="K93" s="324"/>
      <c r="L93" s="324"/>
      <c r="M93" s="324"/>
      <c r="N93" s="324"/>
      <c r="O93" s="324"/>
      <c r="R93" s="251"/>
      <c r="Y93" s="261"/>
      <c r="AH93" s="290"/>
      <c r="AI93" s="290"/>
      <c r="AJ93" s="290"/>
      <c r="AK93" s="290"/>
      <c r="AL93" s="290"/>
      <c r="AM93" s="290"/>
      <c r="AN93" s="290"/>
      <c r="AO93" s="319"/>
      <c r="AP93" s="290"/>
      <c r="AQ93" s="290"/>
      <c r="AR93" s="290"/>
    </row>
    <row r="94" spans="1:44" ht="15">
      <c r="A94" s="322"/>
      <c r="B94" s="323"/>
      <c r="C94" s="323"/>
      <c r="D94" s="323"/>
      <c r="E94" s="323"/>
      <c r="F94" s="323"/>
      <c r="I94" s="272"/>
      <c r="J94" s="322"/>
      <c r="K94" s="324"/>
      <c r="L94" s="324"/>
      <c r="M94" s="324"/>
      <c r="N94" s="324"/>
      <c r="O94" s="324"/>
      <c r="R94" s="251"/>
      <c r="Y94" s="261"/>
      <c r="AH94" s="290"/>
      <c r="AI94" s="290"/>
      <c r="AJ94" s="290"/>
      <c r="AK94" s="290"/>
      <c r="AL94" s="290"/>
      <c r="AM94" s="290"/>
      <c r="AN94" s="290"/>
      <c r="AO94" s="319"/>
      <c r="AP94" s="290"/>
      <c r="AQ94" s="290"/>
      <c r="AR94" s="290"/>
    </row>
    <row r="95" spans="1:44" ht="15">
      <c r="A95" s="322"/>
      <c r="B95" s="323"/>
      <c r="C95" s="323"/>
      <c r="D95" s="323"/>
      <c r="E95" s="323"/>
      <c r="F95" s="323"/>
      <c r="I95" s="272"/>
      <c r="J95" s="322"/>
      <c r="K95" s="324"/>
      <c r="L95" s="324"/>
      <c r="M95" s="324"/>
      <c r="N95" s="324"/>
      <c r="O95" s="324"/>
      <c r="R95" s="251"/>
      <c r="Y95" s="261"/>
      <c r="AH95" s="290"/>
      <c r="AI95" s="290"/>
      <c r="AJ95" s="290"/>
      <c r="AK95" s="290"/>
      <c r="AL95" s="290"/>
      <c r="AM95" s="290"/>
      <c r="AN95" s="290"/>
      <c r="AO95" s="319"/>
      <c r="AP95" s="290"/>
      <c r="AQ95" s="290"/>
      <c r="AR95" s="290"/>
    </row>
    <row r="96" spans="1:44" ht="15">
      <c r="A96" s="322"/>
      <c r="B96" s="323"/>
      <c r="C96" s="323"/>
      <c r="D96" s="323"/>
      <c r="E96" s="323"/>
      <c r="F96" s="323"/>
      <c r="I96" s="272"/>
      <c r="J96" s="322"/>
      <c r="K96" s="324"/>
      <c r="L96" s="324"/>
      <c r="M96" s="324"/>
      <c r="N96" s="324"/>
      <c r="O96" s="324"/>
      <c r="R96" s="251"/>
      <c r="Y96" s="261"/>
      <c r="AH96" s="290"/>
      <c r="AI96" s="290"/>
      <c r="AJ96" s="290"/>
      <c r="AK96" s="290"/>
      <c r="AL96" s="290"/>
      <c r="AM96" s="290"/>
      <c r="AN96" s="290"/>
      <c r="AO96" s="319"/>
      <c r="AP96" s="290"/>
      <c r="AQ96" s="290"/>
      <c r="AR96" s="290"/>
    </row>
    <row r="97" spans="1:44" ht="15">
      <c r="A97" s="322"/>
      <c r="B97" s="323"/>
      <c r="C97" s="323"/>
      <c r="D97" s="323"/>
      <c r="E97" s="323"/>
      <c r="F97" s="323"/>
      <c r="I97" s="272"/>
      <c r="J97" s="322"/>
      <c r="K97" s="324"/>
      <c r="L97" s="324"/>
      <c r="M97" s="324"/>
      <c r="N97" s="324"/>
      <c r="O97" s="324"/>
      <c r="R97" s="251"/>
      <c r="Y97" s="261"/>
      <c r="AH97" s="290"/>
      <c r="AI97" s="290"/>
      <c r="AJ97" s="290"/>
      <c r="AK97" s="290"/>
      <c r="AL97" s="290"/>
      <c r="AM97" s="290"/>
      <c r="AN97" s="290"/>
      <c r="AO97" s="319"/>
      <c r="AP97" s="290"/>
      <c r="AQ97" s="290"/>
      <c r="AR97" s="290"/>
    </row>
    <row r="98" spans="1:44" ht="15">
      <c r="A98" s="322"/>
      <c r="B98" s="323"/>
      <c r="C98" s="323"/>
      <c r="D98" s="323"/>
      <c r="E98" s="323"/>
      <c r="F98" s="323"/>
      <c r="I98" s="272"/>
      <c r="J98" s="322"/>
      <c r="K98" s="324"/>
      <c r="L98" s="324"/>
      <c r="M98" s="324"/>
      <c r="N98" s="324"/>
      <c r="O98" s="324"/>
      <c r="R98" s="251"/>
      <c r="Y98" s="261"/>
      <c r="AH98" s="290"/>
      <c r="AI98" s="290"/>
      <c r="AJ98" s="290"/>
      <c r="AK98" s="290"/>
      <c r="AL98" s="290"/>
      <c r="AM98" s="290"/>
      <c r="AN98" s="290"/>
      <c r="AO98" s="319"/>
      <c r="AP98" s="290"/>
      <c r="AQ98" s="290"/>
      <c r="AR98" s="290"/>
    </row>
    <row r="99" spans="1:44" ht="15">
      <c r="A99" s="322"/>
      <c r="B99" s="323"/>
      <c r="C99" s="323"/>
      <c r="D99" s="323"/>
      <c r="E99" s="323"/>
      <c r="F99" s="323"/>
      <c r="I99" s="272"/>
      <c r="J99" s="322"/>
      <c r="K99" s="324"/>
      <c r="L99" s="324"/>
      <c r="M99" s="324"/>
      <c r="N99" s="324"/>
      <c r="O99" s="324"/>
      <c r="R99" s="251"/>
      <c r="Y99" s="261"/>
      <c r="AH99" s="290"/>
      <c r="AI99" s="290"/>
      <c r="AJ99" s="290"/>
      <c r="AK99" s="290"/>
      <c r="AL99" s="290"/>
      <c r="AM99" s="290"/>
      <c r="AN99" s="290"/>
      <c r="AO99" s="319"/>
      <c r="AP99" s="290"/>
      <c r="AQ99" s="290"/>
      <c r="AR99" s="290"/>
    </row>
    <row r="100" spans="1:44" ht="15">
      <c r="A100" s="322"/>
      <c r="B100" s="323"/>
      <c r="C100" s="323"/>
      <c r="D100" s="323"/>
      <c r="E100" s="323"/>
      <c r="F100" s="323"/>
      <c r="I100" s="272"/>
      <c r="J100" s="322"/>
      <c r="K100" s="324"/>
      <c r="L100" s="324"/>
      <c r="M100" s="324"/>
      <c r="N100" s="324"/>
      <c r="O100" s="324"/>
      <c r="R100" s="251"/>
      <c r="Y100" s="261"/>
      <c r="AH100" s="290"/>
      <c r="AI100" s="290"/>
      <c r="AJ100" s="290"/>
      <c r="AK100" s="290"/>
      <c r="AL100" s="290"/>
      <c r="AM100" s="290"/>
      <c r="AN100" s="290"/>
      <c r="AO100" s="319"/>
      <c r="AP100" s="290"/>
      <c r="AQ100" s="290"/>
      <c r="AR100" s="290"/>
    </row>
    <row r="101" spans="1:44" ht="15">
      <c r="A101" s="322"/>
      <c r="B101" s="323"/>
      <c r="C101" s="323"/>
      <c r="D101" s="323"/>
      <c r="E101" s="323"/>
      <c r="F101" s="323"/>
      <c r="I101" s="272"/>
      <c r="J101" s="322"/>
      <c r="K101" s="324"/>
      <c r="L101" s="324"/>
      <c r="M101" s="324"/>
      <c r="N101" s="324"/>
      <c r="O101" s="324"/>
      <c r="R101" s="251"/>
      <c r="Y101" s="261"/>
      <c r="AH101" s="290"/>
      <c r="AI101" s="290"/>
      <c r="AJ101" s="290"/>
      <c r="AK101" s="290"/>
      <c r="AL101" s="290"/>
      <c r="AM101" s="290"/>
      <c r="AN101" s="290"/>
      <c r="AO101" s="319"/>
      <c r="AP101" s="290"/>
      <c r="AQ101" s="290"/>
      <c r="AR101" s="290"/>
    </row>
    <row r="102" spans="1:44" ht="15">
      <c r="A102" s="322"/>
      <c r="B102" s="323"/>
      <c r="C102" s="323"/>
      <c r="D102" s="323"/>
      <c r="E102" s="323"/>
      <c r="F102" s="323"/>
      <c r="I102" s="272"/>
      <c r="J102" s="322"/>
      <c r="K102" s="324"/>
      <c r="L102" s="324"/>
      <c r="M102" s="324"/>
      <c r="N102" s="324"/>
      <c r="O102" s="324"/>
      <c r="R102" s="251"/>
      <c r="Y102" s="261"/>
      <c r="AH102" s="290"/>
      <c r="AI102" s="290"/>
      <c r="AJ102" s="290"/>
      <c r="AK102" s="290"/>
      <c r="AL102" s="290"/>
      <c r="AM102" s="290"/>
      <c r="AN102" s="290"/>
      <c r="AO102" s="319"/>
      <c r="AP102" s="290"/>
      <c r="AQ102" s="290"/>
      <c r="AR102" s="290"/>
    </row>
    <row r="103" spans="1:44" ht="15">
      <c r="A103" s="322"/>
      <c r="B103" s="323"/>
      <c r="C103" s="323"/>
      <c r="D103" s="323"/>
      <c r="E103" s="323"/>
      <c r="F103" s="323"/>
      <c r="I103" s="272"/>
      <c r="J103" s="322"/>
      <c r="K103" s="324"/>
      <c r="L103" s="324"/>
      <c r="M103" s="324"/>
      <c r="N103" s="324"/>
      <c r="O103" s="324"/>
      <c r="R103" s="251"/>
      <c r="Y103" s="261"/>
      <c r="AH103" s="290"/>
      <c r="AI103" s="290"/>
      <c r="AJ103" s="290"/>
      <c r="AK103" s="290"/>
      <c r="AL103" s="290"/>
      <c r="AM103" s="290"/>
      <c r="AN103" s="290"/>
      <c r="AO103" s="319"/>
      <c r="AP103" s="290"/>
      <c r="AQ103" s="290"/>
      <c r="AR103" s="290"/>
    </row>
    <row r="104" spans="1:44" ht="15">
      <c r="A104" s="322"/>
      <c r="B104" s="323"/>
      <c r="C104" s="323"/>
      <c r="D104" s="323"/>
      <c r="E104" s="323"/>
      <c r="F104" s="323"/>
      <c r="I104" s="272"/>
      <c r="J104" s="322"/>
      <c r="K104" s="324"/>
      <c r="L104" s="324"/>
      <c r="M104" s="324"/>
      <c r="N104" s="324"/>
      <c r="O104" s="324"/>
      <c r="R104" s="251"/>
      <c r="Y104" s="261"/>
      <c r="AH104" s="290"/>
      <c r="AI104" s="290"/>
      <c r="AJ104" s="290"/>
      <c r="AK104" s="290"/>
      <c r="AL104" s="290"/>
      <c r="AM104" s="290"/>
      <c r="AN104" s="290"/>
      <c r="AO104" s="319"/>
      <c r="AP104" s="290"/>
      <c r="AQ104" s="290"/>
      <c r="AR104" s="290"/>
    </row>
    <row r="105" spans="1:44" ht="15">
      <c r="A105" s="322"/>
      <c r="B105" s="323"/>
      <c r="C105" s="323"/>
      <c r="D105" s="323"/>
      <c r="E105" s="323"/>
      <c r="F105" s="323"/>
      <c r="I105" s="272"/>
      <c r="J105" s="322"/>
      <c r="K105" s="324"/>
      <c r="L105" s="324"/>
      <c r="M105" s="324"/>
      <c r="N105" s="324"/>
      <c r="O105" s="324"/>
      <c r="R105" s="251"/>
      <c r="Y105" s="261"/>
      <c r="AH105" s="290"/>
      <c r="AI105" s="290"/>
      <c r="AJ105" s="290"/>
      <c r="AK105" s="290"/>
      <c r="AL105" s="290"/>
      <c r="AM105" s="290"/>
      <c r="AN105" s="290"/>
      <c r="AO105" s="319"/>
      <c r="AP105" s="290"/>
      <c r="AQ105" s="290"/>
      <c r="AR105" s="290"/>
    </row>
    <row r="106" spans="1:44" ht="15">
      <c r="A106" s="322"/>
      <c r="B106" s="323"/>
      <c r="C106" s="323"/>
      <c r="D106" s="323"/>
      <c r="E106" s="323"/>
      <c r="F106" s="323"/>
      <c r="I106" s="272"/>
      <c r="J106" s="322"/>
      <c r="K106" s="324"/>
      <c r="L106" s="324"/>
      <c r="M106" s="324"/>
      <c r="N106" s="324"/>
      <c r="O106" s="324"/>
      <c r="R106" s="251"/>
      <c r="Y106" s="261"/>
      <c r="AH106" s="290"/>
      <c r="AI106" s="290"/>
      <c r="AJ106" s="290"/>
      <c r="AK106" s="290"/>
      <c r="AL106" s="290"/>
      <c r="AM106" s="290"/>
      <c r="AN106" s="290"/>
      <c r="AO106" s="319"/>
      <c r="AP106" s="290"/>
      <c r="AQ106" s="290"/>
      <c r="AR106" s="290"/>
    </row>
    <row r="107" spans="1:44" ht="15">
      <c r="A107" s="322"/>
      <c r="B107" s="323"/>
      <c r="C107" s="323"/>
      <c r="D107" s="323"/>
      <c r="E107" s="323"/>
      <c r="F107" s="323"/>
      <c r="I107" s="272"/>
      <c r="J107" s="322"/>
      <c r="K107" s="324"/>
      <c r="L107" s="324"/>
      <c r="M107" s="324"/>
      <c r="N107" s="324"/>
      <c r="O107" s="324"/>
      <c r="R107" s="251"/>
      <c r="Y107" s="261"/>
      <c r="AH107" s="290"/>
      <c r="AI107" s="290"/>
      <c r="AJ107" s="290"/>
      <c r="AK107" s="290"/>
      <c r="AL107" s="290"/>
      <c r="AM107" s="290"/>
      <c r="AN107" s="290"/>
      <c r="AO107" s="319"/>
      <c r="AP107" s="290"/>
      <c r="AQ107" s="290"/>
      <c r="AR107" s="290"/>
    </row>
    <row r="108" spans="1:44" ht="15">
      <c r="A108" s="322"/>
      <c r="B108" s="323"/>
      <c r="C108" s="323"/>
      <c r="D108" s="323"/>
      <c r="E108" s="323"/>
      <c r="F108" s="323"/>
      <c r="I108" s="272"/>
      <c r="J108" s="322"/>
      <c r="K108" s="324"/>
      <c r="L108" s="324"/>
      <c r="M108" s="324"/>
      <c r="N108" s="324"/>
      <c r="O108" s="324"/>
      <c r="R108" s="251"/>
      <c r="Y108" s="261"/>
      <c r="AH108" s="290"/>
      <c r="AI108" s="290"/>
      <c r="AJ108" s="290"/>
      <c r="AK108" s="290"/>
      <c r="AL108" s="290"/>
      <c r="AM108" s="290"/>
      <c r="AN108" s="290"/>
      <c r="AO108" s="319"/>
      <c r="AP108" s="290"/>
      <c r="AQ108" s="290"/>
      <c r="AR108" s="290"/>
    </row>
    <row r="109" spans="1:44" ht="15">
      <c r="A109" s="322"/>
      <c r="B109" s="323"/>
      <c r="C109" s="323"/>
      <c r="D109" s="323"/>
      <c r="E109" s="323"/>
      <c r="F109" s="323"/>
      <c r="I109" s="272"/>
      <c r="J109" s="322"/>
      <c r="K109" s="324"/>
      <c r="L109" s="324"/>
      <c r="M109" s="324"/>
      <c r="N109" s="324"/>
      <c r="O109" s="324"/>
      <c r="R109" s="251"/>
      <c r="Y109" s="261"/>
      <c r="AH109" s="290"/>
      <c r="AI109" s="290"/>
      <c r="AJ109" s="290"/>
      <c r="AK109" s="290"/>
      <c r="AL109" s="290"/>
      <c r="AM109" s="290"/>
      <c r="AN109" s="290"/>
      <c r="AO109" s="319"/>
      <c r="AP109" s="290"/>
      <c r="AQ109" s="290"/>
      <c r="AR109" s="290"/>
    </row>
    <row r="110" spans="1:44" ht="15">
      <c r="A110" s="322"/>
      <c r="B110" s="323"/>
      <c r="C110" s="323"/>
      <c r="D110" s="323"/>
      <c r="E110" s="323"/>
      <c r="F110" s="323"/>
      <c r="I110" s="272"/>
      <c r="J110" s="322"/>
      <c r="K110" s="324"/>
      <c r="L110" s="324"/>
      <c r="M110" s="324"/>
      <c r="N110" s="324"/>
      <c r="O110" s="324"/>
      <c r="R110" s="251"/>
      <c r="Y110" s="261"/>
      <c r="AH110" s="290"/>
      <c r="AI110" s="290"/>
      <c r="AJ110" s="290"/>
      <c r="AK110" s="290"/>
      <c r="AL110" s="290"/>
      <c r="AM110" s="290"/>
      <c r="AN110" s="290"/>
      <c r="AO110" s="319"/>
      <c r="AP110" s="290"/>
      <c r="AQ110" s="290"/>
      <c r="AR110" s="290"/>
    </row>
    <row r="111" spans="1:44" ht="15">
      <c r="A111" s="322"/>
      <c r="B111" s="323"/>
      <c r="C111" s="323"/>
      <c r="D111" s="323"/>
      <c r="E111" s="323"/>
      <c r="F111" s="323"/>
      <c r="I111" s="272"/>
      <c r="J111" s="322"/>
      <c r="K111" s="324"/>
      <c r="L111" s="324"/>
      <c r="M111" s="324"/>
      <c r="N111" s="324"/>
      <c r="O111" s="324"/>
      <c r="R111" s="251"/>
      <c r="Y111" s="261"/>
      <c r="AH111" s="290"/>
      <c r="AI111" s="290"/>
      <c r="AJ111" s="290"/>
      <c r="AK111" s="290"/>
      <c r="AL111" s="290"/>
      <c r="AM111" s="290"/>
      <c r="AN111" s="290"/>
      <c r="AO111" s="319"/>
      <c r="AP111" s="290"/>
      <c r="AQ111" s="290"/>
      <c r="AR111" s="290"/>
    </row>
    <row r="112" spans="1:44" ht="15">
      <c r="A112" s="322"/>
      <c r="B112" s="323"/>
      <c r="C112" s="323"/>
      <c r="D112" s="323"/>
      <c r="E112" s="323"/>
      <c r="F112" s="323"/>
      <c r="I112" s="272"/>
      <c r="J112" s="322"/>
      <c r="K112" s="324"/>
      <c r="L112" s="324"/>
      <c r="M112" s="324"/>
      <c r="N112" s="324"/>
      <c r="O112" s="324"/>
      <c r="R112" s="251"/>
      <c r="Y112" s="261"/>
      <c r="AH112" s="290"/>
      <c r="AI112" s="290"/>
      <c r="AJ112" s="290"/>
      <c r="AK112" s="290"/>
      <c r="AL112" s="290"/>
      <c r="AM112" s="290"/>
      <c r="AN112" s="290"/>
      <c r="AO112" s="319"/>
      <c r="AP112" s="290"/>
      <c r="AQ112" s="290"/>
      <c r="AR112" s="290"/>
    </row>
    <row r="113" spans="1:44" ht="15">
      <c r="A113" s="322"/>
      <c r="B113" s="323"/>
      <c r="C113" s="323"/>
      <c r="D113" s="323"/>
      <c r="E113" s="323"/>
      <c r="F113" s="323"/>
      <c r="I113" s="272"/>
      <c r="J113" s="322"/>
      <c r="K113" s="324"/>
      <c r="L113" s="324"/>
      <c r="M113" s="324"/>
      <c r="N113" s="324"/>
      <c r="O113" s="324"/>
      <c r="R113" s="251"/>
      <c r="Y113" s="261"/>
      <c r="AH113" s="290"/>
      <c r="AI113" s="290"/>
      <c r="AJ113" s="290"/>
      <c r="AK113" s="290"/>
      <c r="AL113" s="290"/>
      <c r="AM113" s="290"/>
      <c r="AN113" s="290"/>
      <c r="AO113" s="319"/>
      <c r="AP113" s="290"/>
      <c r="AQ113" s="290"/>
      <c r="AR113" s="290"/>
    </row>
    <row r="114" spans="1:44" ht="15">
      <c r="A114" s="322"/>
      <c r="B114" s="323"/>
      <c r="C114" s="323"/>
      <c r="D114" s="323"/>
      <c r="E114" s="323"/>
      <c r="F114" s="323"/>
      <c r="I114" s="272"/>
      <c r="J114" s="322"/>
      <c r="K114" s="324"/>
      <c r="L114" s="324"/>
      <c r="M114" s="324"/>
      <c r="N114" s="324"/>
      <c r="O114" s="324"/>
      <c r="R114" s="251"/>
      <c r="Y114" s="261"/>
      <c r="AH114" s="290"/>
      <c r="AI114" s="290"/>
      <c r="AJ114" s="290"/>
      <c r="AK114" s="290"/>
      <c r="AL114" s="290"/>
      <c r="AM114" s="290"/>
      <c r="AN114" s="290"/>
      <c r="AO114" s="319"/>
      <c r="AP114" s="290"/>
      <c r="AQ114" s="290"/>
      <c r="AR114" s="290"/>
    </row>
    <row r="115" spans="1:44" ht="15">
      <c r="A115" s="322"/>
      <c r="B115" s="323"/>
      <c r="C115" s="323"/>
      <c r="D115" s="323"/>
      <c r="E115" s="323"/>
      <c r="F115" s="323"/>
      <c r="I115" s="272"/>
      <c r="J115" s="322"/>
      <c r="K115" s="324"/>
      <c r="L115" s="324"/>
      <c r="M115" s="324"/>
      <c r="N115" s="324"/>
      <c r="O115" s="324"/>
      <c r="R115" s="251"/>
      <c r="Y115" s="261"/>
      <c r="AH115" s="290"/>
      <c r="AI115" s="290"/>
      <c r="AJ115" s="290"/>
      <c r="AK115" s="290"/>
      <c r="AL115" s="290"/>
      <c r="AM115" s="290"/>
      <c r="AN115" s="290"/>
      <c r="AO115" s="319"/>
      <c r="AP115" s="290"/>
      <c r="AQ115" s="290"/>
      <c r="AR115" s="290"/>
    </row>
    <row r="116" spans="1:44" ht="15">
      <c r="A116" s="322"/>
      <c r="B116" s="323"/>
      <c r="C116" s="323"/>
      <c r="D116" s="323"/>
      <c r="E116" s="323"/>
      <c r="F116" s="323"/>
      <c r="I116" s="272"/>
      <c r="J116" s="322"/>
      <c r="K116" s="324"/>
      <c r="L116" s="324"/>
      <c r="M116" s="324"/>
      <c r="N116" s="324"/>
      <c r="O116" s="324"/>
      <c r="R116" s="251"/>
      <c r="Y116" s="261"/>
      <c r="AH116" s="290"/>
      <c r="AI116" s="290"/>
      <c r="AJ116" s="290"/>
      <c r="AK116" s="290"/>
      <c r="AL116" s="290"/>
      <c r="AM116" s="290"/>
      <c r="AN116" s="290"/>
      <c r="AO116" s="319"/>
      <c r="AP116" s="290"/>
      <c r="AQ116" s="290"/>
      <c r="AR116" s="290"/>
    </row>
    <row r="117" spans="1:44" ht="15">
      <c r="A117" s="322"/>
      <c r="B117" s="323"/>
      <c r="C117" s="323"/>
      <c r="D117" s="323"/>
      <c r="E117" s="323"/>
      <c r="F117" s="323"/>
      <c r="I117" s="272"/>
      <c r="J117" s="322"/>
      <c r="K117" s="324"/>
      <c r="L117" s="324"/>
      <c r="M117" s="324"/>
      <c r="N117" s="324"/>
      <c r="O117" s="324"/>
      <c r="R117" s="251"/>
      <c r="Y117" s="261"/>
      <c r="AH117" s="290"/>
      <c r="AI117" s="290"/>
      <c r="AJ117" s="290"/>
      <c r="AK117" s="290"/>
      <c r="AL117" s="290"/>
      <c r="AM117" s="290"/>
      <c r="AN117" s="290"/>
      <c r="AO117" s="319"/>
      <c r="AP117" s="290"/>
      <c r="AQ117" s="290"/>
      <c r="AR117" s="290"/>
    </row>
    <row r="118" spans="1:44" ht="15">
      <c r="A118" s="322"/>
      <c r="B118" s="323"/>
      <c r="C118" s="323"/>
      <c r="D118" s="323"/>
      <c r="E118" s="323"/>
      <c r="F118" s="323"/>
      <c r="I118" s="272"/>
      <c r="J118" s="322"/>
      <c r="K118" s="324"/>
      <c r="L118" s="324"/>
      <c r="M118" s="324"/>
      <c r="N118" s="324"/>
      <c r="O118" s="324"/>
      <c r="R118" s="251"/>
      <c r="Y118" s="261"/>
      <c r="AH118" s="290"/>
      <c r="AI118" s="290"/>
      <c r="AJ118" s="290"/>
      <c r="AK118" s="290"/>
      <c r="AL118" s="290"/>
      <c r="AM118" s="290"/>
      <c r="AN118" s="290"/>
      <c r="AO118" s="319"/>
      <c r="AP118" s="290"/>
      <c r="AQ118" s="290"/>
      <c r="AR118" s="290"/>
    </row>
    <row r="119" spans="1:44" ht="15">
      <c r="A119" s="322"/>
      <c r="B119" s="323"/>
      <c r="C119" s="323"/>
      <c r="D119" s="323"/>
      <c r="E119" s="323"/>
      <c r="F119" s="323"/>
      <c r="I119" s="272"/>
      <c r="J119" s="322"/>
      <c r="K119" s="324"/>
      <c r="L119" s="324"/>
      <c r="M119" s="324"/>
      <c r="N119" s="324"/>
      <c r="O119" s="324"/>
      <c r="R119" s="251"/>
      <c r="Y119" s="261"/>
      <c r="AH119" s="290"/>
      <c r="AI119" s="290"/>
      <c r="AJ119" s="290"/>
      <c r="AK119" s="290"/>
      <c r="AL119" s="290"/>
      <c r="AM119" s="290"/>
      <c r="AN119" s="290"/>
      <c r="AO119" s="319"/>
      <c r="AP119" s="290"/>
      <c r="AQ119" s="290"/>
      <c r="AR119" s="290"/>
    </row>
    <row r="120" spans="1:44" ht="15">
      <c r="A120" s="322"/>
      <c r="B120" s="323"/>
      <c r="C120" s="323"/>
      <c r="D120" s="323"/>
      <c r="E120" s="323"/>
      <c r="F120" s="323"/>
      <c r="I120" s="272"/>
      <c r="J120" s="322"/>
      <c r="K120" s="324"/>
      <c r="L120" s="324"/>
      <c r="M120" s="324"/>
      <c r="N120" s="324"/>
      <c r="O120" s="324"/>
      <c r="R120" s="251"/>
      <c r="Y120" s="261"/>
      <c r="AH120" s="290"/>
      <c r="AI120" s="290"/>
      <c r="AJ120" s="290"/>
      <c r="AK120" s="290"/>
      <c r="AL120" s="290"/>
      <c r="AM120" s="290"/>
      <c r="AN120" s="290"/>
      <c r="AO120" s="319"/>
      <c r="AP120" s="290"/>
      <c r="AQ120" s="290"/>
      <c r="AR120" s="290"/>
    </row>
    <row r="121" spans="1:44" ht="15">
      <c r="A121" s="322"/>
      <c r="B121" s="323"/>
      <c r="C121" s="323"/>
      <c r="D121" s="323"/>
      <c r="E121" s="323"/>
      <c r="F121" s="323"/>
      <c r="I121" s="272"/>
      <c r="J121" s="322"/>
      <c r="K121" s="324"/>
      <c r="L121" s="324"/>
      <c r="M121" s="324"/>
      <c r="N121" s="324"/>
      <c r="O121" s="324"/>
      <c r="R121" s="251"/>
      <c r="Y121" s="261"/>
      <c r="AH121" s="290"/>
      <c r="AI121" s="290"/>
      <c r="AJ121" s="290"/>
      <c r="AK121" s="290"/>
      <c r="AL121" s="290"/>
      <c r="AM121" s="290"/>
      <c r="AN121" s="290"/>
      <c r="AO121" s="319"/>
      <c r="AP121" s="290"/>
      <c r="AQ121" s="290"/>
      <c r="AR121" s="290"/>
    </row>
    <row r="122" spans="1:44" ht="15">
      <c r="A122" s="322"/>
      <c r="B122" s="323"/>
      <c r="C122" s="323"/>
      <c r="D122" s="323"/>
      <c r="E122" s="323"/>
      <c r="F122" s="323"/>
      <c r="I122" s="272"/>
      <c r="J122" s="322"/>
      <c r="K122" s="324"/>
      <c r="L122" s="324"/>
      <c r="M122" s="324"/>
      <c r="N122" s="324"/>
      <c r="O122" s="324"/>
      <c r="R122" s="251"/>
      <c r="Y122" s="261"/>
      <c r="AH122" s="290"/>
      <c r="AI122" s="290"/>
      <c r="AJ122" s="290"/>
      <c r="AK122" s="290"/>
      <c r="AL122" s="290"/>
      <c r="AM122" s="290"/>
      <c r="AN122" s="290"/>
      <c r="AO122" s="319"/>
      <c r="AP122" s="290"/>
      <c r="AQ122" s="290"/>
      <c r="AR122" s="290"/>
    </row>
    <row r="123" spans="1:44" ht="15">
      <c r="A123" s="322"/>
      <c r="B123" s="323"/>
      <c r="C123" s="323"/>
      <c r="D123" s="323"/>
      <c r="E123" s="323"/>
      <c r="F123" s="323"/>
      <c r="I123" s="272"/>
      <c r="J123" s="322"/>
      <c r="K123" s="324"/>
      <c r="L123" s="324"/>
      <c r="M123" s="324"/>
      <c r="N123" s="324"/>
      <c r="O123" s="324"/>
      <c r="R123" s="251"/>
      <c r="Y123" s="261"/>
      <c r="AH123" s="290"/>
      <c r="AI123" s="290"/>
      <c r="AJ123" s="290"/>
      <c r="AK123" s="290"/>
      <c r="AL123" s="290"/>
      <c r="AM123" s="290"/>
      <c r="AN123" s="290"/>
      <c r="AO123" s="319"/>
      <c r="AP123" s="290"/>
      <c r="AQ123" s="290"/>
      <c r="AR123" s="290"/>
    </row>
    <row r="124" spans="1:44" ht="15">
      <c r="A124" s="322"/>
      <c r="B124" s="323"/>
      <c r="C124" s="323"/>
      <c r="D124" s="323"/>
      <c r="E124" s="323"/>
      <c r="F124" s="323"/>
      <c r="I124" s="272"/>
      <c r="J124" s="322"/>
      <c r="K124" s="324"/>
      <c r="L124" s="324"/>
      <c r="M124" s="324"/>
      <c r="N124" s="324"/>
      <c r="O124" s="324"/>
      <c r="R124" s="251"/>
      <c r="Y124" s="261"/>
      <c r="AH124" s="290"/>
      <c r="AI124" s="290"/>
      <c r="AJ124" s="290"/>
      <c r="AK124" s="290"/>
      <c r="AL124" s="290"/>
      <c r="AM124" s="290"/>
      <c r="AN124" s="290"/>
      <c r="AO124" s="319"/>
      <c r="AP124" s="290"/>
      <c r="AQ124" s="290"/>
      <c r="AR124" s="290"/>
    </row>
    <row r="125" spans="1:44" ht="15">
      <c r="A125" s="322"/>
      <c r="B125" s="323"/>
      <c r="C125" s="323"/>
      <c r="D125" s="323"/>
      <c r="E125" s="323"/>
      <c r="F125" s="323"/>
      <c r="I125" s="272"/>
      <c r="J125" s="322"/>
      <c r="K125" s="324"/>
      <c r="L125" s="324"/>
      <c r="M125" s="324"/>
      <c r="N125" s="324"/>
      <c r="O125" s="324"/>
      <c r="R125" s="251"/>
      <c r="Y125" s="261"/>
      <c r="AH125" s="290"/>
      <c r="AI125" s="290"/>
      <c r="AJ125" s="290"/>
      <c r="AK125" s="290"/>
      <c r="AL125" s="290"/>
      <c r="AM125" s="290"/>
      <c r="AN125" s="290"/>
      <c r="AO125" s="319"/>
      <c r="AP125" s="290"/>
      <c r="AQ125" s="290"/>
      <c r="AR125" s="290"/>
    </row>
    <row r="126" spans="1:44" ht="15">
      <c r="A126" s="322"/>
      <c r="B126" s="323"/>
      <c r="C126" s="323"/>
      <c r="D126" s="323"/>
      <c r="E126" s="323"/>
      <c r="F126" s="323"/>
      <c r="I126" s="272"/>
      <c r="J126" s="322"/>
      <c r="K126" s="324"/>
      <c r="L126" s="324"/>
      <c r="M126" s="324"/>
      <c r="N126" s="324"/>
      <c r="O126" s="324"/>
      <c r="R126" s="251"/>
      <c r="Y126" s="261"/>
      <c r="AH126" s="290"/>
      <c r="AI126" s="290"/>
      <c r="AJ126" s="290"/>
      <c r="AK126" s="290"/>
      <c r="AL126" s="290"/>
      <c r="AM126" s="290"/>
      <c r="AN126" s="290"/>
      <c r="AO126" s="319"/>
      <c r="AP126" s="290"/>
      <c r="AQ126" s="290"/>
      <c r="AR126" s="290"/>
    </row>
    <row r="127" spans="1:44" ht="15">
      <c r="A127" s="322"/>
      <c r="B127" s="323"/>
      <c r="C127" s="323"/>
      <c r="D127" s="323"/>
      <c r="E127" s="323"/>
      <c r="F127" s="323"/>
      <c r="I127" s="272"/>
      <c r="J127" s="322"/>
      <c r="K127" s="324"/>
      <c r="L127" s="324"/>
      <c r="M127" s="324"/>
      <c r="N127" s="324"/>
      <c r="O127" s="324"/>
      <c r="R127" s="251"/>
      <c r="Y127" s="261"/>
      <c r="AH127" s="290"/>
      <c r="AI127" s="290"/>
      <c r="AJ127" s="290"/>
      <c r="AK127" s="290"/>
      <c r="AL127" s="290"/>
      <c r="AM127" s="290"/>
      <c r="AN127" s="290"/>
      <c r="AO127" s="319"/>
      <c r="AP127" s="290"/>
      <c r="AQ127" s="290"/>
      <c r="AR127" s="290"/>
    </row>
    <row r="128" spans="1:44" ht="15">
      <c r="A128" s="322"/>
      <c r="B128" s="323"/>
      <c r="C128" s="323"/>
      <c r="D128" s="323"/>
      <c r="E128" s="323"/>
      <c r="F128" s="323"/>
      <c r="I128" s="272"/>
      <c r="J128" s="322"/>
      <c r="K128" s="324"/>
      <c r="L128" s="324"/>
      <c r="M128" s="324"/>
      <c r="N128" s="324"/>
      <c r="O128" s="324"/>
      <c r="R128" s="251"/>
      <c r="Y128" s="261"/>
      <c r="AH128" s="290"/>
      <c r="AI128" s="290"/>
      <c r="AJ128" s="290"/>
      <c r="AK128" s="290"/>
      <c r="AL128" s="290"/>
      <c r="AM128" s="290"/>
      <c r="AN128" s="290"/>
      <c r="AO128" s="319"/>
      <c r="AP128" s="290"/>
      <c r="AQ128" s="290"/>
      <c r="AR128" s="290"/>
    </row>
    <row r="129" spans="1:44" ht="15">
      <c r="A129" s="322"/>
      <c r="B129" s="323"/>
      <c r="C129" s="323"/>
      <c r="D129" s="323"/>
      <c r="E129" s="323"/>
      <c r="F129" s="323"/>
      <c r="I129" s="272"/>
      <c r="J129" s="322"/>
      <c r="K129" s="324"/>
      <c r="L129" s="324"/>
      <c r="M129" s="324"/>
      <c r="N129" s="324"/>
      <c r="O129" s="324"/>
      <c r="R129" s="251"/>
      <c r="Y129" s="261"/>
      <c r="AH129" s="290"/>
      <c r="AI129" s="290"/>
      <c r="AJ129" s="290"/>
      <c r="AK129" s="290"/>
      <c r="AL129" s="290"/>
      <c r="AM129" s="290"/>
      <c r="AN129" s="290"/>
      <c r="AO129" s="319"/>
      <c r="AP129" s="290"/>
      <c r="AQ129" s="290"/>
      <c r="AR129" s="290"/>
    </row>
    <row r="130" spans="1:44" ht="15">
      <c r="A130" s="322"/>
      <c r="B130" s="323"/>
      <c r="C130" s="323"/>
      <c r="D130" s="323"/>
      <c r="E130" s="323"/>
      <c r="F130" s="323"/>
      <c r="I130" s="272"/>
      <c r="J130" s="322"/>
      <c r="K130" s="324"/>
      <c r="L130" s="324"/>
      <c r="M130" s="324"/>
      <c r="N130" s="324"/>
      <c r="O130" s="324"/>
      <c r="R130" s="251"/>
      <c r="Y130" s="261"/>
      <c r="AH130" s="290"/>
      <c r="AI130" s="290"/>
      <c r="AJ130" s="290"/>
      <c r="AK130" s="290"/>
      <c r="AL130" s="290"/>
      <c r="AM130" s="290"/>
      <c r="AN130" s="290"/>
      <c r="AO130" s="319"/>
      <c r="AP130" s="290"/>
      <c r="AQ130" s="290"/>
      <c r="AR130" s="290"/>
    </row>
    <row r="131" spans="1:44" ht="15">
      <c r="A131" s="322"/>
      <c r="B131" s="323"/>
      <c r="C131" s="323"/>
      <c r="D131" s="323"/>
      <c r="E131" s="323"/>
      <c r="F131" s="323"/>
      <c r="I131" s="272"/>
      <c r="J131" s="322"/>
      <c r="K131" s="324"/>
      <c r="L131" s="324"/>
      <c r="M131" s="324"/>
      <c r="N131" s="324"/>
      <c r="O131" s="324"/>
      <c r="R131" s="251"/>
      <c r="Y131" s="261"/>
      <c r="AH131" s="290"/>
      <c r="AI131" s="290"/>
      <c r="AJ131" s="290"/>
      <c r="AK131" s="290"/>
      <c r="AL131" s="290"/>
      <c r="AM131" s="290"/>
      <c r="AN131" s="290"/>
      <c r="AO131" s="319"/>
      <c r="AP131" s="290"/>
      <c r="AQ131" s="290"/>
      <c r="AR131" s="290"/>
    </row>
    <row r="132" spans="1:44" ht="15">
      <c r="A132" s="322"/>
      <c r="B132" s="323"/>
      <c r="C132" s="323"/>
      <c r="D132" s="323"/>
      <c r="E132" s="323"/>
      <c r="F132" s="323"/>
      <c r="I132" s="272"/>
      <c r="J132" s="322"/>
      <c r="K132" s="324"/>
      <c r="L132" s="324"/>
      <c r="M132" s="324"/>
      <c r="N132" s="324"/>
      <c r="O132" s="324"/>
      <c r="R132" s="251"/>
      <c r="Y132" s="261"/>
      <c r="AH132" s="290"/>
      <c r="AI132" s="290"/>
      <c r="AJ132" s="290"/>
      <c r="AK132" s="290"/>
      <c r="AL132" s="290"/>
      <c r="AM132" s="290"/>
      <c r="AN132" s="290"/>
      <c r="AO132" s="319"/>
      <c r="AP132" s="290"/>
      <c r="AQ132" s="290"/>
      <c r="AR132" s="290"/>
    </row>
    <row r="133" spans="1:44" ht="15">
      <c r="A133" s="322"/>
      <c r="B133" s="323"/>
      <c r="C133" s="323"/>
      <c r="D133" s="323"/>
      <c r="E133" s="323"/>
      <c r="F133" s="323"/>
      <c r="I133" s="272"/>
      <c r="J133" s="322"/>
      <c r="K133" s="324"/>
      <c r="L133" s="324"/>
      <c r="M133" s="324"/>
      <c r="N133" s="324"/>
      <c r="O133" s="324"/>
      <c r="R133" s="251"/>
      <c r="Y133" s="261"/>
      <c r="AH133" s="290"/>
      <c r="AI133" s="290"/>
      <c r="AJ133" s="290"/>
      <c r="AK133" s="290"/>
      <c r="AL133" s="290"/>
      <c r="AM133" s="290"/>
      <c r="AN133" s="290"/>
      <c r="AO133" s="319"/>
      <c r="AP133" s="290"/>
      <c r="AQ133" s="290"/>
      <c r="AR133" s="290"/>
    </row>
    <row r="134" spans="1:44" ht="15">
      <c r="A134" s="322"/>
      <c r="B134" s="323"/>
      <c r="C134" s="323"/>
      <c r="D134" s="323"/>
      <c r="E134" s="323"/>
      <c r="F134" s="323"/>
      <c r="I134" s="272"/>
      <c r="J134" s="322"/>
      <c r="K134" s="324"/>
      <c r="L134" s="324"/>
      <c r="M134" s="324"/>
      <c r="N134" s="324"/>
      <c r="O134" s="324"/>
      <c r="R134" s="251"/>
      <c r="Y134" s="261"/>
      <c r="AH134" s="290"/>
      <c r="AI134" s="290"/>
      <c r="AJ134" s="290"/>
      <c r="AK134" s="290"/>
      <c r="AL134" s="290"/>
      <c r="AM134" s="290"/>
      <c r="AN134" s="290"/>
      <c r="AO134" s="319"/>
      <c r="AP134" s="290"/>
      <c r="AQ134" s="290"/>
      <c r="AR134" s="290"/>
    </row>
    <row r="135" spans="1:44" ht="15">
      <c r="A135" s="322"/>
      <c r="B135" s="323"/>
      <c r="C135" s="323"/>
      <c r="D135" s="323"/>
      <c r="E135" s="323"/>
      <c r="F135" s="323"/>
      <c r="I135" s="272"/>
      <c r="J135" s="322"/>
      <c r="K135" s="324"/>
      <c r="L135" s="324"/>
      <c r="M135" s="324"/>
      <c r="N135" s="324"/>
      <c r="O135" s="324"/>
      <c r="R135" s="251"/>
      <c r="Y135" s="261"/>
      <c r="AH135" s="290"/>
      <c r="AI135" s="290"/>
      <c r="AJ135" s="290"/>
      <c r="AK135" s="290"/>
      <c r="AL135" s="290"/>
      <c r="AM135" s="290"/>
      <c r="AN135" s="290"/>
      <c r="AO135" s="319"/>
      <c r="AP135" s="290"/>
      <c r="AQ135" s="290"/>
      <c r="AR135" s="290"/>
    </row>
    <row r="136" spans="1:44" ht="15">
      <c r="A136" s="322"/>
      <c r="B136" s="323"/>
      <c r="C136" s="323"/>
      <c r="D136" s="323"/>
      <c r="E136" s="323"/>
      <c r="F136" s="323"/>
      <c r="I136" s="272"/>
      <c r="J136" s="322"/>
      <c r="K136" s="324"/>
      <c r="L136" s="324"/>
      <c r="M136" s="324"/>
      <c r="N136" s="324"/>
      <c r="O136" s="324"/>
      <c r="R136" s="251"/>
      <c r="Y136" s="261"/>
      <c r="AH136" s="290"/>
      <c r="AI136" s="290"/>
      <c r="AJ136" s="290"/>
      <c r="AK136" s="290"/>
      <c r="AL136" s="290"/>
      <c r="AM136" s="290"/>
      <c r="AN136" s="290"/>
      <c r="AO136" s="319"/>
      <c r="AP136" s="290"/>
      <c r="AQ136" s="290"/>
      <c r="AR136" s="290"/>
    </row>
    <row r="137" spans="1:44" ht="15">
      <c r="A137" s="322"/>
      <c r="B137" s="323"/>
      <c r="C137" s="323"/>
      <c r="D137" s="323"/>
      <c r="E137" s="323"/>
      <c r="F137" s="323"/>
      <c r="I137" s="272"/>
      <c r="J137" s="322"/>
      <c r="K137" s="324"/>
      <c r="L137" s="324"/>
      <c r="M137" s="324"/>
      <c r="N137" s="324"/>
      <c r="O137" s="324"/>
      <c r="R137" s="251"/>
      <c r="Y137" s="261"/>
      <c r="AH137" s="290"/>
      <c r="AI137" s="290"/>
      <c r="AJ137" s="290"/>
      <c r="AK137" s="290"/>
      <c r="AL137" s="290"/>
      <c r="AM137" s="290"/>
      <c r="AN137" s="290"/>
      <c r="AO137" s="319"/>
      <c r="AP137" s="290"/>
      <c r="AQ137" s="290"/>
      <c r="AR137" s="290"/>
    </row>
    <row r="138" spans="1:44" ht="15">
      <c r="A138" s="322"/>
      <c r="B138" s="323"/>
      <c r="C138" s="323"/>
      <c r="D138" s="323"/>
      <c r="E138" s="323"/>
      <c r="F138" s="323"/>
      <c r="I138" s="272"/>
      <c r="J138" s="322"/>
      <c r="K138" s="324"/>
      <c r="L138" s="324"/>
      <c r="M138" s="324"/>
      <c r="N138" s="324"/>
      <c r="O138" s="324"/>
      <c r="R138" s="251"/>
      <c r="Y138" s="261"/>
      <c r="AH138" s="290"/>
      <c r="AI138" s="290"/>
      <c r="AJ138" s="290"/>
      <c r="AK138" s="290"/>
      <c r="AL138" s="290"/>
      <c r="AM138" s="290"/>
      <c r="AN138" s="290"/>
      <c r="AO138" s="319"/>
      <c r="AP138" s="290"/>
      <c r="AQ138" s="290"/>
      <c r="AR138" s="290"/>
    </row>
    <row r="139" spans="1:44" ht="15">
      <c r="A139" s="322"/>
      <c r="B139" s="323"/>
      <c r="C139" s="323"/>
      <c r="D139" s="323"/>
      <c r="E139" s="323"/>
      <c r="F139" s="323"/>
      <c r="I139" s="272"/>
      <c r="J139" s="322"/>
      <c r="K139" s="324"/>
      <c r="L139" s="324"/>
      <c r="M139" s="324"/>
      <c r="N139" s="324"/>
      <c r="O139" s="324"/>
      <c r="R139" s="251"/>
      <c r="Y139" s="261"/>
      <c r="AH139" s="290"/>
      <c r="AI139" s="290"/>
      <c r="AJ139" s="290"/>
      <c r="AK139" s="290"/>
      <c r="AL139" s="290"/>
      <c r="AM139" s="290"/>
      <c r="AN139" s="290"/>
      <c r="AO139" s="319"/>
      <c r="AP139" s="290"/>
      <c r="AQ139" s="290"/>
      <c r="AR139" s="290"/>
    </row>
    <row r="140" spans="1:44" ht="15">
      <c r="A140" s="322"/>
      <c r="B140" s="323"/>
      <c r="C140" s="323"/>
      <c r="D140" s="323"/>
      <c r="E140" s="323"/>
      <c r="F140" s="323"/>
      <c r="I140" s="272"/>
      <c r="J140" s="322"/>
      <c r="K140" s="324"/>
      <c r="L140" s="324"/>
      <c r="M140" s="324"/>
      <c r="N140" s="324"/>
      <c r="O140" s="324"/>
      <c r="R140" s="251"/>
      <c r="Y140" s="261"/>
      <c r="AH140" s="290"/>
      <c r="AI140" s="290"/>
      <c r="AJ140" s="290"/>
      <c r="AK140" s="290"/>
      <c r="AL140" s="290"/>
      <c r="AM140" s="290"/>
      <c r="AN140" s="290"/>
      <c r="AO140" s="319"/>
      <c r="AP140" s="290"/>
      <c r="AQ140" s="290"/>
      <c r="AR140" s="290"/>
    </row>
    <row r="141" spans="1:44" ht="15">
      <c r="A141" s="322"/>
      <c r="B141" s="323"/>
      <c r="C141" s="323"/>
      <c r="D141" s="323"/>
      <c r="E141" s="323"/>
      <c r="F141" s="323"/>
      <c r="I141" s="272"/>
      <c r="J141" s="322"/>
      <c r="K141" s="324"/>
      <c r="L141" s="324"/>
      <c r="M141" s="324"/>
      <c r="N141" s="324"/>
      <c r="O141" s="324"/>
      <c r="R141" s="251"/>
      <c r="Y141" s="261"/>
      <c r="AH141" s="290"/>
      <c r="AI141" s="290"/>
      <c r="AJ141" s="290"/>
      <c r="AK141" s="290"/>
      <c r="AL141" s="290"/>
      <c r="AM141" s="290"/>
      <c r="AN141" s="290"/>
      <c r="AO141" s="319"/>
      <c r="AP141" s="290"/>
      <c r="AQ141" s="290"/>
      <c r="AR141" s="290"/>
    </row>
    <row r="142" spans="1:44" ht="15">
      <c r="A142" s="322"/>
      <c r="B142" s="323"/>
      <c r="C142" s="323"/>
      <c r="D142" s="323"/>
      <c r="E142" s="323"/>
      <c r="F142" s="323"/>
      <c r="I142" s="272"/>
      <c r="J142" s="322"/>
      <c r="K142" s="324"/>
      <c r="L142" s="324"/>
      <c r="M142" s="324"/>
      <c r="N142" s="324"/>
      <c r="O142" s="324"/>
      <c r="R142" s="251"/>
      <c r="Y142" s="261"/>
      <c r="AH142" s="290"/>
      <c r="AI142" s="290"/>
      <c r="AJ142" s="290"/>
      <c r="AK142" s="290"/>
      <c r="AL142" s="290"/>
      <c r="AM142" s="290"/>
      <c r="AN142" s="290"/>
      <c r="AO142" s="319"/>
      <c r="AP142" s="290"/>
      <c r="AQ142" s="290"/>
      <c r="AR142" s="290"/>
    </row>
    <row r="143" spans="1:44" ht="15">
      <c r="A143" s="322"/>
      <c r="B143" s="323"/>
      <c r="C143" s="323"/>
      <c r="D143" s="323"/>
      <c r="E143" s="323"/>
      <c r="F143" s="323"/>
      <c r="I143" s="272"/>
      <c r="J143" s="322"/>
      <c r="K143" s="324"/>
      <c r="L143" s="324"/>
      <c r="M143" s="324"/>
      <c r="N143" s="324"/>
      <c r="O143" s="324"/>
      <c r="R143" s="251"/>
      <c r="Y143" s="261"/>
      <c r="AH143" s="290"/>
      <c r="AI143" s="290"/>
      <c r="AJ143" s="290"/>
      <c r="AK143" s="290"/>
      <c r="AL143" s="290"/>
      <c r="AM143" s="290"/>
      <c r="AN143" s="290"/>
      <c r="AO143" s="319"/>
      <c r="AP143" s="290"/>
      <c r="AQ143" s="290"/>
      <c r="AR143" s="290"/>
    </row>
    <row r="144" spans="1:44" ht="15">
      <c r="A144" s="322"/>
      <c r="B144" s="323"/>
      <c r="C144" s="323"/>
      <c r="D144" s="323"/>
      <c r="E144" s="323"/>
      <c r="F144" s="323"/>
      <c r="I144" s="272"/>
      <c r="J144" s="322"/>
      <c r="K144" s="324"/>
      <c r="L144" s="324"/>
      <c r="M144" s="324"/>
      <c r="N144" s="324"/>
      <c r="O144" s="324"/>
      <c r="R144" s="251"/>
      <c r="Y144" s="261"/>
      <c r="AH144" s="290"/>
      <c r="AI144" s="290"/>
      <c r="AJ144" s="290"/>
      <c r="AK144" s="290"/>
      <c r="AL144" s="290"/>
      <c r="AM144" s="290"/>
      <c r="AN144" s="290"/>
      <c r="AO144" s="319"/>
      <c r="AP144" s="290"/>
      <c r="AQ144" s="290"/>
      <c r="AR144" s="290"/>
    </row>
    <row r="145" spans="1:44" ht="15">
      <c r="A145" s="322"/>
      <c r="B145" s="323"/>
      <c r="C145" s="323"/>
      <c r="D145" s="323"/>
      <c r="E145" s="323"/>
      <c r="F145" s="323"/>
      <c r="I145" s="272"/>
      <c r="J145" s="322"/>
      <c r="K145" s="324"/>
      <c r="L145" s="324"/>
      <c r="M145" s="324"/>
      <c r="N145" s="324"/>
      <c r="O145" s="324"/>
      <c r="R145" s="251"/>
      <c r="Y145" s="261"/>
      <c r="AH145" s="290"/>
      <c r="AI145" s="290"/>
      <c r="AJ145" s="290"/>
      <c r="AK145" s="290"/>
      <c r="AL145" s="290"/>
      <c r="AM145" s="290"/>
      <c r="AN145" s="290"/>
      <c r="AO145" s="319"/>
      <c r="AP145" s="290"/>
      <c r="AQ145" s="290"/>
      <c r="AR145" s="290"/>
    </row>
    <row r="146" spans="1:44" ht="15">
      <c r="A146" s="322"/>
      <c r="B146" s="323"/>
      <c r="C146" s="323"/>
      <c r="D146" s="323"/>
      <c r="E146" s="323"/>
      <c r="F146" s="323"/>
      <c r="I146" s="272"/>
      <c r="J146" s="322"/>
      <c r="K146" s="324"/>
      <c r="L146" s="324"/>
      <c r="M146" s="324"/>
      <c r="N146" s="324"/>
      <c r="O146" s="324"/>
      <c r="R146" s="251"/>
      <c r="Y146" s="261"/>
      <c r="AH146" s="290"/>
      <c r="AI146" s="290"/>
      <c r="AJ146" s="290"/>
      <c r="AK146" s="290"/>
      <c r="AL146" s="290"/>
      <c r="AM146" s="290"/>
      <c r="AN146" s="290"/>
      <c r="AO146" s="319"/>
      <c r="AP146" s="290"/>
      <c r="AQ146" s="290"/>
      <c r="AR146" s="290"/>
    </row>
    <row r="147" spans="1:44" ht="15">
      <c r="A147" s="322"/>
      <c r="B147" s="323"/>
      <c r="C147" s="323"/>
      <c r="D147" s="323"/>
      <c r="E147" s="323"/>
      <c r="F147" s="323"/>
      <c r="I147" s="272"/>
      <c r="J147" s="322"/>
      <c r="K147" s="324"/>
      <c r="L147" s="324"/>
      <c r="M147" s="324"/>
      <c r="N147" s="324"/>
      <c r="O147" s="324"/>
      <c r="R147" s="251"/>
      <c r="Y147" s="261"/>
      <c r="AH147" s="290"/>
      <c r="AI147" s="290"/>
      <c r="AJ147" s="290"/>
      <c r="AK147" s="290"/>
      <c r="AL147" s="290"/>
      <c r="AM147" s="290"/>
      <c r="AN147" s="290"/>
      <c r="AO147" s="319"/>
      <c r="AP147" s="290"/>
      <c r="AQ147" s="290"/>
      <c r="AR147" s="290"/>
    </row>
    <row r="148" spans="1:44" ht="15">
      <c r="A148" s="322"/>
      <c r="B148" s="323"/>
      <c r="C148" s="323"/>
      <c r="D148" s="323"/>
      <c r="E148" s="323"/>
      <c r="F148" s="323"/>
      <c r="I148" s="272"/>
      <c r="J148" s="322"/>
      <c r="K148" s="324"/>
      <c r="L148" s="324"/>
      <c r="M148" s="324"/>
      <c r="N148" s="324"/>
      <c r="O148" s="324"/>
      <c r="R148" s="251"/>
      <c r="Y148" s="261"/>
      <c r="AH148" s="290"/>
      <c r="AI148" s="290"/>
      <c r="AJ148" s="290"/>
      <c r="AK148" s="290"/>
      <c r="AL148" s="290"/>
      <c r="AM148" s="290"/>
      <c r="AN148" s="290"/>
      <c r="AO148" s="319"/>
      <c r="AP148" s="290"/>
      <c r="AQ148" s="290"/>
      <c r="AR148" s="290"/>
    </row>
    <row r="149" spans="1:44" ht="15">
      <c r="A149" s="322"/>
      <c r="B149" s="323"/>
      <c r="C149" s="323"/>
      <c r="D149" s="323"/>
      <c r="E149" s="323"/>
      <c r="F149" s="323"/>
      <c r="I149" s="272"/>
      <c r="J149" s="322"/>
      <c r="K149" s="324"/>
      <c r="L149" s="324"/>
      <c r="M149" s="324"/>
      <c r="N149" s="324"/>
      <c r="O149" s="324"/>
      <c r="R149" s="251"/>
      <c r="Y149" s="261"/>
      <c r="AH149" s="290"/>
      <c r="AI149" s="290"/>
      <c r="AJ149" s="290"/>
      <c r="AK149" s="290"/>
      <c r="AL149" s="290"/>
      <c r="AM149" s="290"/>
      <c r="AN149" s="290"/>
      <c r="AO149" s="319"/>
      <c r="AP149" s="290"/>
      <c r="AQ149" s="290"/>
      <c r="AR149" s="290"/>
    </row>
    <row r="150" spans="1:44" ht="15">
      <c r="A150" s="322"/>
      <c r="B150" s="323"/>
      <c r="C150" s="323"/>
      <c r="D150" s="323"/>
      <c r="E150" s="323"/>
      <c r="F150" s="323"/>
      <c r="I150" s="272"/>
      <c r="J150" s="322"/>
      <c r="K150" s="324"/>
      <c r="L150" s="324"/>
      <c r="M150" s="324"/>
      <c r="N150" s="324"/>
      <c r="O150" s="324"/>
      <c r="R150" s="251"/>
      <c r="Y150" s="261"/>
      <c r="AH150" s="290"/>
      <c r="AI150" s="290"/>
      <c r="AJ150" s="290"/>
      <c r="AK150" s="290"/>
      <c r="AL150" s="290"/>
      <c r="AM150" s="290"/>
      <c r="AN150" s="290"/>
      <c r="AO150" s="319"/>
      <c r="AP150" s="290"/>
      <c r="AQ150" s="290"/>
      <c r="AR150" s="290"/>
    </row>
    <row r="151" spans="1:44" ht="15">
      <c r="A151" s="322"/>
      <c r="B151" s="323"/>
      <c r="C151" s="323"/>
      <c r="D151" s="323"/>
      <c r="E151" s="323"/>
      <c r="F151" s="323"/>
      <c r="I151" s="272"/>
      <c r="J151" s="322"/>
      <c r="K151" s="324"/>
      <c r="L151" s="324"/>
      <c r="M151" s="324"/>
      <c r="N151" s="324"/>
      <c r="O151" s="324"/>
      <c r="R151" s="251"/>
      <c r="Y151" s="261"/>
      <c r="AH151" s="290"/>
      <c r="AI151" s="290"/>
      <c r="AJ151" s="290"/>
      <c r="AK151" s="290"/>
      <c r="AL151" s="290"/>
      <c r="AM151" s="290"/>
      <c r="AN151" s="290"/>
      <c r="AO151" s="319"/>
      <c r="AP151" s="290"/>
      <c r="AQ151" s="290"/>
      <c r="AR151" s="290"/>
    </row>
    <row r="152" spans="1:44" ht="15">
      <c r="A152" s="322"/>
      <c r="B152" s="323"/>
      <c r="C152" s="323"/>
      <c r="D152" s="323"/>
      <c r="E152" s="323"/>
      <c r="F152" s="323"/>
      <c r="I152" s="272"/>
      <c r="J152" s="322"/>
      <c r="K152" s="324"/>
      <c r="L152" s="324"/>
      <c r="M152" s="324"/>
      <c r="N152" s="324"/>
      <c r="O152" s="324"/>
      <c r="R152" s="251"/>
      <c r="Y152" s="261"/>
      <c r="AH152" s="290"/>
      <c r="AI152" s="290"/>
      <c r="AJ152" s="290"/>
      <c r="AK152" s="290"/>
      <c r="AL152" s="290"/>
      <c r="AM152" s="290"/>
      <c r="AN152" s="290"/>
      <c r="AO152" s="319"/>
      <c r="AP152" s="290"/>
      <c r="AQ152" s="290"/>
      <c r="AR152" s="290"/>
    </row>
    <row r="153" spans="1:44" ht="15">
      <c r="A153" s="322"/>
      <c r="B153" s="323"/>
      <c r="C153" s="323"/>
      <c r="D153" s="323"/>
      <c r="E153" s="323"/>
      <c r="F153" s="323"/>
      <c r="I153" s="272"/>
      <c r="J153" s="322"/>
      <c r="K153" s="324"/>
      <c r="L153" s="324"/>
      <c r="M153" s="324"/>
      <c r="N153" s="324"/>
      <c r="O153" s="324"/>
      <c r="R153" s="251"/>
      <c r="Y153" s="261"/>
      <c r="AH153" s="290"/>
      <c r="AI153" s="290"/>
      <c r="AJ153" s="290"/>
      <c r="AK153" s="290"/>
      <c r="AL153" s="290"/>
      <c r="AM153" s="290"/>
      <c r="AN153" s="290"/>
      <c r="AO153" s="319"/>
      <c r="AP153" s="290"/>
      <c r="AQ153" s="290"/>
      <c r="AR153" s="290"/>
    </row>
    <row r="154" spans="1:44" ht="15">
      <c r="A154" s="322"/>
      <c r="B154" s="323"/>
      <c r="C154" s="323"/>
      <c r="D154" s="323"/>
      <c r="E154" s="323"/>
      <c r="F154" s="323"/>
      <c r="I154" s="272"/>
      <c r="J154" s="322"/>
      <c r="K154" s="324"/>
      <c r="L154" s="324"/>
      <c r="M154" s="324"/>
      <c r="N154" s="324"/>
      <c r="O154" s="324"/>
      <c r="R154" s="251"/>
      <c r="Y154" s="261"/>
      <c r="AH154" s="290"/>
      <c r="AI154" s="290"/>
      <c r="AJ154" s="290"/>
      <c r="AK154" s="290"/>
      <c r="AL154" s="290"/>
      <c r="AM154" s="290"/>
      <c r="AN154" s="290"/>
      <c r="AO154" s="319"/>
      <c r="AP154" s="290"/>
      <c r="AQ154" s="290"/>
      <c r="AR154" s="290"/>
    </row>
    <row r="155" spans="1:44" ht="15">
      <c r="A155" s="322"/>
      <c r="B155" s="323"/>
      <c r="C155" s="323"/>
      <c r="D155" s="323"/>
      <c r="E155" s="323"/>
      <c r="F155" s="323"/>
      <c r="I155" s="272"/>
      <c r="J155" s="322"/>
      <c r="K155" s="324"/>
      <c r="L155" s="324"/>
      <c r="M155" s="324"/>
      <c r="N155" s="324"/>
      <c r="O155" s="324"/>
      <c r="R155" s="251"/>
      <c r="Y155" s="261"/>
      <c r="AH155" s="290"/>
      <c r="AI155" s="290"/>
      <c r="AJ155" s="290"/>
      <c r="AK155" s="290"/>
      <c r="AL155" s="290"/>
      <c r="AM155" s="290"/>
      <c r="AN155" s="290"/>
      <c r="AO155" s="319"/>
      <c r="AP155" s="290"/>
      <c r="AQ155" s="290"/>
      <c r="AR155" s="290"/>
    </row>
    <row r="156" spans="1:44" ht="15">
      <c r="A156" s="322"/>
      <c r="B156" s="323"/>
      <c r="C156" s="323"/>
      <c r="D156" s="323"/>
      <c r="E156" s="323"/>
      <c r="F156" s="323"/>
      <c r="I156" s="272"/>
      <c r="J156" s="322"/>
      <c r="K156" s="324"/>
      <c r="L156" s="324"/>
      <c r="M156" s="324"/>
      <c r="N156" s="324"/>
      <c r="O156" s="324"/>
      <c r="R156" s="251"/>
      <c r="Y156" s="261"/>
      <c r="AH156" s="290"/>
      <c r="AI156" s="290"/>
      <c r="AJ156" s="290"/>
      <c r="AK156" s="290"/>
      <c r="AL156" s="290"/>
      <c r="AM156" s="290"/>
      <c r="AN156" s="290"/>
      <c r="AO156" s="319"/>
      <c r="AP156" s="290"/>
      <c r="AQ156" s="290"/>
      <c r="AR156" s="290"/>
    </row>
    <row r="157" spans="1:44" ht="15">
      <c r="A157" s="322"/>
      <c r="B157" s="323"/>
      <c r="C157" s="323"/>
      <c r="D157" s="323"/>
      <c r="E157" s="323"/>
      <c r="F157" s="323"/>
      <c r="I157" s="272"/>
      <c r="J157" s="322"/>
      <c r="K157" s="324"/>
      <c r="L157" s="324"/>
      <c r="M157" s="324"/>
      <c r="N157" s="324"/>
      <c r="O157" s="324"/>
      <c r="R157" s="251"/>
      <c r="Y157" s="261"/>
      <c r="AH157" s="290"/>
      <c r="AI157" s="290"/>
      <c r="AJ157" s="290"/>
      <c r="AK157" s="290"/>
      <c r="AL157" s="290"/>
      <c r="AM157" s="290"/>
      <c r="AN157" s="290"/>
      <c r="AO157" s="319"/>
      <c r="AP157" s="290"/>
      <c r="AQ157" s="290"/>
      <c r="AR157" s="290"/>
    </row>
    <row r="158" spans="1:44" ht="15">
      <c r="A158" s="322"/>
      <c r="B158" s="323"/>
      <c r="C158" s="323"/>
      <c r="D158" s="323"/>
      <c r="E158" s="323"/>
      <c r="F158" s="323"/>
      <c r="I158" s="272"/>
      <c r="J158" s="322"/>
      <c r="K158" s="324"/>
      <c r="L158" s="324"/>
      <c r="M158" s="324"/>
      <c r="N158" s="324"/>
      <c r="O158" s="324"/>
      <c r="R158" s="251"/>
      <c r="Y158" s="261"/>
      <c r="AH158" s="290"/>
      <c r="AI158" s="290"/>
      <c r="AJ158" s="290"/>
      <c r="AK158" s="290"/>
      <c r="AL158" s="290"/>
      <c r="AM158" s="290"/>
      <c r="AN158" s="290"/>
      <c r="AO158" s="319"/>
      <c r="AP158" s="290"/>
      <c r="AQ158" s="290"/>
      <c r="AR158" s="290"/>
    </row>
    <row r="159" spans="1:44" ht="15">
      <c r="A159" s="322"/>
      <c r="B159" s="323"/>
      <c r="C159" s="323"/>
      <c r="D159" s="323"/>
      <c r="E159" s="323"/>
      <c r="F159" s="323"/>
      <c r="I159" s="272"/>
      <c r="J159" s="322"/>
      <c r="K159" s="324"/>
      <c r="L159" s="324"/>
      <c r="M159" s="324"/>
      <c r="N159" s="324"/>
      <c r="O159" s="324"/>
      <c r="R159" s="251"/>
      <c r="Y159" s="261"/>
      <c r="AH159" s="290"/>
      <c r="AI159" s="290"/>
      <c r="AJ159" s="290"/>
      <c r="AK159" s="290"/>
      <c r="AL159" s="290"/>
      <c r="AM159" s="290"/>
      <c r="AN159" s="290"/>
      <c r="AO159" s="319"/>
      <c r="AP159" s="290"/>
      <c r="AQ159" s="290"/>
      <c r="AR159" s="290"/>
    </row>
    <row r="160" spans="1:44" ht="15">
      <c r="A160" s="322"/>
      <c r="B160" s="323"/>
      <c r="C160" s="323"/>
      <c r="D160" s="323"/>
      <c r="E160" s="323"/>
      <c r="F160" s="323"/>
      <c r="I160" s="272"/>
      <c r="J160" s="322"/>
      <c r="K160" s="324"/>
      <c r="L160" s="324"/>
      <c r="M160" s="324"/>
      <c r="N160" s="324"/>
      <c r="O160" s="324"/>
      <c r="R160" s="251"/>
      <c r="Y160" s="261"/>
      <c r="AH160" s="290"/>
      <c r="AI160" s="290"/>
      <c r="AJ160" s="290"/>
      <c r="AK160" s="290"/>
      <c r="AL160" s="290"/>
      <c r="AM160" s="290"/>
      <c r="AN160" s="290"/>
      <c r="AO160" s="319"/>
      <c r="AP160" s="290"/>
      <c r="AQ160" s="290"/>
      <c r="AR160" s="290"/>
    </row>
    <row r="161" spans="1:44" ht="15">
      <c r="A161" s="322"/>
      <c r="B161" s="323"/>
      <c r="C161" s="323"/>
      <c r="D161" s="323"/>
      <c r="E161" s="323"/>
      <c r="F161" s="323"/>
      <c r="I161" s="272"/>
      <c r="J161" s="322"/>
      <c r="K161" s="324"/>
      <c r="L161" s="324"/>
      <c r="M161" s="324"/>
      <c r="N161" s="324"/>
      <c r="O161" s="324"/>
      <c r="R161" s="251"/>
      <c r="Y161" s="261"/>
      <c r="AH161" s="290"/>
      <c r="AI161" s="290"/>
      <c r="AJ161" s="290"/>
      <c r="AK161" s="290"/>
      <c r="AL161" s="290"/>
      <c r="AM161" s="290"/>
      <c r="AN161" s="290"/>
      <c r="AO161" s="319"/>
      <c r="AP161" s="290"/>
      <c r="AQ161" s="290"/>
      <c r="AR161" s="290"/>
    </row>
    <row r="162" spans="1:44" ht="15">
      <c r="A162" s="322"/>
      <c r="B162" s="323"/>
      <c r="C162" s="323"/>
      <c r="D162" s="323"/>
      <c r="E162" s="323"/>
      <c r="F162" s="323"/>
      <c r="I162" s="272"/>
      <c r="J162" s="322"/>
      <c r="K162" s="324"/>
      <c r="L162" s="324"/>
      <c r="M162" s="324"/>
      <c r="N162" s="324"/>
      <c r="O162" s="324"/>
      <c r="R162" s="251"/>
      <c r="Y162" s="261"/>
      <c r="AH162" s="290"/>
      <c r="AI162" s="290"/>
      <c r="AJ162" s="290"/>
      <c r="AK162" s="290"/>
      <c r="AL162" s="290"/>
      <c r="AM162" s="290"/>
      <c r="AN162" s="290"/>
      <c r="AO162" s="319"/>
      <c r="AP162" s="290"/>
      <c r="AQ162" s="290"/>
      <c r="AR162" s="290"/>
    </row>
    <row r="163" spans="1:44" ht="15">
      <c r="A163" s="322"/>
      <c r="B163" s="323"/>
      <c r="C163" s="323"/>
      <c r="D163" s="323"/>
      <c r="E163" s="323"/>
      <c r="F163" s="323"/>
      <c r="I163" s="272"/>
      <c r="J163" s="322"/>
      <c r="K163" s="324"/>
      <c r="L163" s="324"/>
      <c r="M163" s="324"/>
      <c r="N163" s="324"/>
      <c r="O163" s="324"/>
      <c r="R163" s="251"/>
      <c r="Y163" s="261"/>
      <c r="AH163" s="290"/>
      <c r="AI163" s="290"/>
      <c r="AJ163" s="290"/>
      <c r="AK163" s="290"/>
      <c r="AL163" s="290"/>
      <c r="AM163" s="290"/>
      <c r="AN163" s="290"/>
      <c r="AO163" s="319"/>
      <c r="AP163" s="290"/>
      <c r="AQ163" s="290"/>
      <c r="AR163" s="290"/>
    </row>
    <row r="164" spans="1:44" ht="15">
      <c r="A164" s="322"/>
      <c r="B164" s="323"/>
      <c r="C164" s="323"/>
      <c r="D164" s="323"/>
      <c r="E164" s="323"/>
      <c r="F164" s="323"/>
      <c r="I164" s="272"/>
      <c r="J164" s="322"/>
      <c r="K164" s="324"/>
      <c r="L164" s="324"/>
      <c r="M164" s="324"/>
      <c r="N164" s="324"/>
      <c r="O164" s="324"/>
      <c r="R164" s="251"/>
      <c r="Y164" s="261"/>
      <c r="AH164" s="290"/>
      <c r="AI164" s="290"/>
      <c r="AJ164" s="290"/>
      <c r="AK164" s="290"/>
      <c r="AL164" s="290"/>
      <c r="AM164" s="290"/>
      <c r="AN164" s="290"/>
      <c r="AO164" s="319"/>
      <c r="AP164" s="290"/>
      <c r="AQ164" s="290"/>
      <c r="AR164" s="290"/>
    </row>
    <row r="165" spans="1:44" ht="15">
      <c r="A165" s="322"/>
      <c r="B165" s="323"/>
      <c r="C165" s="323"/>
      <c r="D165" s="323"/>
      <c r="E165" s="323"/>
      <c r="F165" s="323"/>
      <c r="I165" s="272"/>
      <c r="J165" s="322"/>
      <c r="K165" s="324"/>
      <c r="L165" s="324"/>
      <c r="M165" s="324"/>
      <c r="N165" s="324"/>
      <c r="O165" s="324"/>
      <c r="R165" s="251"/>
      <c r="Y165" s="261"/>
      <c r="AH165" s="290"/>
      <c r="AI165" s="290"/>
      <c r="AJ165" s="290"/>
      <c r="AK165" s="290"/>
      <c r="AL165" s="290"/>
      <c r="AM165" s="290"/>
      <c r="AN165" s="290"/>
      <c r="AO165" s="319"/>
      <c r="AP165" s="290"/>
      <c r="AQ165" s="290"/>
      <c r="AR165" s="290"/>
    </row>
    <row r="166" spans="1:44" ht="15">
      <c r="A166" s="322"/>
      <c r="B166" s="323"/>
      <c r="C166" s="323"/>
      <c r="D166" s="323"/>
      <c r="E166" s="323"/>
      <c r="F166" s="323"/>
      <c r="I166" s="272"/>
      <c r="J166" s="322"/>
      <c r="K166" s="324"/>
      <c r="L166" s="324"/>
      <c r="M166" s="324"/>
      <c r="N166" s="324"/>
      <c r="O166" s="324"/>
      <c r="R166" s="251"/>
      <c r="Y166" s="261"/>
      <c r="AH166" s="290"/>
      <c r="AI166" s="290"/>
      <c r="AJ166" s="290"/>
      <c r="AK166" s="290"/>
      <c r="AL166" s="290"/>
      <c r="AM166" s="290"/>
      <c r="AN166" s="290"/>
      <c r="AO166" s="319"/>
      <c r="AP166" s="290"/>
      <c r="AQ166" s="290"/>
      <c r="AR166" s="290"/>
    </row>
    <row r="167" spans="1:44" ht="15">
      <c r="A167" s="322"/>
      <c r="B167" s="323"/>
      <c r="C167" s="323"/>
      <c r="D167" s="323"/>
      <c r="E167" s="323"/>
      <c r="F167" s="323"/>
      <c r="I167" s="272"/>
      <c r="J167" s="322"/>
      <c r="K167" s="324"/>
      <c r="L167" s="324"/>
      <c r="M167" s="324"/>
      <c r="N167" s="324"/>
      <c r="O167" s="324"/>
      <c r="R167" s="251"/>
      <c r="Y167" s="261"/>
      <c r="AH167" s="290"/>
      <c r="AI167" s="290"/>
      <c r="AJ167" s="290"/>
      <c r="AK167" s="290"/>
      <c r="AL167" s="290"/>
      <c r="AM167" s="290"/>
      <c r="AN167" s="290"/>
      <c r="AO167" s="319"/>
      <c r="AP167" s="290"/>
      <c r="AQ167" s="290"/>
      <c r="AR167" s="290"/>
    </row>
    <row r="168" spans="1:44" ht="15">
      <c r="A168" s="322"/>
      <c r="B168" s="323"/>
      <c r="C168" s="323"/>
      <c r="D168" s="323"/>
      <c r="E168" s="323"/>
      <c r="F168" s="323"/>
      <c r="I168" s="272"/>
      <c r="J168" s="322"/>
      <c r="K168" s="324"/>
      <c r="L168" s="324"/>
      <c r="M168" s="324"/>
      <c r="N168" s="324"/>
      <c r="O168" s="324"/>
      <c r="R168" s="251"/>
      <c r="Y168" s="261"/>
      <c r="AH168" s="290"/>
      <c r="AI168" s="290"/>
      <c r="AJ168" s="290"/>
      <c r="AK168" s="290"/>
      <c r="AL168" s="290"/>
      <c r="AM168" s="290"/>
      <c r="AN168" s="290"/>
      <c r="AO168" s="319"/>
      <c r="AP168" s="290"/>
      <c r="AQ168" s="290"/>
      <c r="AR168" s="290"/>
    </row>
    <row r="169" spans="1:44" ht="15">
      <c r="A169" s="322"/>
      <c r="B169" s="323"/>
      <c r="C169" s="323"/>
      <c r="D169" s="323"/>
      <c r="E169" s="323"/>
      <c r="F169" s="323"/>
      <c r="I169" s="272"/>
      <c r="J169" s="322"/>
      <c r="K169" s="324"/>
      <c r="L169" s="324"/>
      <c r="M169" s="324"/>
      <c r="N169" s="324"/>
      <c r="O169" s="324"/>
      <c r="R169" s="251"/>
      <c r="Y169" s="261"/>
      <c r="AH169" s="290"/>
      <c r="AI169" s="290"/>
      <c r="AJ169" s="290"/>
      <c r="AK169" s="290"/>
      <c r="AL169" s="290"/>
      <c r="AM169" s="290"/>
      <c r="AN169" s="290"/>
      <c r="AO169" s="319"/>
      <c r="AP169" s="290"/>
      <c r="AQ169" s="290"/>
      <c r="AR169" s="290"/>
    </row>
    <row r="170" spans="1:44" ht="15">
      <c r="A170" s="322"/>
      <c r="B170" s="323"/>
      <c r="C170" s="323"/>
      <c r="D170" s="323"/>
      <c r="E170" s="323"/>
      <c r="F170" s="323"/>
      <c r="I170" s="272"/>
      <c r="J170" s="322"/>
      <c r="K170" s="324"/>
      <c r="L170" s="324"/>
      <c r="M170" s="324"/>
      <c r="N170" s="324"/>
      <c r="O170" s="324"/>
      <c r="R170" s="251"/>
      <c r="Y170" s="261"/>
      <c r="AH170" s="290"/>
      <c r="AI170" s="290"/>
      <c r="AJ170" s="290"/>
      <c r="AK170" s="290"/>
      <c r="AL170" s="290"/>
      <c r="AM170" s="290"/>
      <c r="AN170" s="290"/>
      <c r="AO170" s="319"/>
      <c r="AP170" s="290"/>
      <c r="AQ170" s="290"/>
      <c r="AR170" s="290"/>
    </row>
    <row r="171" spans="1:44" ht="15">
      <c r="A171" s="322"/>
      <c r="B171" s="323"/>
      <c r="C171" s="323"/>
      <c r="D171" s="323"/>
      <c r="E171" s="323"/>
      <c r="F171" s="323"/>
      <c r="I171" s="272"/>
      <c r="J171" s="322"/>
      <c r="K171" s="324"/>
      <c r="L171" s="324"/>
      <c r="M171" s="324"/>
      <c r="N171" s="324"/>
      <c r="O171" s="324"/>
      <c r="R171" s="251"/>
      <c r="Y171" s="261"/>
      <c r="AH171" s="290"/>
      <c r="AI171" s="290"/>
      <c r="AJ171" s="290"/>
      <c r="AK171" s="290"/>
      <c r="AL171" s="290"/>
      <c r="AM171" s="290"/>
      <c r="AN171" s="290"/>
      <c r="AO171" s="319"/>
      <c r="AP171" s="290"/>
      <c r="AQ171" s="290"/>
      <c r="AR171" s="290"/>
    </row>
    <row r="172" spans="1:44" ht="15">
      <c r="A172" s="322"/>
      <c r="B172" s="323"/>
      <c r="C172" s="323"/>
      <c r="D172" s="323"/>
      <c r="E172" s="323"/>
      <c r="F172" s="323"/>
      <c r="I172" s="272"/>
      <c r="J172" s="322"/>
      <c r="K172" s="324"/>
      <c r="L172" s="324"/>
      <c r="M172" s="324"/>
      <c r="N172" s="324"/>
      <c r="O172" s="324"/>
      <c r="R172" s="251"/>
      <c r="Y172" s="261"/>
      <c r="AH172" s="290"/>
      <c r="AI172" s="290"/>
      <c r="AJ172" s="290"/>
      <c r="AK172" s="290"/>
      <c r="AL172" s="290"/>
      <c r="AM172" s="290"/>
      <c r="AN172" s="290"/>
      <c r="AO172" s="319"/>
      <c r="AP172" s="290"/>
      <c r="AQ172" s="290"/>
      <c r="AR172" s="290"/>
    </row>
    <row r="173" spans="1:44" ht="15">
      <c r="A173" s="322"/>
      <c r="B173" s="323"/>
      <c r="C173" s="323"/>
      <c r="D173" s="323"/>
      <c r="E173" s="323"/>
      <c r="F173" s="323"/>
      <c r="I173" s="272"/>
      <c r="J173" s="322"/>
      <c r="K173" s="324"/>
      <c r="L173" s="324"/>
      <c r="M173" s="324"/>
      <c r="N173" s="324"/>
      <c r="O173" s="324"/>
      <c r="R173" s="251"/>
      <c r="Y173" s="261"/>
      <c r="AH173" s="290"/>
      <c r="AI173" s="290"/>
      <c r="AJ173" s="290"/>
      <c r="AK173" s="290"/>
      <c r="AL173" s="290"/>
      <c r="AM173" s="290"/>
      <c r="AN173" s="290"/>
      <c r="AO173" s="319"/>
      <c r="AP173" s="290"/>
      <c r="AQ173" s="290"/>
      <c r="AR173" s="290"/>
    </row>
    <row r="174" spans="1:44" ht="15">
      <c r="A174" s="322"/>
      <c r="B174" s="323"/>
      <c r="C174" s="323"/>
      <c r="D174" s="323"/>
      <c r="E174" s="323"/>
      <c r="F174" s="323"/>
      <c r="I174" s="272"/>
      <c r="J174" s="322"/>
      <c r="K174" s="324"/>
      <c r="L174" s="324"/>
      <c r="M174" s="324"/>
      <c r="N174" s="324"/>
      <c r="O174" s="324"/>
      <c r="R174" s="251"/>
      <c r="Y174" s="261"/>
      <c r="AH174" s="290"/>
      <c r="AI174" s="290"/>
      <c r="AJ174" s="290"/>
      <c r="AK174" s="290"/>
      <c r="AL174" s="290"/>
      <c r="AM174" s="290"/>
      <c r="AN174" s="290"/>
      <c r="AO174" s="319"/>
      <c r="AP174" s="290"/>
      <c r="AQ174" s="290"/>
      <c r="AR174" s="290"/>
    </row>
    <row r="175" spans="1:44" ht="15">
      <c r="A175" s="322"/>
      <c r="B175" s="323"/>
      <c r="C175" s="323"/>
      <c r="D175" s="323"/>
      <c r="E175" s="323"/>
      <c r="F175" s="323"/>
      <c r="I175" s="272"/>
      <c r="J175" s="322"/>
      <c r="K175" s="324"/>
      <c r="L175" s="324"/>
      <c r="M175" s="324"/>
      <c r="N175" s="324"/>
      <c r="O175" s="324"/>
      <c r="R175" s="251"/>
      <c r="Y175" s="261"/>
      <c r="AH175" s="290"/>
      <c r="AI175" s="290"/>
      <c r="AJ175" s="290"/>
      <c r="AK175" s="290"/>
      <c r="AL175" s="290"/>
      <c r="AM175" s="290"/>
      <c r="AN175" s="290"/>
      <c r="AO175" s="319"/>
      <c r="AP175" s="290"/>
      <c r="AQ175" s="290"/>
      <c r="AR175" s="290"/>
    </row>
    <row r="176" spans="1:44" ht="15">
      <c r="I176" s="272"/>
      <c r="R176" s="251"/>
      <c r="Y176" s="261"/>
      <c r="AH176" s="290"/>
      <c r="AI176" s="290"/>
      <c r="AJ176" s="290"/>
      <c r="AK176" s="290"/>
      <c r="AL176" s="290"/>
      <c r="AM176" s="290"/>
      <c r="AN176" s="290"/>
      <c r="AO176" s="319"/>
      <c r="AP176" s="290"/>
      <c r="AQ176" s="290"/>
      <c r="AR176" s="290"/>
    </row>
    <row r="177" spans="1:44" ht="15">
      <c r="A177" s="269" t="s">
        <v>293</v>
      </c>
      <c r="B177" s="270"/>
      <c r="C177" s="270"/>
      <c r="D177" s="270"/>
      <c r="E177" s="270"/>
      <c r="F177" s="271"/>
      <c r="I177" s="272"/>
      <c r="J177" s="269" t="s">
        <v>293</v>
      </c>
      <c r="K177" s="270"/>
      <c r="L177" s="270"/>
      <c r="M177" s="270"/>
      <c r="N177" s="270"/>
      <c r="O177" s="271"/>
      <c r="R177" s="251"/>
      <c r="AH177" s="290"/>
      <c r="AI177" s="290"/>
      <c r="AJ177" s="290"/>
      <c r="AK177" s="290"/>
      <c r="AL177" s="290"/>
      <c r="AM177" s="290"/>
      <c r="AN177" s="290"/>
      <c r="AO177" s="319"/>
      <c r="AP177" s="290"/>
      <c r="AQ177" s="290"/>
      <c r="AR177" s="290"/>
    </row>
    <row r="178" spans="1:44" ht="15">
      <c r="A178" s="257"/>
      <c r="B178" s="218" t="s">
        <v>241</v>
      </c>
      <c r="C178" s="218" t="s">
        <v>14</v>
      </c>
      <c r="D178" s="218" t="s">
        <v>242</v>
      </c>
      <c r="E178" s="218" t="s">
        <v>243</v>
      </c>
      <c r="F178" s="272" t="s">
        <v>244</v>
      </c>
      <c r="I178" s="272"/>
      <c r="J178" s="257"/>
      <c r="K178" s="218" t="s">
        <v>241</v>
      </c>
      <c r="L178" s="218" t="s">
        <v>14</v>
      </c>
      <c r="M178" s="218" t="s">
        <v>242</v>
      </c>
      <c r="N178" s="218" t="s">
        <v>243</v>
      </c>
      <c r="O178" s="272" t="s">
        <v>244</v>
      </c>
      <c r="R178" s="251"/>
      <c r="AH178" s="290"/>
      <c r="AI178" s="290"/>
      <c r="AJ178" s="290"/>
      <c r="AK178" s="290"/>
      <c r="AL178" s="290"/>
      <c r="AM178" s="290"/>
      <c r="AN178" s="290"/>
      <c r="AO178" s="319"/>
      <c r="AP178" s="290"/>
      <c r="AQ178" s="290"/>
      <c r="AR178" s="290"/>
    </row>
    <row r="179" spans="1:44" ht="15">
      <c r="A179" s="257" t="s">
        <v>245</v>
      </c>
      <c r="B179" s="218" t="s">
        <v>246</v>
      </c>
      <c r="C179" s="218" t="s">
        <v>247</v>
      </c>
      <c r="F179" s="272"/>
      <c r="I179" s="272"/>
      <c r="J179" s="257" t="s">
        <v>245</v>
      </c>
      <c r="K179" s="218" t="s">
        <v>246</v>
      </c>
      <c r="L179" s="218" t="s">
        <v>247</v>
      </c>
      <c r="O179" s="272"/>
      <c r="R179" s="251"/>
      <c r="AH179" s="290"/>
      <c r="AI179" s="290"/>
      <c r="AJ179" s="290"/>
      <c r="AK179" s="290"/>
      <c r="AL179" s="290"/>
      <c r="AM179" s="290"/>
      <c r="AN179" s="290"/>
      <c r="AO179" s="319"/>
      <c r="AP179" s="290"/>
      <c r="AQ179" s="290"/>
      <c r="AR179" s="290"/>
    </row>
    <row r="180" spans="1:44" ht="15">
      <c r="A180" s="257" t="s">
        <v>248</v>
      </c>
      <c r="B180" s="273">
        <f>B37</f>
        <v>0.04</v>
      </c>
      <c r="C180" s="224">
        <f>C13</f>
        <v>659.33333333333337</v>
      </c>
      <c r="D180" s="224">
        <f>C37</f>
        <v>667.17019531555377</v>
      </c>
      <c r="E180" s="224">
        <f>(C180-D180)^2</f>
        <v>61.41640572837143</v>
      </c>
      <c r="F180" s="242">
        <f>(C180-$A$181)^2</f>
        <v>180625</v>
      </c>
      <c r="I180" s="272"/>
      <c r="J180" s="257" t="s">
        <v>248</v>
      </c>
      <c r="K180" s="273">
        <f>K37</f>
        <v>0.04</v>
      </c>
      <c r="L180" s="224">
        <f>C180</f>
        <v>659.33333333333337</v>
      </c>
      <c r="M180" s="224">
        <f>L37</f>
        <v>659.33734581850808</v>
      </c>
      <c r="N180" s="273">
        <f>(L180-M180)^2</f>
        <v>1.6100037277286077E-5</v>
      </c>
      <c r="O180" s="242">
        <f>(L180-$J$181)^2</f>
        <v>180625</v>
      </c>
      <c r="R180" s="251"/>
      <c r="AH180" s="290"/>
      <c r="AI180" s="290"/>
      <c r="AJ180" s="290"/>
      <c r="AK180" s="290"/>
      <c r="AL180" s="290"/>
      <c r="AM180" s="290"/>
      <c r="AN180" s="290"/>
      <c r="AO180" s="319"/>
      <c r="AP180" s="290"/>
      <c r="AQ180" s="290"/>
      <c r="AR180" s="290"/>
    </row>
    <row r="181" spans="1:44" ht="15">
      <c r="A181" s="241">
        <f>AVERAGE(C180:C183)</f>
        <v>234.33333333333334</v>
      </c>
      <c r="B181" s="273">
        <f>B38</f>
        <v>0.42</v>
      </c>
      <c r="C181" s="224">
        <f>C14</f>
        <v>72</v>
      </c>
      <c r="D181" s="224">
        <f>C38</f>
        <v>106.70107836820272</v>
      </c>
      <c r="E181" s="224">
        <f>(C181-D181)^2</f>
        <v>1204.1648399161463</v>
      </c>
      <c r="F181" s="242">
        <f t="shared" ref="F181:F183" si="54">(C181-$A$181)^2</f>
        <v>26352.111111111113</v>
      </c>
      <c r="I181" s="272"/>
      <c r="J181" s="241">
        <f>AVERAGE(L180:L183)</f>
        <v>234.33333333333334</v>
      </c>
      <c r="K181" s="273">
        <f>K38</f>
        <v>0.42</v>
      </c>
      <c r="L181" s="224">
        <f t="shared" ref="L181:L183" si="55">C181</f>
        <v>72</v>
      </c>
      <c r="M181" s="224">
        <f>L38</f>
        <v>72.439368455405457</v>
      </c>
      <c r="N181" s="273">
        <f>(L181-M181)^2</f>
        <v>0.19304463960537735</v>
      </c>
      <c r="O181" s="242">
        <f t="shared" ref="O181:O183" si="56">(L181-$J$181)^2</f>
        <v>26352.111111111113</v>
      </c>
      <c r="R181" s="251"/>
      <c r="AH181" s="290"/>
      <c r="AI181" s="290"/>
      <c r="AJ181" s="290"/>
      <c r="AK181" s="290"/>
      <c r="AL181" s="290"/>
      <c r="AM181" s="290"/>
      <c r="AN181" s="290"/>
      <c r="AO181" s="321"/>
      <c r="AP181" s="290"/>
      <c r="AQ181" s="290"/>
      <c r="AR181" s="290"/>
    </row>
    <row r="182" spans="1:44" ht="15">
      <c r="A182" s="257"/>
      <c r="B182" s="273">
        <f>B39</f>
        <v>0.79</v>
      </c>
      <c r="C182" s="224">
        <f>C15</f>
        <v>70.666666666666671</v>
      </c>
      <c r="D182" s="224">
        <f>C39</f>
        <v>93.188875115751756</v>
      </c>
      <c r="E182" s="224">
        <f>(C182-D182)^2</f>
        <v>507.24987342403955</v>
      </c>
      <c r="F182" s="242">
        <f t="shared" si="54"/>
        <v>26786.777777777785</v>
      </c>
      <c r="I182" s="272"/>
      <c r="J182" s="257"/>
      <c r="K182" s="273">
        <f>K39</f>
        <v>0.79</v>
      </c>
      <c r="L182" s="224">
        <f t="shared" si="55"/>
        <v>70.666666666666671</v>
      </c>
      <c r="M182" s="224">
        <f>L39</f>
        <v>69.64269332978796</v>
      </c>
      <c r="N182" s="273">
        <f>(L182-M182)^2</f>
        <v>1.048521394638523</v>
      </c>
      <c r="O182" s="242">
        <f t="shared" si="56"/>
        <v>26786.777777777785</v>
      </c>
      <c r="R182" s="251"/>
      <c r="AH182" s="290"/>
      <c r="AI182" s="290"/>
      <c r="AJ182" s="290"/>
      <c r="AK182" s="290"/>
      <c r="AL182" s="290"/>
      <c r="AM182" s="290"/>
      <c r="AN182" s="290"/>
      <c r="AO182" s="315"/>
      <c r="AP182" s="290"/>
      <c r="AQ182" s="290"/>
      <c r="AR182" s="290"/>
    </row>
    <row r="183" spans="1:44" ht="15">
      <c r="A183" s="257"/>
      <c r="B183" s="273">
        <f>B40</f>
        <v>1.21</v>
      </c>
      <c r="C183" s="224">
        <f>C16</f>
        <v>135.33333333333334</v>
      </c>
      <c r="D183" s="224">
        <f>C40</f>
        <v>162.64552596407486</v>
      </c>
      <c r="E183" s="224">
        <f>(C183-D183)^2</f>
        <v>745.95586629873139</v>
      </c>
      <c r="F183" s="242">
        <f t="shared" si="54"/>
        <v>9801</v>
      </c>
      <c r="I183" s="272"/>
      <c r="J183" s="257"/>
      <c r="K183" s="273">
        <f>K40</f>
        <v>1.21</v>
      </c>
      <c r="L183" s="224">
        <f t="shared" si="55"/>
        <v>135.33333333333334</v>
      </c>
      <c r="M183" s="224">
        <f>L40</f>
        <v>135.5759747681179</v>
      </c>
      <c r="N183" s="273">
        <f>(L183-M183)^2</f>
        <v>5.8874865874309568E-2</v>
      </c>
      <c r="O183" s="242">
        <f t="shared" si="56"/>
        <v>9801</v>
      </c>
      <c r="R183" s="251"/>
      <c r="AH183" s="290"/>
      <c r="AI183" s="290"/>
      <c r="AJ183" s="290"/>
      <c r="AK183" s="290"/>
      <c r="AL183" s="290"/>
      <c r="AM183" s="290"/>
      <c r="AN183" s="290"/>
      <c r="AO183" s="315"/>
      <c r="AP183" s="290"/>
      <c r="AQ183" s="290"/>
      <c r="AR183" s="290"/>
    </row>
    <row r="184" spans="1:44" ht="15">
      <c r="A184" s="257"/>
      <c r="D184" s="218" t="s">
        <v>249</v>
      </c>
      <c r="E184" s="224">
        <f>SUM(E180:E183)</f>
        <v>2518.7869853672887</v>
      </c>
      <c r="F184" s="242">
        <f>SUM(F180:F183)</f>
        <v>243564.88888888891</v>
      </c>
      <c r="I184" s="272"/>
      <c r="J184" s="257"/>
      <c r="M184" s="218" t="s">
        <v>249</v>
      </c>
      <c r="N184" s="224">
        <f>SUM(N180:N183)</f>
        <v>1.3004570001554874</v>
      </c>
      <c r="O184" s="242">
        <f>SUM(O180:O183)</f>
        <v>243564.88888888891</v>
      </c>
      <c r="R184" s="251"/>
      <c r="S184" s="269" t="s">
        <v>293</v>
      </c>
      <c r="T184" s="270"/>
      <c r="U184" s="270"/>
      <c r="V184" s="270"/>
      <c r="W184" s="270"/>
      <c r="X184" s="271"/>
      <c r="AH184" s="290"/>
      <c r="AI184" s="290"/>
      <c r="AJ184" s="290"/>
      <c r="AK184" s="290"/>
      <c r="AL184" s="290"/>
      <c r="AM184" s="290"/>
      <c r="AN184" s="290"/>
      <c r="AO184" s="315"/>
      <c r="AP184" s="290"/>
      <c r="AQ184" s="290"/>
      <c r="AR184" s="290"/>
    </row>
    <row r="185" spans="1:44" ht="15">
      <c r="A185" s="257"/>
      <c r="E185" s="218" t="s">
        <v>250</v>
      </c>
      <c r="F185" s="282">
        <f>E184/F184</f>
        <v>1.0341338593003551E-2</v>
      </c>
      <c r="I185" s="272"/>
      <c r="J185" s="257"/>
      <c r="N185" s="218" t="s">
        <v>250</v>
      </c>
      <c r="O185" s="280">
        <f>N184/O184</f>
        <v>5.3392630033335332E-6</v>
      </c>
      <c r="R185" s="251"/>
      <c r="S185" s="257"/>
      <c r="T185" s="218" t="s">
        <v>241</v>
      </c>
      <c r="U185" s="218" t="s">
        <v>14</v>
      </c>
      <c r="V185" s="218" t="s">
        <v>242</v>
      </c>
      <c r="W185" s="218" t="s">
        <v>243</v>
      </c>
      <c r="X185" s="272" t="s">
        <v>244</v>
      </c>
      <c r="AH185" s="290"/>
      <c r="AI185" s="290"/>
      <c r="AJ185" s="290"/>
      <c r="AK185" s="290"/>
      <c r="AL185" s="290"/>
      <c r="AM185" s="290"/>
      <c r="AN185" s="290"/>
      <c r="AO185" s="315"/>
      <c r="AP185" s="290"/>
      <c r="AQ185" s="290"/>
      <c r="AR185" s="290"/>
    </row>
    <row r="186" spans="1:44" ht="15">
      <c r="A186" s="257"/>
      <c r="E186" s="274" t="s">
        <v>251</v>
      </c>
      <c r="F186" s="284">
        <f>1-F185</f>
        <v>0.98965866140699643</v>
      </c>
      <c r="I186" s="272"/>
      <c r="J186" s="257"/>
      <c r="N186" s="274" t="s">
        <v>251</v>
      </c>
      <c r="O186" s="284">
        <f>1-O185</f>
        <v>0.99999466073699672</v>
      </c>
      <c r="R186" s="251"/>
      <c r="S186" s="257" t="s">
        <v>245</v>
      </c>
      <c r="T186" s="218" t="s">
        <v>246</v>
      </c>
      <c r="U186" s="218" t="s">
        <v>247</v>
      </c>
      <c r="X186" s="272"/>
      <c r="AH186" s="290"/>
      <c r="AI186" s="290"/>
      <c r="AJ186" s="290"/>
      <c r="AK186" s="290"/>
      <c r="AL186" s="290"/>
      <c r="AM186" s="290"/>
      <c r="AN186" s="290"/>
      <c r="AO186" s="315"/>
      <c r="AP186" s="290"/>
      <c r="AQ186" s="290"/>
      <c r="AR186" s="290"/>
    </row>
    <row r="187" spans="1:44" ht="15">
      <c r="A187" s="257"/>
      <c r="F187" s="272"/>
      <c r="I187" s="272"/>
      <c r="J187" s="257"/>
      <c r="O187" s="272"/>
      <c r="R187" s="251"/>
      <c r="S187" s="257" t="s">
        <v>248</v>
      </c>
      <c r="T187" s="273">
        <f>T44</f>
        <v>0.04</v>
      </c>
      <c r="U187" s="224">
        <f>C13</f>
        <v>659.33333333333337</v>
      </c>
      <c r="V187" s="224">
        <f>U44</f>
        <v>660.81910844582683</v>
      </c>
      <c r="W187" s="273">
        <f>(U187-V187)^2</f>
        <v>2.2075276849049437</v>
      </c>
      <c r="X187" s="242">
        <f>(U187-$S$188)^2</f>
        <v>180625</v>
      </c>
      <c r="AH187" s="290"/>
      <c r="AI187" s="290"/>
      <c r="AJ187" s="290"/>
      <c r="AK187" s="290"/>
      <c r="AL187" s="290"/>
      <c r="AM187" s="290"/>
      <c r="AN187" s="290"/>
      <c r="AO187" s="315"/>
      <c r="AP187" s="290"/>
      <c r="AQ187" s="290"/>
      <c r="AR187" s="290"/>
    </row>
    <row r="188" spans="1:44">
      <c r="A188" s="257"/>
      <c r="B188" s="218" t="s">
        <v>241</v>
      </c>
      <c r="C188" s="218" t="s">
        <v>14</v>
      </c>
      <c r="D188" s="218" t="s">
        <v>242</v>
      </c>
      <c r="E188" s="218" t="s">
        <v>243</v>
      </c>
      <c r="F188" s="272" t="s">
        <v>244</v>
      </c>
      <c r="I188" s="272"/>
      <c r="J188" s="257"/>
      <c r="K188" s="218" t="s">
        <v>241</v>
      </c>
      <c r="L188" s="218" t="s">
        <v>14</v>
      </c>
      <c r="M188" s="218" t="s">
        <v>242</v>
      </c>
      <c r="N188" s="218" t="s">
        <v>243</v>
      </c>
      <c r="O188" s="272" t="s">
        <v>244</v>
      </c>
      <c r="R188" s="251"/>
      <c r="S188" s="241">
        <f>AVERAGE(U187:U190)</f>
        <v>234.33333333333334</v>
      </c>
      <c r="T188" s="273">
        <f>T45</f>
        <v>0.42</v>
      </c>
      <c r="U188" s="224">
        <f>C14</f>
        <v>72</v>
      </c>
      <c r="V188" s="224">
        <f>U45</f>
        <v>80.525323679173894</v>
      </c>
      <c r="W188" s="273">
        <f>(U188-V188)^2</f>
        <v>72.681143834683098</v>
      </c>
      <c r="X188" s="242">
        <f t="shared" ref="X188:X190" si="57">(U188-$S$188)^2</f>
        <v>26352.111111111113</v>
      </c>
      <c r="AH188" s="290"/>
      <c r="AI188" s="290"/>
      <c r="AJ188" s="290"/>
      <c r="AK188" s="290"/>
      <c r="AL188" s="290"/>
      <c r="AM188" s="290"/>
      <c r="AN188" s="290"/>
      <c r="AO188" s="290"/>
      <c r="AP188" s="290"/>
      <c r="AQ188" s="290"/>
      <c r="AR188" s="290"/>
    </row>
    <row r="189" spans="1:44">
      <c r="A189" s="257" t="s">
        <v>252</v>
      </c>
      <c r="B189" s="218" t="s">
        <v>246</v>
      </c>
      <c r="C189" s="218" t="s">
        <v>247</v>
      </c>
      <c r="F189" s="272"/>
      <c r="I189" s="272"/>
      <c r="J189" s="257" t="s">
        <v>252</v>
      </c>
      <c r="K189" s="218" t="s">
        <v>246</v>
      </c>
      <c r="L189" s="218" t="s">
        <v>247</v>
      </c>
      <c r="O189" s="272"/>
      <c r="R189" s="251"/>
      <c r="S189" s="257"/>
      <c r="T189" s="273">
        <f>T46</f>
        <v>0.79</v>
      </c>
      <c r="U189" s="224">
        <f>C15</f>
        <v>70.666666666666671</v>
      </c>
      <c r="V189" s="224">
        <f>U46</f>
        <v>68.537613567977743</v>
      </c>
      <c r="W189" s="273">
        <f>(U189-V189)^2</f>
        <v>4.5328670970369265</v>
      </c>
      <c r="X189" s="242">
        <f>(U189-$S$188)^2</f>
        <v>26786.777777777785</v>
      </c>
      <c r="AH189" s="290"/>
      <c r="AI189" s="290"/>
      <c r="AJ189" s="290"/>
      <c r="AK189" s="290"/>
      <c r="AL189" s="290"/>
      <c r="AM189" s="290"/>
      <c r="AN189" s="290"/>
      <c r="AO189" s="290"/>
      <c r="AP189" s="290"/>
      <c r="AQ189" s="290"/>
      <c r="AR189" s="290"/>
    </row>
    <row r="190" spans="1:44">
      <c r="A190" s="257" t="s">
        <v>253</v>
      </c>
      <c r="B190" s="273">
        <f>B180</f>
        <v>0.04</v>
      </c>
      <c r="C190" s="224">
        <f>D13</f>
        <v>162</v>
      </c>
      <c r="D190" s="224">
        <f>D37</f>
        <v>147.96539701427409</v>
      </c>
      <c r="E190" s="218">
        <f>(C190-D190)^2</f>
        <v>196.97008096694665</v>
      </c>
      <c r="F190" s="242">
        <f>(C190-$A$191)^2</f>
        <v>7714.6944444444434</v>
      </c>
      <c r="I190" s="272"/>
      <c r="J190" s="257" t="s">
        <v>253</v>
      </c>
      <c r="K190" s="273">
        <f>K180</f>
        <v>0.04</v>
      </c>
      <c r="L190" s="224">
        <f>C190</f>
        <v>162</v>
      </c>
      <c r="M190" s="224">
        <f>M37</f>
        <v>161.98412808812392</v>
      </c>
      <c r="N190" s="300">
        <f>(L190-M190)^2</f>
        <v>2.5191758660191374E-4</v>
      </c>
      <c r="O190" s="242">
        <f>(L190-$J$191)^2</f>
        <v>7714.6944444444434</v>
      </c>
      <c r="R190" s="251"/>
      <c r="S190" s="257"/>
      <c r="T190" s="273">
        <f>T47</f>
        <v>1.21</v>
      </c>
      <c r="U190" s="224">
        <f>C16</f>
        <v>135.33333333333334</v>
      </c>
      <c r="V190" s="224">
        <f>U47</f>
        <v>128.0910646200627</v>
      </c>
      <c r="W190" s="273">
        <f>(U190-V190)^2</f>
        <v>52.450456115218877</v>
      </c>
      <c r="X190" s="242">
        <f t="shared" si="57"/>
        <v>9801</v>
      </c>
      <c r="AH190" s="290"/>
      <c r="AI190" s="290"/>
      <c r="AJ190" s="290"/>
      <c r="AK190" s="290"/>
      <c r="AL190" s="290"/>
      <c r="AM190" s="290"/>
      <c r="AN190" s="290"/>
      <c r="AO190" s="290"/>
      <c r="AP190" s="290"/>
      <c r="AQ190" s="290"/>
      <c r="AR190" s="290"/>
    </row>
    <row r="191" spans="1:44">
      <c r="A191" s="241">
        <f>AVERAGE(C190:C193)</f>
        <v>74.166666666666671</v>
      </c>
      <c r="B191" s="273">
        <f>B181</f>
        <v>0.42</v>
      </c>
      <c r="C191" s="224">
        <f>D14</f>
        <v>41.333333333333336</v>
      </c>
      <c r="D191" s="224">
        <f>D38</f>
        <v>55.290470761324059</v>
      </c>
      <c r="E191" s="218">
        <f>(C191-D191)^2</f>
        <v>194.8016851838195</v>
      </c>
      <c r="F191" s="242">
        <f t="shared" ref="F191:F193" si="58">(C191-$A$191)^2</f>
        <v>1078.0277777777778</v>
      </c>
      <c r="I191" s="272"/>
      <c r="J191" s="241">
        <f>AVERAGE(L190:L193)</f>
        <v>74.166666666666671</v>
      </c>
      <c r="K191" s="273">
        <f>K181</f>
        <v>0.42</v>
      </c>
      <c r="L191" s="224">
        <f t="shared" ref="L191:L193" si="59">C191</f>
        <v>41.333333333333336</v>
      </c>
      <c r="M191" s="224">
        <f>M38</f>
        <v>41.581235987076646</v>
      </c>
      <c r="N191" s="218">
        <f>(L191-M191)^2</f>
        <v>6.1455725732975447E-2</v>
      </c>
      <c r="O191" s="242">
        <f t="shared" ref="O191:O193" si="60">(L191-$J$191)^2</f>
        <v>1078.0277777777778</v>
      </c>
      <c r="R191" s="251"/>
      <c r="S191" s="257"/>
      <c r="V191" s="218" t="s">
        <v>249</v>
      </c>
      <c r="W191" s="224">
        <f>SUM(W187:W190)</f>
        <v>131.87199473184384</v>
      </c>
      <c r="X191" s="242">
        <f>SUM(X187:X190)</f>
        <v>243564.88888888891</v>
      </c>
      <c r="AH191" s="290"/>
      <c r="AI191" s="290"/>
      <c r="AJ191" s="290"/>
      <c r="AK191" s="290"/>
      <c r="AL191" s="290"/>
      <c r="AM191" s="290"/>
      <c r="AN191" s="290"/>
      <c r="AO191" s="290"/>
      <c r="AP191" s="290"/>
      <c r="AQ191" s="290"/>
      <c r="AR191" s="290"/>
    </row>
    <row r="192" spans="1:44">
      <c r="A192" s="257"/>
      <c r="B192" s="273">
        <f>B182</f>
        <v>0.79</v>
      </c>
      <c r="C192" s="224">
        <f>D15</f>
        <v>24.666666666666668</v>
      </c>
      <c r="D192" s="224">
        <f>D39</f>
        <v>29.361177818728802</v>
      </c>
      <c r="E192" s="218">
        <f>(C192-D192)^2</f>
        <v>22.038434956835744</v>
      </c>
      <c r="F192" s="242">
        <f t="shared" si="58"/>
        <v>2450.25</v>
      </c>
      <c r="I192" s="272"/>
      <c r="J192" s="257"/>
      <c r="K192" s="273">
        <f>K182</f>
        <v>0.79</v>
      </c>
      <c r="L192" s="224">
        <f t="shared" si="59"/>
        <v>24.666666666666668</v>
      </c>
      <c r="M192" s="224">
        <f>M39</f>
        <v>24.306712396442101</v>
      </c>
      <c r="N192" s="218">
        <f>(L192-M192)^2</f>
        <v>0.12956707665290015</v>
      </c>
      <c r="O192" s="242">
        <f t="shared" si="60"/>
        <v>2450.25</v>
      </c>
      <c r="R192" s="251"/>
      <c r="S192" s="257"/>
      <c r="W192" s="218" t="s">
        <v>250</v>
      </c>
      <c r="X192" s="280">
        <f>W191/X191</f>
        <v>5.4142448582563188E-4</v>
      </c>
      <c r="AH192" s="290"/>
      <c r="AI192" s="290"/>
      <c r="AJ192" s="290"/>
      <c r="AK192" s="290"/>
      <c r="AL192" s="290"/>
      <c r="AM192" s="290"/>
      <c r="AN192" s="290"/>
      <c r="AO192" s="290"/>
      <c r="AP192" s="290"/>
      <c r="AQ192" s="290"/>
      <c r="AR192" s="290"/>
    </row>
    <row r="193" spans="1:44">
      <c r="A193" s="257"/>
      <c r="B193" s="273">
        <f>B183</f>
        <v>1.21</v>
      </c>
      <c r="C193" s="224">
        <f>D16</f>
        <v>68.666666666666671</v>
      </c>
      <c r="D193" s="224">
        <f>D40</f>
        <v>74.489807696736634</v>
      </c>
      <c r="E193" s="218">
        <f>(C193-D193)^2</f>
        <v>33.908971456084259</v>
      </c>
      <c r="F193" s="242">
        <f t="shared" si="58"/>
        <v>30.25</v>
      </c>
      <c r="I193" s="272"/>
      <c r="J193" s="257"/>
      <c r="K193" s="273">
        <f>K183</f>
        <v>1.21</v>
      </c>
      <c r="L193" s="224">
        <f t="shared" si="59"/>
        <v>68.666666666666671</v>
      </c>
      <c r="M193" s="224">
        <f>M40</f>
        <v>68.782622050179526</v>
      </c>
      <c r="N193" s="218">
        <f>(L193-M193)^2</f>
        <v>1.3445650965613247E-2</v>
      </c>
      <c r="O193" s="242">
        <f t="shared" si="60"/>
        <v>30.25</v>
      </c>
      <c r="R193" s="251"/>
      <c r="S193" s="257"/>
      <c r="W193" s="274" t="s">
        <v>251</v>
      </c>
      <c r="X193" s="284">
        <f>1-X192</f>
        <v>0.99945857551417439</v>
      </c>
      <c r="AH193" s="290"/>
      <c r="AI193" s="290"/>
      <c r="AJ193" s="290"/>
      <c r="AK193" s="290"/>
      <c r="AL193" s="290"/>
      <c r="AM193" s="290"/>
      <c r="AN193" s="290"/>
      <c r="AO193" s="290"/>
      <c r="AP193" s="290"/>
      <c r="AQ193" s="290"/>
      <c r="AR193" s="290"/>
    </row>
    <row r="194" spans="1:44">
      <c r="A194" s="257"/>
      <c r="E194" s="224">
        <f>SUM(E190:E193)</f>
        <v>447.71917256368613</v>
      </c>
      <c r="F194" s="242">
        <f>SUM(F190:F193)</f>
        <v>11273.222222222221</v>
      </c>
      <c r="I194" s="272"/>
      <c r="J194" s="257"/>
      <c r="N194" s="224">
        <f>SUM(N190:N193)</f>
        <v>0.20472037093809078</v>
      </c>
      <c r="O194" s="242">
        <f>SUM(O190:O193)</f>
        <v>11273.222222222221</v>
      </c>
      <c r="R194" s="251"/>
      <c r="S194" s="257"/>
      <c r="X194" s="272"/>
      <c r="AH194" s="290"/>
      <c r="AI194" s="290"/>
      <c r="AJ194" s="290"/>
      <c r="AK194" s="290"/>
      <c r="AL194" s="290"/>
      <c r="AM194" s="290"/>
      <c r="AN194" s="290"/>
      <c r="AO194" s="290"/>
      <c r="AP194" s="290"/>
      <c r="AQ194" s="290"/>
      <c r="AR194" s="290"/>
    </row>
    <row r="195" spans="1:44">
      <c r="A195" s="257"/>
      <c r="E195" s="218" t="s">
        <v>250</v>
      </c>
      <c r="F195" s="282">
        <f>E194/F194</f>
        <v>3.9715279601348089E-2</v>
      </c>
      <c r="I195" s="272"/>
      <c r="J195" s="257"/>
      <c r="N195" s="218" t="s">
        <v>250</v>
      </c>
      <c r="O195" s="282">
        <f>N194/O194</f>
        <v>1.8159880724655451E-5</v>
      </c>
      <c r="R195" s="251"/>
      <c r="S195" s="257"/>
      <c r="T195" s="218" t="s">
        <v>241</v>
      </c>
      <c r="U195" s="218" t="s">
        <v>14</v>
      </c>
      <c r="V195" s="218" t="s">
        <v>242</v>
      </c>
      <c r="W195" s="218" t="s">
        <v>243</v>
      </c>
      <c r="X195" s="272" t="s">
        <v>244</v>
      </c>
      <c r="AH195" s="290"/>
      <c r="AI195" s="290"/>
      <c r="AJ195" s="290"/>
      <c r="AK195" s="290"/>
      <c r="AL195" s="290"/>
      <c r="AM195" s="290"/>
      <c r="AN195" s="290"/>
      <c r="AO195" s="290"/>
      <c r="AP195" s="290"/>
      <c r="AQ195" s="290"/>
      <c r="AR195" s="290"/>
    </row>
    <row r="196" spans="1:44">
      <c r="A196" s="257"/>
      <c r="E196" s="274" t="s">
        <v>251</v>
      </c>
      <c r="F196" s="284">
        <f>1-F195</f>
        <v>0.96028472039865187</v>
      </c>
      <c r="I196" s="272"/>
      <c r="J196" s="257"/>
      <c r="N196" s="274" t="s">
        <v>251</v>
      </c>
      <c r="O196" s="284">
        <f>1-O195</f>
        <v>0.99998184011927538</v>
      </c>
      <c r="R196" s="251"/>
      <c r="S196" s="257" t="s">
        <v>252</v>
      </c>
      <c r="T196" s="218" t="s">
        <v>246</v>
      </c>
      <c r="U196" s="218" t="s">
        <v>247</v>
      </c>
      <c r="X196" s="272"/>
      <c r="AH196" s="290"/>
      <c r="AI196" s="290"/>
      <c r="AJ196" s="290"/>
      <c r="AK196" s="290"/>
      <c r="AL196" s="290"/>
      <c r="AM196" s="290"/>
      <c r="AN196" s="290"/>
      <c r="AO196" s="290"/>
      <c r="AP196" s="290"/>
      <c r="AQ196" s="290"/>
      <c r="AR196" s="290"/>
    </row>
    <row r="197" spans="1:44">
      <c r="A197" s="257"/>
      <c r="F197" s="272"/>
      <c r="I197" s="272"/>
      <c r="J197" s="257"/>
      <c r="O197" s="272"/>
      <c r="R197" s="251"/>
      <c r="S197" s="257" t="s">
        <v>253</v>
      </c>
      <c r="T197" s="273">
        <f>T187</f>
        <v>0.04</v>
      </c>
      <c r="U197" s="224">
        <f>D13</f>
        <v>162</v>
      </c>
      <c r="V197" s="224">
        <f>V44</f>
        <v>153.0710777304599</v>
      </c>
      <c r="W197" s="279">
        <f>(U197-V197)^2</f>
        <v>79.725652895489048</v>
      </c>
      <c r="X197" s="242">
        <f>(U197-$S$198)^2</f>
        <v>7714.6944444444434</v>
      </c>
      <c r="AH197" s="290"/>
      <c r="AI197" s="290"/>
      <c r="AJ197" s="290"/>
      <c r="AK197" s="290"/>
      <c r="AL197" s="290"/>
      <c r="AM197" s="290"/>
      <c r="AN197" s="290"/>
      <c r="AO197" s="290"/>
      <c r="AP197" s="290"/>
      <c r="AQ197" s="290"/>
      <c r="AR197" s="290"/>
    </row>
    <row r="198" spans="1:44">
      <c r="A198" s="257"/>
      <c r="B198" s="218" t="s">
        <v>241</v>
      </c>
      <c r="C198" s="218" t="s">
        <v>14</v>
      </c>
      <c r="D198" s="218" t="s">
        <v>242</v>
      </c>
      <c r="E198" s="218" t="s">
        <v>243</v>
      </c>
      <c r="F198" s="272" t="s">
        <v>244</v>
      </c>
      <c r="I198" s="272"/>
      <c r="J198" s="257"/>
      <c r="K198" s="218" t="s">
        <v>241</v>
      </c>
      <c r="L198" s="218" t="s">
        <v>14</v>
      </c>
      <c r="M198" s="218" t="s">
        <v>242</v>
      </c>
      <c r="N198" s="218" t="s">
        <v>243</v>
      </c>
      <c r="O198" s="272" t="s">
        <v>244</v>
      </c>
      <c r="R198" s="251"/>
      <c r="S198" s="241">
        <f>AVERAGE(U197:U200)</f>
        <v>74.166666666666671</v>
      </c>
      <c r="T198" s="273">
        <f>T188</f>
        <v>0.42</v>
      </c>
      <c r="U198" s="224">
        <f>D14</f>
        <v>41.333333333333336</v>
      </c>
      <c r="V198" s="224">
        <f>V45</f>
        <v>48.762439527297936</v>
      </c>
      <c r="W198" s="218">
        <f>(U198-V198)^2</f>
        <v>55.191618841203187</v>
      </c>
      <c r="X198" s="242">
        <f t="shared" ref="X198:X200" si="61">(U198-$S$198)^2</f>
        <v>1078.0277777777778</v>
      </c>
      <c r="AH198" s="290"/>
      <c r="AI198" s="290"/>
      <c r="AJ198" s="290"/>
      <c r="AK198" s="290"/>
      <c r="AL198" s="290"/>
      <c r="AM198" s="290"/>
      <c r="AN198" s="290"/>
      <c r="AO198" s="290"/>
      <c r="AP198" s="290"/>
      <c r="AQ198" s="290"/>
      <c r="AR198" s="290"/>
    </row>
    <row r="199" spans="1:44">
      <c r="A199" s="257" t="s">
        <v>254</v>
      </c>
      <c r="B199" s="218" t="s">
        <v>246</v>
      </c>
      <c r="C199" s="218" t="s">
        <v>247</v>
      </c>
      <c r="F199" s="272"/>
      <c r="I199" s="272"/>
      <c r="J199" s="257" t="s">
        <v>254</v>
      </c>
      <c r="K199" s="218" t="s">
        <v>246</v>
      </c>
      <c r="L199" s="218" t="s">
        <v>247</v>
      </c>
      <c r="O199" s="272"/>
      <c r="R199" s="251"/>
      <c r="S199" s="257"/>
      <c r="T199" s="273">
        <f>T189</f>
        <v>0.79</v>
      </c>
      <c r="U199" s="224">
        <f>D15</f>
        <v>24.666666666666668</v>
      </c>
      <c r="V199" s="224">
        <f>V46</f>
        <v>23.627039568187506</v>
      </c>
      <c r="W199" s="218">
        <f>(U199-V199)^2</f>
        <v>1.0808245038922013</v>
      </c>
      <c r="X199" s="242">
        <f>(U199-$S$198)^2</f>
        <v>2450.25</v>
      </c>
      <c r="AH199" s="290"/>
      <c r="AI199" s="290"/>
      <c r="AJ199" s="290"/>
      <c r="AK199" s="290"/>
      <c r="AL199" s="290"/>
      <c r="AM199" s="290"/>
      <c r="AN199" s="290"/>
      <c r="AO199" s="290"/>
      <c r="AP199" s="290"/>
      <c r="AQ199" s="290"/>
      <c r="AR199" s="290"/>
    </row>
    <row r="200" spans="1:44">
      <c r="A200" s="257" t="s">
        <v>253</v>
      </c>
      <c r="B200" s="273">
        <f>B190</f>
        <v>0.04</v>
      </c>
      <c r="C200" s="224">
        <f>E13</f>
        <v>136.66666666666666</v>
      </c>
      <c r="D200" s="224">
        <f>E37</f>
        <v>117.56683946706343</v>
      </c>
      <c r="E200" s="218">
        <f>(C200-D200)^2</f>
        <v>364.80339905470322</v>
      </c>
      <c r="F200" s="242">
        <f>(C200-$A$201)^2</f>
        <v>6267.3611111111095</v>
      </c>
      <c r="I200" s="272"/>
      <c r="J200" s="257" t="s">
        <v>253</v>
      </c>
      <c r="K200" s="273">
        <f>K190</f>
        <v>0.04</v>
      </c>
      <c r="L200" s="224">
        <f>C200</f>
        <v>136.66666666666666</v>
      </c>
      <c r="M200" s="224">
        <f>N37</f>
        <v>136.64495836974734</v>
      </c>
      <c r="N200" s="218">
        <f>(L200-M200)^2</f>
        <v>4.7125015513711105E-4</v>
      </c>
      <c r="O200" s="242">
        <f>(L200-$J$201)^2</f>
        <v>6267.3611111111095</v>
      </c>
      <c r="R200" s="251"/>
      <c r="S200" s="257"/>
      <c r="T200" s="273">
        <f>T190</f>
        <v>1.21</v>
      </c>
      <c r="U200" s="224">
        <f>D16</f>
        <v>68.666666666666671</v>
      </c>
      <c r="V200" s="224">
        <f>V47</f>
        <v>67.444523312817267</v>
      </c>
      <c r="W200" s="218">
        <f>(U200-V200)^2</f>
        <v>1.4936343773582694</v>
      </c>
      <c r="X200" s="242">
        <f t="shared" si="61"/>
        <v>30.25</v>
      </c>
      <c r="AH200" s="290"/>
      <c r="AI200" s="290"/>
      <c r="AJ200" s="290"/>
      <c r="AK200" s="290"/>
      <c r="AL200" s="290"/>
      <c r="AM200" s="290"/>
      <c r="AN200" s="290"/>
      <c r="AO200" s="290"/>
      <c r="AP200" s="290"/>
      <c r="AQ200" s="290"/>
      <c r="AR200" s="290"/>
    </row>
    <row r="201" spans="1:44">
      <c r="A201" s="241">
        <f>AVERAGE(C200:C203)</f>
        <v>57.499999999999993</v>
      </c>
      <c r="B201" s="273">
        <f>B191</f>
        <v>0.42</v>
      </c>
      <c r="C201" s="224">
        <f>E14</f>
        <v>27.666666666666668</v>
      </c>
      <c r="D201" s="224">
        <f>E38</f>
        <v>34.856500821761486</v>
      </c>
      <c r="E201" s="218">
        <f>(C201-D201)^2</f>
        <v>51.69371517776802</v>
      </c>
      <c r="F201" s="242">
        <f t="shared" ref="F201:F203" si="62">(C201-$A$201)^2</f>
        <v>890.02777777777726</v>
      </c>
      <c r="I201" s="272"/>
      <c r="J201" s="241">
        <f>AVERAGE(L200:L203)</f>
        <v>57.499999999999993</v>
      </c>
      <c r="K201" s="273">
        <f>K191</f>
        <v>0.42</v>
      </c>
      <c r="L201" s="224">
        <f t="shared" ref="L201:L203" si="63">C201</f>
        <v>27.666666666666668</v>
      </c>
      <c r="M201" s="224">
        <f>N38</f>
        <v>27.830907270330751</v>
      </c>
      <c r="N201" s="218">
        <f>(L201-M201)^2</f>
        <v>2.6974975891942574E-2</v>
      </c>
      <c r="O201" s="242">
        <f t="shared" ref="O201:O203" si="64">(L201-$J$201)^2</f>
        <v>890.02777777777726</v>
      </c>
      <c r="R201" s="251"/>
      <c r="S201" s="257"/>
      <c r="W201" s="224">
        <f>SUM(W197:W200)</f>
        <v>137.49173061794269</v>
      </c>
      <c r="X201" s="242">
        <f>SUM(X197:X200)</f>
        <v>11273.222222222221</v>
      </c>
      <c r="AH201" s="290"/>
      <c r="AI201" s="290"/>
      <c r="AJ201" s="290"/>
      <c r="AK201" s="290"/>
      <c r="AL201" s="290"/>
      <c r="AM201" s="290"/>
      <c r="AN201" s="290"/>
      <c r="AO201" s="290"/>
      <c r="AP201" s="290"/>
      <c r="AQ201" s="290"/>
      <c r="AR201" s="290"/>
    </row>
    <row r="202" spans="1:44">
      <c r="A202" s="257"/>
      <c r="B202" s="273">
        <f>B192</f>
        <v>0.79</v>
      </c>
      <c r="C202" s="224">
        <f>E15</f>
        <v>19.666666666666668</v>
      </c>
      <c r="D202" s="224">
        <f>E39</f>
        <v>22.048084121356375</v>
      </c>
      <c r="E202" s="218">
        <f>(C202-D202)^2</f>
        <v>5.6711490935008033</v>
      </c>
      <c r="F202" s="242">
        <f t="shared" si="62"/>
        <v>1431.3611111111109</v>
      </c>
      <c r="I202" s="272"/>
      <c r="J202" s="257"/>
      <c r="K202" s="273">
        <f>K192</f>
        <v>0.79</v>
      </c>
      <c r="L202" s="224">
        <f t="shared" si="63"/>
        <v>19.666666666666668</v>
      </c>
      <c r="M202" s="224">
        <f>N39</f>
        <v>19.378496412543022</v>
      </c>
      <c r="N202" s="218">
        <f>(L202-M202)^2</f>
        <v>8.3042095361686552E-2</v>
      </c>
      <c r="O202" s="242">
        <f t="shared" si="64"/>
        <v>1431.3611111111109</v>
      </c>
      <c r="R202" s="251"/>
      <c r="S202" s="257"/>
      <c r="W202" s="218" t="s">
        <v>250</v>
      </c>
      <c r="X202" s="282">
        <f>W201/X201</f>
        <v>1.2196311569811297E-2</v>
      </c>
      <c r="AH202" s="290"/>
      <c r="AI202" s="290"/>
      <c r="AJ202" s="290"/>
      <c r="AK202" s="290"/>
      <c r="AL202" s="290"/>
      <c r="AM202" s="290"/>
      <c r="AN202" s="290"/>
      <c r="AO202" s="290"/>
      <c r="AP202" s="290"/>
      <c r="AQ202" s="290"/>
      <c r="AR202" s="290"/>
    </row>
    <row r="203" spans="1:44">
      <c r="A203" s="257"/>
      <c r="B203" s="273">
        <f>B193</f>
        <v>1.21</v>
      </c>
      <c r="C203" s="224">
        <f>E16</f>
        <v>46</v>
      </c>
      <c r="D203" s="224">
        <f>E40</f>
        <v>46.998696301843268</v>
      </c>
      <c r="E203" s="218">
        <f>(C203-D203)^2</f>
        <v>0.9973943033154189</v>
      </c>
      <c r="F203" s="242">
        <f t="shared" si="62"/>
        <v>132.24999999999983</v>
      </c>
      <c r="I203" s="272"/>
      <c r="J203" s="257"/>
      <c r="K203" s="273">
        <f>K193</f>
        <v>1.21</v>
      </c>
      <c r="L203" s="224">
        <f t="shared" si="63"/>
        <v>46</v>
      </c>
      <c r="M203" s="224">
        <f>N40</f>
        <v>46.074873990423647</v>
      </c>
      <c r="N203" s="218">
        <f>(L203-M203)^2</f>
        <v>5.6061144419604254E-3</v>
      </c>
      <c r="O203" s="242">
        <f t="shared" si="64"/>
        <v>132.24999999999983</v>
      </c>
      <c r="R203" s="251"/>
      <c r="S203" s="257"/>
      <c r="W203" s="274" t="s">
        <v>251</v>
      </c>
      <c r="X203" s="284">
        <f>1-X202</f>
        <v>0.98780368843018873</v>
      </c>
      <c r="AH203" s="290"/>
      <c r="AI203" s="290"/>
      <c r="AJ203" s="290"/>
      <c r="AK203" s="290"/>
      <c r="AL203" s="290"/>
      <c r="AM203" s="290"/>
      <c r="AN203" s="290"/>
      <c r="AO203" s="290"/>
      <c r="AP203" s="290"/>
      <c r="AQ203" s="290"/>
      <c r="AR203" s="290"/>
    </row>
    <row r="204" spans="1:44">
      <c r="A204" s="257"/>
      <c r="E204" s="224">
        <f>SUM(E200:E203)</f>
        <v>423.16565762928747</v>
      </c>
      <c r="F204" s="242">
        <f>SUM(F200:F203)</f>
        <v>8720.9999999999982</v>
      </c>
      <c r="I204" s="272"/>
      <c r="J204" s="257"/>
      <c r="N204" s="224">
        <f>SUM(N200:N203)</f>
        <v>0.11609443585072667</v>
      </c>
      <c r="O204" s="242">
        <f>SUM(O200:O203)</f>
        <v>8720.9999999999982</v>
      </c>
      <c r="R204" s="251"/>
      <c r="S204" s="257"/>
      <c r="X204" s="272"/>
      <c r="AH204" s="290"/>
      <c r="AI204" s="290"/>
      <c r="AJ204" s="290"/>
      <c r="AK204" s="290"/>
      <c r="AL204" s="290"/>
      <c r="AM204" s="290"/>
      <c r="AN204" s="290"/>
      <c r="AO204" s="290"/>
      <c r="AP204" s="290"/>
      <c r="AQ204" s="290"/>
      <c r="AR204" s="290"/>
    </row>
    <row r="205" spans="1:44">
      <c r="A205" s="257"/>
      <c r="E205" s="218" t="s">
        <v>250</v>
      </c>
      <c r="F205" s="283">
        <f>E204/F204</f>
        <v>4.8522607227300486E-2</v>
      </c>
      <c r="I205" s="272"/>
      <c r="J205" s="257"/>
      <c r="N205" s="218" t="s">
        <v>250</v>
      </c>
      <c r="O205" s="283">
        <f>N204/O204</f>
        <v>1.3312055481106145E-5</v>
      </c>
      <c r="R205" s="251"/>
      <c r="S205" s="257"/>
      <c r="T205" s="218" t="s">
        <v>241</v>
      </c>
      <c r="U205" s="218" t="s">
        <v>14</v>
      </c>
      <c r="V205" s="218" t="s">
        <v>242</v>
      </c>
      <c r="W205" s="218" t="s">
        <v>243</v>
      </c>
      <c r="X205" s="272" t="s">
        <v>244</v>
      </c>
      <c r="AH205" s="290"/>
      <c r="AI205" s="290"/>
      <c r="AJ205" s="290"/>
      <c r="AK205" s="290"/>
      <c r="AL205" s="290"/>
      <c r="AM205" s="290"/>
      <c r="AN205" s="290"/>
      <c r="AO205" s="290"/>
      <c r="AP205" s="290"/>
      <c r="AQ205" s="290"/>
      <c r="AR205" s="290"/>
    </row>
    <row r="206" spans="1:44">
      <c r="A206" s="257"/>
      <c r="E206" s="274" t="s">
        <v>251</v>
      </c>
      <c r="F206" s="284">
        <f>1-F205</f>
        <v>0.95147739277269949</v>
      </c>
      <c r="I206" s="272"/>
      <c r="J206" s="257"/>
      <c r="N206" s="274" t="s">
        <v>251</v>
      </c>
      <c r="O206" s="284">
        <f>1-O205</f>
        <v>0.99998668794451895</v>
      </c>
      <c r="R206" s="251"/>
      <c r="S206" s="257" t="s">
        <v>254</v>
      </c>
      <c r="T206" s="218" t="s">
        <v>246</v>
      </c>
      <c r="U206" s="218" t="s">
        <v>247</v>
      </c>
      <c r="X206" s="272"/>
      <c r="AH206" s="290"/>
      <c r="AI206" s="290"/>
      <c r="AJ206" s="290"/>
      <c r="AK206" s="290"/>
      <c r="AL206" s="290"/>
      <c r="AM206" s="290"/>
      <c r="AN206" s="290"/>
      <c r="AO206" s="290"/>
      <c r="AP206" s="290"/>
      <c r="AQ206" s="290"/>
      <c r="AR206" s="290"/>
    </row>
    <row r="207" spans="1:44">
      <c r="A207" s="257"/>
      <c r="F207" s="272"/>
      <c r="I207" s="272"/>
      <c r="J207" s="257"/>
      <c r="O207" s="272"/>
      <c r="R207" s="251"/>
      <c r="S207" s="257" t="s">
        <v>253</v>
      </c>
      <c r="T207" s="273">
        <f>T197</f>
        <v>0.04</v>
      </c>
      <c r="U207" s="224">
        <f>E13</f>
        <v>136.66666666666666</v>
      </c>
      <c r="V207" s="224">
        <f>W44</f>
        <v>135.98482008302128</v>
      </c>
      <c r="W207" s="218">
        <f>(U207-V207)^2</f>
        <v>0.46491476362887768</v>
      </c>
      <c r="X207" s="242">
        <f>(U207-$S$208)^2</f>
        <v>6267.3611111111095</v>
      </c>
      <c r="AH207" s="290"/>
      <c r="AI207" s="290"/>
      <c r="AJ207" s="290"/>
      <c r="AK207" s="290"/>
      <c r="AL207" s="290"/>
      <c r="AM207" s="290"/>
      <c r="AN207" s="290"/>
      <c r="AO207" s="290"/>
      <c r="AP207" s="290"/>
      <c r="AQ207" s="290"/>
      <c r="AR207" s="290"/>
    </row>
    <row r="208" spans="1:44">
      <c r="A208" s="257"/>
      <c r="B208" s="218" t="s">
        <v>241</v>
      </c>
      <c r="C208" s="218" t="s">
        <v>14</v>
      </c>
      <c r="D208" s="218" t="s">
        <v>242</v>
      </c>
      <c r="E208" s="218" t="s">
        <v>243</v>
      </c>
      <c r="F208" s="272" t="s">
        <v>244</v>
      </c>
      <c r="I208" s="272"/>
      <c r="J208" s="257"/>
      <c r="K208" s="218" t="s">
        <v>241</v>
      </c>
      <c r="L208" s="218" t="s">
        <v>14</v>
      </c>
      <c r="M208" s="218" t="s">
        <v>242</v>
      </c>
      <c r="N208" s="218" t="s">
        <v>243</v>
      </c>
      <c r="O208" s="272" t="s">
        <v>244</v>
      </c>
      <c r="R208" s="251"/>
      <c r="S208" s="241">
        <f>AVERAGE(U207:U210)</f>
        <v>57.499999999999993</v>
      </c>
      <c r="T208" s="273">
        <f>T198</f>
        <v>0.42</v>
      </c>
      <c r="U208" s="224">
        <f>E14</f>
        <v>27.666666666666668</v>
      </c>
      <c r="V208" s="224">
        <f>W45</f>
        <v>33.334193034279387</v>
      </c>
      <c r="W208" s="218">
        <f>(U208-V208)^2</f>
        <v>32.120855127585429</v>
      </c>
      <c r="X208" s="242">
        <f t="shared" ref="X208:X209" si="65">(U208-$S$208)^2</f>
        <v>890.02777777777726</v>
      </c>
      <c r="AH208" s="290"/>
      <c r="AI208" s="290"/>
      <c r="AJ208" s="290"/>
      <c r="AK208" s="290"/>
      <c r="AL208" s="290"/>
      <c r="AM208" s="290"/>
      <c r="AN208" s="290"/>
      <c r="AO208" s="290"/>
      <c r="AP208" s="290"/>
      <c r="AQ208" s="290"/>
      <c r="AR208" s="290"/>
    </row>
    <row r="209" spans="1:44">
      <c r="A209" s="257" t="s">
        <v>255</v>
      </c>
      <c r="B209" s="218" t="s">
        <v>246</v>
      </c>
      <c r="C209" s="218" t="s">
        <v>247</v>
      </c>
      <c r="F209" s="272"/>
      <c r="I209" s="272"/>
      <c r="J209" s="257" t="s">
        <v>255</v>
      </c>
      <c r="K209" s="218" t="s">
        <v>246</v>
      </c>
      <c r="L209" s="218" t="s">
        <v>247</v>
      </c>
      <c r="O209" s="272"/>
      <c r="R209" s="251"/>
      <c r="S209" s="257"/>
      <c r="T209" s="273">
        <f>T199</f>
        <v>0.79</v>
      </c>
      <c r="U209" s="224">
        <f>E15</f>
        <v>19.666666666666668</v>
      </c>
      <c r="V209" s="224">
        <f>W46</f>
        <v>19.689411265818645</v>
      </c>
      <c r="W209" s="218">
        <f>(U209-V209)^2</f>
        <v>5.1731679058412386E-4</v>
      </c>
      <c r="X209" s="242">
        <f t="shared" si="65"/>
        <v>1431.3611111111109</v>
      </c>
      <c r="AH209" s="290"/>
      <c r="AI209" s="290"/>
      <c r="AJ209" s="290"/>
      <c r="AK209" s="290"/>
      <c r="AL209" s="290"/>
      <c r="AM209" s="290"/>
      <c r="AN209" s="290"/>
      <c r="AO209" s="290"/>
      <c r="AP209" s="290"/>
      <c r="AQ209" s="290"/>
      <c r="AR209" s="290"/>
    </row>
    <row r="210" spans="1:44">
      <c r="A210" s="257" t="s">
        <v>253</v>
      </c>
      <c r="B210" s="273">
        <f>B200</f>
        <v>0.04</v>
      </c>
      <c r="C210" s="224">
        <f>F13</f>
        <v>84.666666666666671</v>
      </c>
      <c r="D210" s="224">
        <f>F37</f>
        <v>69.802528747290495</v>
      </c>
      <c r="E210" s="224">
        <f>(C210-D210)^2</f>
        <v>220.94259608623673</v>
      </c>
      <c r="F210" s="242">
        <f>(C210-$A$211)^2</f>
        <v>2032.5069444444446</v>
      </c>
      <c r="I210" s="272"/>
      <c r="J210" s="257" t="s">
        <v>253</v>
      </c>
      <c r="K210" s="273">
        <f>K200</f>
        <v>0.04</v>
      </c>
      <c r="L210" s="224">
        <f>C210</f>
        <v>84.666666666666671</v>
      </c>
      <c r="M210" s="224">
        <f>O37</f>
        <v>84.649561936592121</v>
      </c>
      <c r="N210" s="224">
        <f>(L210-M210)^2</f>
        <v>2.9257179092321298E-4</v>
      </c>
      <c r="O210" s="242">
        <f>(L210-$J$211)^2</f>
        <v>2032.5069444444446</v>
      </c>
      <c r="R210" s="251"/>
      <c r="S210" s="257"/>
      <c r="T210" s="273">
        <f>T200</f>
        <v>1.21</v>
      </c>
      <c r="U210" s="224">
        <f>E16</f>
        <v>46</v>
      </c>
      <c r="V210" s="224">
        <f>W47</f>
        <v>46.148088857521557</v>
      </c>
      <c r="W210" s="218">
        <f>(U210-V210)^2</f>
        <v>2.1930309722040103E-2</v>
      </c>
      <c r="X210" s="242">
        <f>(U210-$S$208)^2</f>
        <v>132.24999999999983</v>
      </c>
      <c r="AH210" s="290"/>
      <c r="AI210" s="290"/>
      <c r="AJ210" s="290"/>
      <c r="AK210" s="290"/>
      <c r="AL210" s="290"/>
      <c r="AM210" s="290"/>
      <c r="AN210" s="290"/>
    </row>
    <row r="211" spans="1:44">
      <c r="A211" s="241">
        <f>AVERAGE(C210:C213)</f>
        <v>39.583333333333336</v>
      </c>
      <c r="B211" s="273">
        <f>B201</f>
        <v>0.42</v>
      </c>
      <c r="C211" s="224">
        <f>F14</f>
        <v>20.666666666666668</v>
      </c>
      <c r="D211" s="224">
        <f>F38</f>
        <v>24.953636077576586</v>
      </c>
      <c r="E211" s="224">
        <f t="shared" ref="E211:E213" si="66">(C211-D211)^2</f>
        <v>18.378106730077334</v>
      </c>
      <c r="F211" s="242">
        <f t="shared" ref="F211:F213" si="67">(C211-$A$211)^2</f>
        <v>357.84027777777783</v>
      </c>
      <c r="I211" s="272"/>
      <c r="J211" s="241">
        <f>AVERAGE(L210:L213)</f>
        <v>39.583333333333336</v>
      </c>
      <c r="K211" s="273">
        <f>K201</f>
        <v>0.42</v>
      </c>
      <c r="L211" s="224">
        <f t="shared" ref="L211:L213" si="68">C211</f>
        <v>20.666666666666668</v>
      </c>
      <c r="M211" s="224">
        <f>O38</f>
        <v>20.788454525956297</v>
      </c>
      <c r="N211" s="224">
        <f t="shared" ref="N211:N213" si="69">(L211-M211)^2</f>
        <v>1.4832282670350496E-2</v>
      </c>
      <c r="O211" s="242">
        <f t="shared" ref="O211:O213" si="70">(L211-$J$211)^2</f>
        <v>357.84027777777783</v>
      </c>
      <c r="R211" s="251"/>
      <c r="S211" s="257"/>
      <c r="W211" s="224">
        <f>SUM(W207:W210)</f>
        <v>32.608217517726928</v>
      </c>
      <c r="X211" s="242">
        <f>SUM(X207:X210)</f>
        <v>8720.9999999999982</v>
      </c>
      <c r="AH211" s="290"/>
      <c r="AI211" s="290"/>
      <c r="AJ211" s="290"/>
      <c r="AK211" s="290"/>
      <c r="AL211" s="290"/>
      <c r="AM211" s="290"/>
      <c r="AN211" s="290"/>
    </row>
    <row r="212" spans="1:44">
      <c r="A212" s="257"/>
      <c r="B212" s="273">
        <f>B202</f>
        <v>0.79</v>
      </c>
      <c r="C212" s="224">
        <f>F15</f>
        <v>17.666666666666668</v>
      </c>
      <c r="D212" s="224">
        <f>F39</f>
        <v>18.981527923875721</v>
      </c>
      <c r="E212" s="224">
        <f t="shared" si="66"/>
        <v>1.7288601257093708</v>
      </c>
      <c r="F212" s="242">
        <f t="shared" si="67"/>
        <v>480.34027777777783</v>
      </c>
      <c r="I212" s="272"/>
      <c r="J212" s="257"/>
      <c r="K212" s="273">
        <f>K202</f>
        <v>0.79</v>
      </c>
      <c r="L212" s="224">
        <f t="shared" si="68"/>
        <v>17.666666666666668</v>
      </c>
      <c r="M212" s="224">
        <f>O39</f>
        <v>17.40705001855461</v>
      </c>
      <c r="N212" s="224">
        <f t="shared" si="69"/>
        <v>6.7400803976939969E-2</v>
      </c>
      <c r="O212" s="242">
        <f t="shared" si="70"/>
        <v>480.34027777777783</v>
      </c>
      <c r="R212" s="251"/>
      <c r="S212" s="257"/>
      <c r="W212" s="218" t="s">
        <v>250</v>
      </c>
      <c r="X212" s="283">
        <f>W211/X211</f>
        <v>3.7390456963337843E-3</v>
      </c>
      <c r="AH212" s="290"/>
      <c r="AI212" s="290"/>
      <c r="AJ212" s="290"/>
      <c r="AK212" s="290"/>
      <c r="AL212" s="290"/>
      <c r="AM212" s="290"/>
      <c r="AN212" s="290"/>
    </row>
    <row r="213" spans="1:44">
      <c r="A213" s="257"/>
      <c r="B213" s="273">
        <f>B203</f>
        <v>1.21</v>
      </c>
      <c r="C213" s="224">
        <f>F16</f>
        <v>35.333333333333336</v>
      </c>
      <c r="D213" s="224">
        <f>F40</f>
        <v>34.597844550820078</v>
      </c>
      <c r="E213" s="224">
        <f t="shared" si="66"/>
        <v>0.54094374920283439</v>
      </c>
      <c r="F213" s="242">
        <f t="shared" si="67"/>
        <v>18.0625</v>
      </c>
      <c r="I213" s="272"/>
      <c r="J213" s="257"/>
      <c r="K213" s="273">
        <f>K203</f>
        <v>1.21</v>
      </c>
      <c r="L213" s="224">
        <f t="shared" si="68"/>
        <v>35.333333333333336</v>
      </c>
      <c r="M213" s="224">
        <f>O40</f>
        <v>35.389316707199676</v>
      </c>
      <c r="N213" s="224">
        <f t="shared" si="69"/>
        <v>3.1341381494584008E-3</v>
      </c>
      <c r="O213" s="242">
        <f t="shared" si="70"/>
        <v>18.0625</v>
      </c>
      <c r="R213" s="251"/>
      <c r="S213" s="257"/>
      <c r="W213" s="274" t="s">
        <v>251</v>
      </c>
      <c r="X213" s="284">
        <f>1-X212</f>
        <v>0.99626095430366624</v>
      </c>
      <c r="AH213" s="290"/>
      <c r="AI213" s="290"/>
      <c r="AJ213" s="290"/>
      <c r="AK213" s="290"/>
      <c r="AL213" s="290"/>
      <c r="AM213" s="290"/>
      <c r="AN213" s="290"/>
    </row>
    <row r="214" spans="1:44">
      <c r="A214" s="257"/>
      <c r="E214" s="224">
        <f>SUM(E210:E213)</f>
        <v>241.59050669122624</v>
      </c>
      <c r="F214" s="242">
        <f>SUM(F210:F213)</f>
        <v>2888.7500000000005</v>
      </c>
      <c r="I214" s="272"/>
      <c r="J214" s="257"/>
      <c r="N214" s="224">
        <f>SUM(N210:N213)</f>
        <v>8.5659796587672074E-2</v>
      </c>
      <c r="O214" s="242">
        <f>SUM(O210:O213)</f>
        <v>2888.7500000000005</v>
      </c>
      <c r="R214" s="251"/>
      <c r="S214" s="257"/>
      <c r="X214" s="272"/>
      <c r="AH214" s="290"/>
      <c r="AI214" s="290"/>
      <c r="AJ214" s="290"/>
      <c r="AK214" s="290"/>
      <c r="AL214" s="290"/>
      <c r="AM214" s="290"/>
      <c r="AN214" s="290"/>
    </row>
    <row r="215" spans="1:44">
      <c r="A215" s="257"/>
      <c r="E215" s="218" t="s">
        <v>250</v>
      </c>
      <c r="F215" s="283">
        <f>E214/F214</f>
        <v>8.3631503830800938E-2</v>
      </c>
      <c r="I215" s="272"/>
      <c r="J215" s="257"/>
      <c r="N215" s="218" t="s">
        <v>250</v>
      </c>
      <c r="O215" s="283">
        <f>N214/O214</f>
        <v>2.9652893669466747E-5</v>
      </c>
      <c r="R215" s="251"/>
      <c r="S215" s="257"/>
      <c r="T215" s="218" t="s">
        <v>241</v>
      </c>
      <c r="U215" s="218" t="s">
        <v>14</v>
      </c>
      <c r="V215" s="218" t="s">
        <v>242</v>
      </c>
      <c r="W215" s="218" t="s">
        <v>243</v>
      </c>
      <c r="X215" s="272" t="s">
        <v>244</v>
      </c>
      <c r="AH215" s="290"/>
      <c r="AI215" s="290"/>
      <c r="AJ215" s="290"/>
      <c r="AK215" s="290"/>
      <c r="AL215" s="290"/>
      <c r="AM215" s="290"/>
      <c r="AN215" s="290"/>
    </row>
    <row r="216" spans="1:44">
      <c r="A216" s="257"/>
      <c r="E216" s="274" t="s">
        <v>251</v>
      </c>
      <c r="F216" s="284">
        <f>1-F215</f>
        <v>0.91636849616919902</v>
      </c>
      <c r="I216" s="272"/>
      <c r="J216" s="257"/>
      <c r="N216" s="274" t="s">
        <v>251</v>
      </c>
      <c r="O216" s="284">
        <f>1-O215</f>
        <v>0.99997034710633048</v>
      </c>
      <c r="R216" s="251"/>
      <c r="S216" s="257" t="s">
        <v>255</v>
      </c>
      <c r="T216" s="218" t="s">
        <v>246</v>
      </c>
      <c r="U216" s="218" t="s">
        <v>247</v>
      </c>
      <c r="X216" s="272"/>
      <c r="AH216" s="290"/>
      <c r="AI216" s="290"/>
      <c r="AJ216" s="290"/>
      <c r="AK216" s="290"/>
      <c r="AL216" s="290"/>
      <c r="AM216" s="290"/>
      <c r="AN216" s="290"/>
    </row>
    <row r="217" spans="1:44">
      <c r="A217" s="257"/>
      <c r="F217" s="272"/>
      <c r="I217" s="272"/>
      <c r="J217" s="257"/>
      <c r="O217" s="272"/>
      <c r="R217" s="251"/>
      <c r="S217" s="257" t="s">
        <v>253</v>
      </c>
      <c r="T217" s="273">
        <f>T207</f>
        <v>0.04</v>
      </c>
      <c r="U217" s="224">
        <f>F13</f>
        <v>84.666666666666671</v>
      </c>
      <c r="V217" s="224">
        <f>X44</f>
        <v>83.344891046712647</v>
      </c>
      <c r="W217" s="224">
        <f>(U217-V217)^2</f>
        <v>1.7470907895048464</v>
      </c>
      <c r="X217" s="242">
        <f>(U217-$S$218)^2</f>
        <v>2032.5069444444446</v>
      </c>
      <c r="AH217" s="290"/>
      <c r="AI217" s="290"/>
      <c r="AJ217" s="290"/>
      <c r="AK217" s="290"/>
      <c r="AL217" s="290"/>
      <c r="AM217" s="290"/>
      <c r="AN217" s="290"/>
    </row>
    <row r="218" spans="1:44">
      <c r="A218" s="257"/>
      <c r="B218" s="218" t="s">
        <v>241</v>
      </c>
      <c r="C218" s="218" t="s">
        <v>14</v>
      </c>
      <c r="D218" s="218" t="s">
        <v>242</v>
      </c>
      <c r="E218" s="218" t="s">
        <v>243</v>
      </c>
      <c r="F218" s="272" t="s">
        <v>244</v>
      </c>
      <c r="I218" s="272"/>
      <c r="J218" s="257"/>
      <c r="K218" s="218" t="s">
        <v>241</v>
      </c>
      <c r="L218" s="218" t="s">
        <v>14</v>
      </c>
      <c r="M218" s="218" t="s">
        <v>242</v>
      </c>
      <c r="N218" s="218" t="s">
        <v>243</v>
      </c>
      <c r="O218" s="272" t="s">
        <v>244</v>
      </c>
      <c r="R218" s="251"/>
      <c r="S218" s="241">
        <f>AVERAGE(U217:U220)</f>
        <v>39.583333333333336</v>
      </c>
      <c r="T218" s="273">
        <f>T208</f>
        <v>0.42</v>
      </c>
      <c r="U218" s="224">
        <f>F14</f>
        <v>20.666666666666668</v>
      </c>
      <c r="V218" s="224">
        <f>X45</f>
        <v>25.252173827723315</v>
      </c>
      <c r="W218" s="224">
        <f t="shared" ref="W218:W220" si="71">(U218-V218)^2</f>
        <v>21.026875924101791</v>
      </c>
      <c r="X218" s="242">
        <f t="shared" ref="X218:X220" si="72">(U218-$S$218)^2</f>
        <v>357.84027777777783</v>
      </c>
      <c r="AH218" s="290"/>
      <c r="AI218" s="290"/>
      <c r="AJ218" s="290"/>
      <c r="AK218" s="290"/>
      <c r="AL218" s="290"/>
      <c r="AM218" s="290"/>
      <c r="AN218" s="290"/>
    </row>
    <row r="219" spans="1:44">
      <c r="A219" s="257" t="s">
        <v>256</v>
      </c>
      <c r="B219" s="218" t="s">
        <v>246</v>
      </c>
      <c r="C219" s="218" t="s">
        <v>247</v>
      </c>
      <c r="F219" s="272"/>
      <c r="I219" s="272"/>
      <c r="J219" s="257" t="s">
        <v>256</v>
      </c>
      <c r="K219" s="218" t="s">
        <v>246</v>
      </c>
      <c r="L219" s="218" t="s">
        <v>247</v>
      </c>
      <c r="O219" s="272"/>
      <c r="R219" s="251"/>
      <c r="S219" s="257"/>
      <c r="T219" s="273">
        <f>T209</f>
        <v>0.79</v>
      </c>
      <c r="U219" s="224">
        <f>F15</f>
        <v>17.666666666666668</v>
      </c>
      <c r="V219" s="224">
        <f>X46</f>
        <v>18.380430094414937</v>
      </c>
      <c r="W219" s="224">
        <f t="shared" si="71"/>
        <v>0.50945823079095831</v>
      </c>
      <c r="X219" s="242">
        <f t="shared" si="72"/>
        <v>480.34027777777783</v>
      </c>
      <c r="AH219" s="290"/>
      <c r="AI219" s="290"/>
      <c r="AJ219" s="290"/>
      <c r="AK219" s="290"/>
      <c r="AL219" s="290"/>
      <c r="AM219" s="290"/>
      <c r="AN219" s="290"/>
    </row>
    <row r="220" spans="1:44">
      <c r="A220" s="257" t="s">
        <v>253</v>
      </c>
      <c r="B220" s="273">
        <f>B210</f>
        <v>0.04</v>
      </c>
      <c r="C220" s="224">
        <f>G13</f>
        <v>81.666666666666671</v>
      </c>
      <c r="D220" s="224">
        <f>G37</f>
        <v>65.145149372080951</v>
      </c>
      <c r="E220" s="224">
        <f>(C220-D220)^2</f>
        <v>272.96053371529507</v>
      </c>
      <c r="F220" s="242">
        <f>(C220-$A$221)^2</f>
        <v>1914.0625000000007</v>
      </c>
      <c r="I220" s="272"/>
      <c r="J220" s="257" t="s">
        <v>253</v>
      </c>
      <c r="K220" s="273">
        <f>K210</f>
        <v>0.04</v>
      </c>
      <c r="L220" s="224">
        <f>C220</f>
        <v>81.666666666666671</v>
      </c>
      <c r="M220" s="224">
        <f>P37</f>
        <v>81.647432651051659</v>
      </c>
      <c r="N220" s="224">
        <f>(L220-M220)^2</f>
        <v>3.699473566785396E-4</v>
      </c>
      <c r="O220" s="242">
        <f>(L220-$J$221)^2</f>
        <v>1914.0625000000007</v>
      </c>
      <c r="R220" s="251"/>
      <c r="S220" s="257"/>
      <c r="T220" s="273">
        <f>T210</f>
        <v>1.21</v>
      </c>
      <c r="U220" s="224">
        <f>F16</f>
        <v>35.333333333333336</v>
      </c>
      <c r="V220" s="224">
        <f>X47</f>
        <v>36.081044088735922</v>
      </c>
      <c r="W220" s="224">
        <f t="shared" si="71"/>
        <v>0.55907137374470628</v>
      </c>
      <c r="X220" s="242">
        <f t="shared" si="72"/>
        <v>18.0625</v>
      </c>
      <c r="AH220" s="290"/>
      <c r="AI220" s="290"/>
      <c r="AJ220" s="290"/>
      <c r="AK220" s="290"/>
      <c r="AL220" s="290"/>
      <c r="AM220" s="290"/>
      <c r="AN220" s="290"/>
    </row>
    <row r="221" spans="1:44">
      <c r="A221" s="241">
        <f>AVERAGE(C220:C223)</f>
        <v>37.916666666666664</v>
      </c>
      <c r="B221" s="273">
        <f>B211</f>
        <v>0.42</v>
      </c>
      <c r="C221" s="224">
        <f>G14</f>
        <v>20.333333333333332</v>
      </c>
      <c r="D221" s="224">
        <f>G38</f>
        <v>23.754754305696281</v>
      </c>
      <c r="E221" s="224">
        <f>(C221-D221)^2</f>
        <v>11.706121470125026</v>
      </c>
      <c r="F221" s="242">
        <f t="shared" ref="F221:F223" si="73">(C221-$A$221)^2</f>
        <v>309.17361111111109</v>
      </c>
      <c r="I221" s="272"/>
      <c r="J221" s="241">
        <f>AVERAGE(L220:L223)</f>
        <v>37.916666666666664</v>
      </c>
      <c r="K221" s="273">
        <f>K211</f>
        <v>0.42</v>
      </c>
      <c r="L221" s="224">
        <f t="shared" ref="L221:L223" si="74">C221</f>
        <v>20.333333333333332</v>
      </c>
      <c r="M221" s="224">
        <f>P38</f>
        <v>20.452471672011551</v>
      </c>
      <c r="N221" s="224">
        <f>(L221-M221)^2</f>
        <v>1.4193943743006063E-2</v>
      </c>
      <c r="O221" s="242">
        <f t="shared" ref="O221:O223" si="75">(L221-$J$221)^2</f>
        <v>309.17361111111109</v>
      </c>
      <c r="R221" s="251"/>
      <c r="S221" s="257"/>
      <c r="W221" s="224">
        <f>SUM(W217:W220)</f>
        <v>23.842496318142302</v>
      </c>
      <c r="X221" s="242">
        <f>SUM(X217:X220)</f>
        <v>2888.7500000000005</v>
      </c>
      <c r="AH221" s="290"/>
      <c r="AI221" s="290"/>
      <c r="AJ221" s="290"/>
      <c r="AK221" s="290"/>
      <c r="AL221" s="290"/>
      <c r="AM221" s="290"/>
      <c r="AN221" s="290"/>
    </row>
    <row r="222" spans="1:44">
      <c r="A222" s="257"/>
      <c r="B222" s="273">
        <f>B212</f>
        <v>0.79</v>
      </c>
      <c r="C222" s="224">
        <f>G15</f>
        <v>16.333333333333332</v>
      </c>
      <c r="D222" s="224">
        <f>G39</f>
        <v>16.979697111111829</v>
      </c>
      <c r="E222" s="224">
        <f>(C222-D222)^2</f>
        <v>0.41778613322408992</v>
      </c>
      <c r="F222" s="242">
        <f t="shared" si="73"/>
        <v>465.84027777777771</v>
      </c>
      <c r="I222" s="272"/>
      <c r="J222" s="257"/>
      <c r="K222" s="273">
        <f>K212</f>
        <v>0.79</v>
      </c>
      <c r="L222" s="224">
        <f t="shared" si="74"/>
        <v>16.333333333333332</v>
      </c>
      <c r="M222" s="224">
        <f>P39</f>
        <v>16.09277125323575</v>
      </c>
      <c r="N222" s="224">
        <f>(L222-M222)^2</f>
        <v>5.7870114380875699E-2</v>
      </c>
      <c r="O222" s="242">
        <f t="shared" si="75"/>
        <v>465.84027777777771</v>
      </c>
      <c r="R222" s="251"/>
      <c r="S222" s="257"/>
      <c r="W222" s="218" t="s">
        <v>250</v>
      </c>
      <c r="X222" s="283">
        <f>W221/X221</f>
        <v>8.2535686086169791E-3</v>
      </c>
      <c r="AH222" s="290"/>
      <c r="AI222" s="290"/>
      <c r="AJ222" s="290"/>
      <c r="AK222" s="290"/>
      <c r="AL222" s="290"/>
      <c r="AM222" s="290"/>
      <c r="AN222" s="290"/>
    </row>
    <row r="223" spans="1:44">
      <c r="A223" s="257"/>
      <c r="B223" s="273">
        <f>B213</f>
        <v>1.21</v>
      </c>
      <c r="C223" s="224">
        <f>G16</f>
        <v>33.333333333333336</v>
      </c>
      <c r="D223" s="224">
        <f>G40</f>
        <v>31.580698980900987</v>
      </c>
      <c r="E223" s="224">
        <f>(C223-D223)^2</f>
        <v>3.0717271733259581</v>
      </c>
      <c r="F223" s="242">
        <f t="shared" si="73"/>
        <v>21.0069444444444</v>
      </c>
      <c r="I223" s="272"/>
      <c r="J223" s="257"/>
      <c r="K223" s="273">
        <f>K213</f>
        <v>1.21</v>
      </c>
      <c r="L223" s="224">
        <f t="shared" si="74"/>
        <v>33.333333333333336</v>
      </c>
      <c r="M223" s="224">
        <f>P40</f>
        <v>33.385029369124439</v>
      </c>
      <c r="N223" s="224">
        <f>(L223-M223)^2</f>
        <v>2.6724801165150186E-3</v>
      </c>
      <c r="O223" s="242">
        <f t="shared" si="75"/>
        <v>21.0069444444444</v>
      </c>
      <c r="R223" s="251"/>
      <c r="S223" s="257"/>
      <c r="W223" s="274" t="s">
        <v>251</v>
      </c>
      <c r="X223" s="284">
        <f>1-X222</f>
        <v>0.99174643139138308</v>
      </c>
      <c r="AH223" s="290"/>
      <c r="AI223" s="290"/>
      <c r="AJ223" s="290"/>
      <c r="AK223" s="290"/>
      <c r="AL223" s="290"/>
      <c r="AM223" s="290"/>
      <c r="AN223" s="290"/>
    </row>
    <row r="224" spans="1:44">
      <c r="A224" s="257"/>
      <c r="E224" s="224">
        <f>SUM(E220:E223)</f>
        <v>288.15616849197011</v>
      </c>
      <c r="F224" s="242">
        <f>SUM(F220:F223)</f>
        <v>2710.0833333333339</v>
      </c>
      <c r="I224" s="272"/>
      <c r="J224" s="257"/>
      <c r="N224" s="224">
        <f>SUM(N220:N223)</f>
        <v>7.5106485597075334E-2</v>
      </c>
      <c r="O224" s="242">
        <f>SUM(O220:O223)</f>
        <v>2710.0833333333339</v>
      </c>
      <c r="R224" s="251"/>
      <c r="S224" s="257"/>
      <c r="X224" s="272"/>
      <c r="AH224" s="290"/>
      <c r="AI224" s="290"/>
      <c r="AJ224" s="290"/>
      <c r="AK224" s="290"/>
      <c r="AL224" s="290"/>
      <c r="AM224" s="290"/>
      <c r="AN224" s="290"/>
    </row>
    <row r="225" spans="1:24">
      <c r="A225" s="257"/>
      <c r="E225" s="218" t="s">
        <v>250</v>
      </c>
      <c r="F225" s="283">
        <f>E224/F224</f>
        <v>0.10632741987957445</v>
      </c>
      <c r="I225" s="272"/>
      <c r="J225" s="257"/>
      <c r="N225" s="218" t="s">
        <v>250</v>
      </c>
      <c r="O225" s="283">
        <f>N224/O224</f>
        <v>2.7713718125669685E-5</v>
      </c>
      <c r="R225" s="251"/>
      <c r="S225" s="257"/>
      <c r="T225" s="218" t="s">
        <v>241</v>
      </c>
      <c r="U225" s="218" t="s">
        <v>14</v>
      </c>
      <c r="V225" s="218" t="s">
        <v>242</v>
      </c>
      <c r="W225" s="218" t="s">
        <v>243</v>
      </c>
      <c r="X225" s="272" t="s">
        <v>244</v>
      </c>
    </row>
    <row r="226" spans="1:24">
      <c r="A226" s="259"/>
      <c r="B226" s="262"/>
      <c r="C226" s="262"/>
      <c r="D226" s="262"/>
      <c r="E226" s="276" t="s">
        <v>251</v>
      </c>
      <c r="F226" s="285">
        <f>1-F225</f>
        <v>0.8936725801204255</v>
      </c>
      <c r="I226" s="272"/>
      <c r="J226" s="259"/>
      <c r="K226" s="262"/>
      <c r="L226" s="262"/>
      <c r="M226" s="262"/>
      <c r="N226" s="276" t="s">
        <v>251</v>
      </c>
      <c r="O226" s="285">
        <f>1-O225</f>
        <v>0.99997228628187429</v>
      </c>
      <c r="R226" s="251"/>
      <c r="S226" s="257" t="s">
        <v>256</v>
      </c>
      <c r="T226" s="218" t="s">
        <v>246</v>
      </c>
      <c r="U226" s="218" t="s">
        <v>247</v>
      </c>
      <c r="X226" s="272"/>
    </row>
    <row r="227" spans="1:24">
      <c r="I227" s="272"/>
      <c r="R227" s="251"/>
      <c r="S227" s="257" t="s">
        <v>253</v>
      </c>
      <c r="T227" s="273">
        <f>T217</f>
        <v>0.04</v>
      </c>
      <c r="U227" s="224">
        <f>G13</f>
        <v>81.666666666666671</v>
      </c>
      <c r="V227" s="224">
        <f>Y44</f>
        <v>83.343612064257229</v>
      </c>
      <c r="W227" s="224">
        <f>(U227-V227)^2</f>
        <v>2.8121458665001535</v>
      </c>
      <c r="X227" s="242">
        <f>(U227-$S$228)^2</f>
        <v>1914.0625000000007</v>
      </c>
    </row>
    <row r="228" spans="1:24">
      <c r="A228" s="269" t="s">
        <v>257</v>
      </c>
      <c r="B228" s="270"/>
      <c r="C228" s="270"/>
      <c r="D228" s="270"/>
      <c r="E228" s="270"/>
      <c r="F228" s="271"/>
      <c r="I228" s="272"/>
      <c r="J228" s="269" t="s">
        <v>257</v>
      </c>
      <c r="K228" s="270"/>
      <c r="L228" s="270"/>
      <c r="M228" s="270"/>
      <c r="N228" s="270"/>
      <c r="O228" s="271"/>
      <c r="R228" s="251"/>
      <c r="S228" s="241">
        <f>AVERAGE(U227:U230)</f>
        <v>37.916666666666664</v>
      </c>
      <c r="T228" s="273">
        <f>T218</f>
        <v>0.42</v>
      </c>
      <c r="U228" s="224">
        <f>G14</f>
        <v>20.333333333333332</v>
      </c>
      <c r="V228" s="224">
        <f>Y45</f>
        <v>25.824801588970598</v>
      </c>
      <c r="W228" s="224">
        <f>(U228-V228)^2</f>
        <v>30.15622360267179</v>
      </c>
      <c r="X228" s="242">
        <f t="shared" ref="X228:X230" si="76">(U228-$S$228)^2</f>
        <v>309.17361111111109</v>
      </c>
    </row>
    <row r="229" spans="1:24">
      <c r="A229" s="257"/>
      <c r="B229" s="218" t="s">
        <v>241</v>
      </c>
      <c r="C229" s="218" t="s">
        <v>14</v>
      </c>
      <c r="D229" s="218" t="s">
        <v>242</v>
      </c>
      <c r="E229" s="218" t="s">
        <v>243</v>
      </c>
      <c r="F229" s="272" t="s">
        <v>244</v>
      </c>
      <c r="I229" s="272"/>
      <c r="J229" s="257"/>
      <c r="K229" s="218" t="s">
        <v>241</v>
      </c>
      <c r="L229" s="218" t="s">
        <v>14</v>
      </c>
      <c r="M229" s="218" t="s">
        <v>242</v>
      </c>
      <c r="N229" s="218" t="s">
        <v>243</v>
      </c>
      <c r="O229" s="272" t="s">
        <v>244</v>
      </c>
      <c r="R229" s="251"/>
      <c r="S229" s="257"/>
      <c r="T229" s="273">
        <f>T219</f>
        <v>0.79</v>
      </c>
      <c r="U229" s="224">
        <f>G15</f>
        <v>16.333333333333332</v>
      </c>
      <c r="V229" s="224">
        <f>Y46</f>
        <v>17.518612593053568</v>
      </c>
      <c r="W229" s="224">
        <f>(U229-V229)^2</f>
        <v>1.4048869235229506</v>
      </c>
      <c r="X229" s="242">
        <f>(U229-$S$228)^2</f>
        <v>465.84027777777771</v>
      </c>
    </row>
    <row r="230" spans="1:24">
      <c r="A230" s="257" t="s">
        <v>74</v>
      </c>
      <c r="B230" s="218" t="s">
        <v>222</v>
      </c>
      <c r="C230" s="218" t="s">
        <v>247</v>
      </c>
      <c r="F230" s="272"/>
      <c r="I230" s="272"/>
      <c r="J230" s="257" t="s">
        <v>74</v>
      </c>
      <c r="K230" s="218" t="s">
        <v>222</v>
      </c>
      <c r="L230" s="218" t="s">
        <v>247</v>
      </c>
      <c r="O230" s="272"/>
      <c r="R230" s="251"/>
      <c r="S230" s="257"/>
      <c r="T230" s="273">
        <f>T220</f>
        <v>1.21</v>
      </c>
      <c r="U230" s="224">
        <f>G16</f>
        <v>33.333333333333336</v>
      </c>
      <c r="V230" s="224">
        <f>Y47</f>
        <v>35.185070610795663</v>
      </c>
      <c r="W230" s="224">
        <f>(U230-V230)^2</f>
        <v>3.4289309447435903</v>
      </c>
      <c r="X230" s="242">
        <f t="shared" si="76"/>
        <v>21.0069444444444</v>
      </c>
    </row>
    <row r="231" spans="1:24">
      <c r="A231" s="257" t="s">
        <v>248</v>
      </c>
      <c r="B231" s="224">
        <v>100</v>
      </c>
      <c r="C231" s="224">
        <f>C5</f>
        <v>659.33333333333337</v>
      </c>
      <c r="D231" s="224">
        <f>C37</f>
        <v>667.17019531555377</v>
      </c>
      <c r="E231" s="224">
        <f>(C231-D231)^2</f>
        <v>61.41640572837143</v>
      </c>
      <c r="F231" s="242">
        <f>(C231-$A$232)^2</f>
        <v>188761.28444444446</v>
      </c>
      <c r="I231" s="272"/>
      <c r="J231" s="257" t="s">
        <v>248</v>
      </c>
      <c r="K231" s="224">
        <v>100</v>
      </c>
      <c r="L231" s="224">
        <f>C231</f>
        <v>659.33333333333337</v>
      </c>
      <c r="M231" s="224">
        <f>L37</f>
        <v>659.33734581850808</v>
      </c>
      <c r="N231" s="224">
        <f>(L231-M231)^2</f>
        <v>1.6100037277286077E-5</v>
      </c>
      <c r="O231" s="242">
        <f>(L231-$J$232)^2</f>
        <v>188761.28444444446</v>
      </c>
      <c r="R231" s="251"/>
      <c r="S231" s="257"/>
      <c r="W231" s="224">
        <f>SUM(W227:W230)</f>
        <v>37.80218733743849</v>
      </c>
      <c r="X231" s="242">
        <f>SUM(X227:X230)</f>
        <v>2710.0833333333339</v>
      </c>
    </row>
    <row r="232" spans="1:24">
      <c r="A232" s="241">
        <f>AVERAGE(C231:C235)</f>
        <v>224.8666666666667</v>
      </c>
      <c r="B232" s="224">
        <v>200</v>
      </c>
      <c r="C232" s="224">
        <f>C6</f>
        <v>162</v>
      </c>
      <c r="D232" s="224">
        <f>D37</f>
        <v>147.96539701427409</v>
      </c>
      <c r="E232" s="224">
        <f>(C232-D232)^2</f>
        <v>196.97008096694665</v>
      </c>
      <c r="F232" s="242">
        <f t="shared" ref="F232:F235" si="77">(C232-$A$232)^2</f>
        <v>3952.2177777777824</v>
      </c>
      <c r="I232" s="272"/>
      <c r="J232" s="241">
        <f>AVERAGE(L231:L235)</f>
        <v>224.8666666666667</v>
      </c>
      <c r="K232" s="224">
        <v>200</v>
      </c>
      <c r="L232" s="224">
        <f t="shared" ref="L232:L235" si="78">C232</f>
        <v>162</v>
      </c>
      <c r="M232" s="224">
        <f>M37</f>
        <v>161.98412808812392</v>
      </c>
      <c r="N232" s="224">
        <f>(L232-M232)^2</f>
        <v>2.5191758660191374E-4</v>
      </c>
      <c r="O232" s="242">
        <f t="shared" ref="O232:O235" si="79">(L232-$A$232)^2</f>
        <v>3952.2177777777824</v>
      </c>
      <c r="R232" s="251"/>
      <c r="S232" s="257"/>
      <c r="W232" s="218" t="s">
        <v>250</v>
      </c>
      <c r="X232" s="283">
        <f>W231/X231</f>
        <v>1.3948717691622698E-2</v>
      </c>
    </row>
    <row r="233" spans="1:24">
      <c r="A233" s="257"/>
      <c r="B233" s="224">
        <v>300</v>
      </c>
      <c r="C233" s="224">
        <f>C7</f>
        <v>136.66666666666666</v>
      </c>
      <c r="D233" s="224">
        <f>E37</f>
        <v>117.56683946706343</v>
      </c>
      <c r="E233" s="224">
        <f>(C233-D233)^2</f>
        <v>364.80339905470322</v>
      </c>
      <c r="F233" s="242">
        <f t="shared" si="77"/>
        <v>7779.240000000008</v>
      </c>
      <c r="I233" s="272"/>
      <c r="J233" s="257"/>
      <c r="K233" s="224">
        <v>300</v>
      </c>
      <c r="L233" s="224">
        <f t="shared" si="78"/>
        <v>136.66666666666666</v>
      </c>
      <c r="M233" s="224">
        <f>N37</f>
        <v>136.64495836974734</v>
      </c>
      <c r="N233" s="224">
        <f>(L233-M233)^2</f>
        <v>4.7125015513711105E-4</v>
      </c>
      <c r="O233" s="242">
        <f t="shared" si="79"/>
        <v>7779.240000000008</v>
      </c>
      <c r="R233" s="251"/>
      <c r="S233" s="259"/>
      <c r="T233" s="262"/>
      <c r="U233" s="262"/>
      <c r="V233" s="262"/>
      <c r="W233" s="276" t="s">
        <v>251</v>
      </c>
      <c r="X233" s="285">
        <f>1-X232</f>
        <v>0.98605128230837735</v>
      </c>
    </row>
    <row r="234" spans="1:24">
      <c r="A234" s="257"/>
      <c r="B234" s="224">
        <v>400</v>
      </c>
      <c r="C234" s="224">
        <f>C8</f>
        <v>84.666666666666671</v>
      </c>
      <c r="D234" s="224">
        <f>F37</f>
        <v>69.802528747290495</v>
      </c>
      <c r="E234" s="224">
        <f>(C234-D234)^2</f>
        <v>220.94259608623673</v>
      </c>
      <c r="F234" s="242">
        <f t="shared" si="77"/>
        <v>19656.040000000012</v>
      </c>
      <c r="I234" s="272"/>
      <c r="J234" s="257"/>
      <c r="K234" s="224">
        <v>400</v>
      </c>
      <c r="L234" s="224">
        <f t="shared" si="78"/>
        <v>84.666666666666671</v>
      </c>
      <c r="M234" s="224">
        <f>O37</f>
        <v>84.649561936592121</v>
      </c>
      <c r="N234" s="224">
        <f>(L234-M234)^2</f>
        <v>2.9257179092321298E-4</v>
      </c>
      <c r="O234" s="242">
        <f t="shared" si="79"/>
        <v>19656.040000000012</v>
      </c>
      <c r="R234" s="251"/>
    </row>
    <row r="235" spans="1:24">
      <c r="A235" s="257"/>
      <c r="B235" s="224">
        <v>500</v>
      </c>
      <c r="C235" s="224">
        <f>C9</f>
        <v>81.666666666666671</v>
      </c>
      <c r="D235" s="224">
        <f>G37</f>
        <v>65.145149372080951</v>
      </c>
      <c r="E235" s="224">
        <f>(C235-D235)^2</f>
        <v>272.96053371529507</v>
      </c>
      <c r="F235" s="242">
        <f t="shared" si="77"/>
        <v>20506.240000000013</v>
      </c>
      <c r="I235" s="272"/>
      <c r="J235" s="257"/>
      <c r="K235" s="224">
        <v>500</v>
      </c>
      <c r="L235" s="224">
        <f t="shared" si="78"/>
        <v>81.666666666666671</v>
      </c>
      <c r="M235" s="224">
        <f>P37</f>
        <v>81.647432651051659</v>
      </c>
      <c r="N235" s="224">
        <f>(L235-M235)^2</f>
        <v>3.699473566785396E-4</v>
      </c>
      <c r="O235" s="242">
        <f t="shared" si="79"/>
        <v>20506.240000000013</v>
      </c>
      <c r="R235" s="251"/>
      <c r="S235" s="269" t="s">
        <v>257</v>
      </c>
      <c r="T235" s="270"/>
      <c r="U235" s="270"/>
      <c r="V235" s="270"/>
      <c r="W235" s="270"/>
      <c r="X235" s="271"/>
    </row>
    <row r="236" spans="1:24">
      <c r="A236" s="257"/>
      <c r="D236" s="218" t="s">
        <v>249</v>
      </c>
      <c r="E236" s="224">
        <f>SUM(E231:E235)</f>
        <v>1117.093015551553</v>
      </c>
      <c r="F236" s="242">
        <f>SUM(F231:F235)</f>
        <v>240655.02222222229</v>
      </c>
      <c r="I236" s="272"/>
      <c r="J236" s="257"/>
      <c r="M236" s="218" t="s">
        <v>249</v>
      </c>
      <c r="N236" s="224">
        <f>SUM(N231:N235)</f>
        <v>1.4017869266180634E-3</v>
      </c>
      <c r="O236" s="242">
        <f>SUM(O231:O235)</f>
        <v>240655.02222222229</v>
      </c>
      <c r="R236" s="251"/>
      <c r="S236" s="257"/>
      <c r="T236" s="218" t="s">
        <v>241</v>
      </c>
      <c r="U236" s="218" t="s">
        <v>14</v>
      </c>
      <c r="V236" s="218" t="s">
        <v>242</v>
      </c>
      <c r="W236" s="218" t="s">
        <v>243</v>
      </c>
      <c r="X236" s="272" t="s">
        <v>244</v>
      </c>
    </row>
    <row r="237" spans="1:24">
      <c r="A237" s="257"/>
      <c r="E237" s="218" t="s">
        <v>250</v>
      </c>
      <c r="F237" s="281">
        <f>E236/F236</f>
        <v>4.6418853229666761E-3</v>
      </c>
      <c r="I237" s="272"/>
      <c r="J237" s="257"/>
      <c r="N237" s="218" t="s">
        <v>250</v>
      </c>
      <c r="O237" s="281">
        <f>N236/O236</f>
        <v>5.8248812498234294E-9</v>
      </c>
      <c r="R237" s="251"/>
      <c r="S237" s="257" t="s">
        <v>74</v>
      </c>
      <c r="T237" s="218" t="s">
        <v>222</v>
      </c>
      <c r="U237" s="218" t="s">
        <v>247</v>
      </c>
      <c r="X237" s="272"/>
    </row>
    <row r="238" spans="1:24">
      <c r="A238" s="257"/>
      <c r="E238" s="274" t="s">
        <v>251</v>
      </c>
      <c r="F238" s="275">
        <f>1-F237</f>
        <v>0.99535811467703328</v>
      </c>
      <c r="I238" s="272"/>
      <c r="J238" s="257"/>
      <c r="N238" s="274" t="s">
        <v>251</v>
      </c>
      <c r="O238" s="275">
        <f>1-O237</f>
        <v>0.99999999417511876</v>
      </c>
      <c r="R238" s="251"/>
      <c r="S238" s="257" t="s">
        <v>248</v>
      </c>
      <c r="T238" s="224">
        <v>100</v>
      </c>
      <c r="U238" s="224">
        <f>C231</f>
        <v>659.33333333333337</v>
      </c>
      <c r="V238" s="224">
        <f>U44</f>
        <v>660.81910844582683</v>
      </c>
      <c r="W238" s="224">
        <f>(U238-V238)^2</f>
        <v>2.2075276849049437</v>
      </c>
      <c r="X238" s="242">
        <f>(U238-$S$239)^2</f>
        <v>188761.28444444446</v>
      </c>
    </row>
    <row r="239" spans="1:24">
      <c r="A239" s="257"/>
      <c r="F239" s="272"/>
      <c r="I239" s="272"/>
      <c r="J239" s="257"/>
      <c r="O239" s="272"/>
      <c r="R239" s="251"/>
      <c r="S239" s="241">
        <f>AVERAGE(U238:U242)</f>
        <v>224.8666666666667</v>
      </c>
      <c r="T239" s="224">
        <v>200</v>
      </c>
      <c r="U239" s="224">
        <f t="shared" ref="U239:U242" si="80">C232</f>
        <v>162</v>
      </c>
      <c r="V239" s="224">
        <f>V44</f>
        <v>153.0710777304599</v>
      </c>
      <c r="W239" s="224">
        <f>(U239-V239)^2</f>
        <v>79.725652895489048</v>
      </c>
      <c r="X239" s="242">
        <f t="shared" ref="X239:X242" si="81">(U239-$S$239)^2</f>
        <v>3952.2177777777824</v>
      </c>
    </row>
    <row r="240" spans="1:24">
      <c r="A240" s="257"/>
      <c r="B240" s="218" t="s">
        <v>241</v>
      </c>
      <c r="C240" s="218" t="s">
        <v>14</v>
      </c>
      <c r="D240" s="218" t="s">
        <v>242</v>
      </c>
      <c r="E240" s="218" t="s">
        <v>243</v>
      </c>
      <c r="F240" s="272" t="s">
        <v>244</v>
      </c>
      <c r="I240" s="272"/>
      <c r="J240" s="257"/>
      <c r="K240" s="218" t="s">
        <v>241</v>
      </c>
      <c r="L240" s="218" t="s">
        <v>14</v>
      </c>
      <c r="M240" s="218" t="s">
        <v>242</v>
      </c>
      <c r="N240" s="218" t="s">
        <v>243</v>
      </c>
      <c r="O240" s="272" t="s">
        <v>244</v>
      </c>
      <c r="R240" s="251"/>
      <c r="S240" s="257"/>
      <c r="T240" s="224">
        <v>300</v>
      </c>
      <c r="U240" s="224">
        <f t="shared" si="80"/>
        <v>136.66666666666666</v>
      </c>
      <c r="V240" s="224">
        <f>W44</f>
        <v>135.98482008302128</v>
      </c>
      <c r="W240" s="224">
        <f>(U240-V240)^2</f>
        <v>0.46491476362887768</v>
      </c>
      <c r="X240" s="242">
        <f t="shared" si="81"/>
        <v>7779.240000000008</v>
      </c>
    </row>
    <row r="241" spans="1:24">
      <c r="A241" s="257" t="s">
        <v>71</v>
      </c>
      <c r="B241" s="218" t="s">
        <v>222</v>
      </c>
      <c r="C241" s="218" t="s">
        <v>247</v>
      </c>
      <c r="F241" s="272"/>
      <c r="I241" s="272"/>
      <c r="J241" s="257" t="s">
        <v>71</v>
      </c>
      <c r="K241" s="218" t="s">
        <v>222</v>
      </c>
      <c r="L241" s="218" t="s">
        <v>247</v>
      </c>
      <c r="O241" s="272"/>
      <c r="R241" s="251"/>
      <c r="S241" s="257"/>
      <c r="T241" s="224">
        <v>400</v>
      </c>
      <c r="U241" s="224">
        <f t="shared" si="80"/>
        <v>84.666666666666671</v>
      </c>
      <c r="V241" s="224">
        <f>X44</f>
        <v>83.344891046712647</v>
      </c>
      <c r="W241" s="224">
        <f>(U241-V241)^2</f>
        <v>1.7470907895048464</v>
      </c>
      <c r="X241" s="242">
        <f t="shared" si="81"/>
        <v>19656.040000000012</v>
      </c>
    </row>
    <row r="242" spans="1:24">
      <c r="A242" s="257" t="s">
        <v>248</v>
      </c>
      <c r="B242" s="224">
        <v>100</v>
      </c>
      <c r="C242" s="224">
        <f>G5</f>
        <v>72</v>
      </c>
      <c r="D242" s="224">
        <f>C38</f>
        <v>106.70107836820272</v>
      </c>
      <c r="E242" s="224">
        <f>(C242-D242)^2</f>
        <v>1204.1648399161463</v>
      </c>
      <c r="F242" s="242">
        <f>(C242-$A$243)^2</f>
        <v>1267.3600000000001</v>
      </c>
      <c r="I242" s="272"/>
      <c r="J242" s="257" t="s">
        <v>248</v>
      </c>
      <c r="K242" s="224">
        <v>100</v>
      </c>
      <c r="L242" s="224">
        <f>C242</f>
        <v>72</v>
      </c>
      <c r="M242" s="224">
        <f>L38</f>
        <v>72.439368455405457</v>
      </c>
      <c r="N242" s="224">
        <f>(L242-M242)^2</f>
        <v>0.19304463960537735</v>
      </c>
      <c r="O242" s="242">
        <f>(L242-$J$243)^2</f>
        <v>1267.3600000000001</v>
      </c>
      <c r="R242" s="251"/>
      <c r="S242" s="257"/>
      <c r="T242" s="224">
        <v>500</v>
      </c>
      <c r="U242" s="224">
        <f t="shared" si="80"/>
        <v>81.666666666666671</v>
      </c>
      <c r="V242" s="224">
        <f>Y44</f>
        <v>83.343612064257229</v>
      </c>
      <c r="W242" s="224">
        <f>(U242-V242)^2</f>
        <v>2.8121458665001535</v>
      </c>
      <c r="X242" s="242">
        <f t="shared" si="81"/>
        <v>20506.240000000013</v>
      </c>
    </row>
    <row r="243" spans="1:24">
      <c r="A243" s="241">
        <f>AVERAGE(C242:C246)</f>
        <v>36.4</v>
      </c>
      <c r="B243" s="224">
        <v>200</v>
      </c>
      <c r="C243" s="224">
        <f>G6</f>
        <v>41.333333333333336</v>
      </c>
      <c r="D243" s="224">
        <f>D38</f>
        <v>55.290470761324059</v>
      </c>
      <c r="E243" s="224">
        <f>(C243-D243)^2</f>
        <v>194.8016851838195</v>
      </c>
      <c r="F243" s="242">
        <f t="shared" ref="F243:F246" si="82">(C243-$A$243)^2</f>
        <v>24.337777777777816</v>
      </c>
      <c r="I243" s="272"/>
      <c r="J243" s="241">
        <f>AVERAGE(L242:L246)</f>
        <v>36.4</v>
      </c>
      <c r="K243" s="224">
        <v>200</v>
      </c>
      <c r="L243" s="224">
        <f t="shared" ref="L243:L246" si="83">C243</f>
        <v>41.333333333333336</v>
      </c>
      <c r="M243" s="224">
        <f>M38</f>
        <v>41.581235987076646</v>
      </c>
      <c r="N243" s="224">
        <f>(L243-M243)^2</f>
        <v>6.1455725732975447E-2</v>
      </c>
      <c r="O243" s="242">
        <f t="shared" ref="O243:O246" si="84">(L243-$J$243)^2</f>
        <v>24.337777777777816</v>
      </c>
      <c r="R243" s="251"/>
      <c r="S243" s="257"/>
      <c r="V243" s="218" t="s">
        <v>249</v>
      </c>
      <c r="W243" s="224">
        <f>SUM(W238:W242)</f>
        <v>86.95733200002789</v>
      </c>
      <c r="X243" s="242">
        <f>SUM(X238:X242)</f>
        <v>240655.02222222229</v>
      </c>
    </row>
    <row r="244" spans="1:24">
      <c r="A244" s="257"/>
      <c r="B244" s="224">
        <v>300</v>
      </c>
      <c r="C244" s="224">
        <f>G7</f>
        <v>27.666666666666668</v>
      </c>
      <c r="D244" s="224">
        <f>E38</f>
        <v>34.856500821761486</v>
      </c>
      <c r="E244" s="224">
        <f>(C244-D244)^2</f>
        <v>51.69371517776802</v>
      </c>
      <c r="F244" s="242">
        <f t="shared" si="82"/>
        <v>76.271111111111068</v>
      </c>
      <c r="I244" s="272"/>
      <c r="J244" s="257"/>
      <c r="K244" s="224">
        <v>300</v>
      </c>
      <c r="L244" s="224">
        <f t="shared" si="83"/>
        <v>27.666666666666668</v>
      </c>
      <c r="M244" s="224">
        <f>N38</f>
        <v>27.830907270330751</v>
      </c>
      <c r="N244" s="224">
        <f>(L244-M244)^2</f>
        <v>2.6974975891942574E-2</v>
      </c>
      <c r="O244" s="242">
        <f t="shared" si="84"/>
        <v>76.271111111111068</v>
      </c>
      <c r="R244" s="251"/>
      <c r="S244" s="257"/>
      <c r="W244" s="218" t="s">
        <v>250</v>
      </c>
      <c r="X244" s="281">
        <f>W243/X243</f>
        <v>3.6133603694225408E-4</v>
      </c>
    </row>
    <row r="245" spans="1:24">
      <c r="A245" s="257"/>
      <c r="B245" s="224">
        <v>400</v>
      </c>
      <c r="C245" s="224">
        <f>G8</f>
        <v>20.666666666666668</v>
      </c>
      <c r="D245" s="224">
        <f>F38</f>
        <v>24.953636077576586</v>
      </c>
      <c r="E245" s="224">
        <f>(C245-D245)^2</f>
        <v>18.378106730077334</v>
      </c>
      <c r="F245" s="242">
        <f t="shared" si="82"/>
        <v>247.53777777777771</v>
      </c>
      <c r="I245" s="272"/>
      <c r="J245" s="257"/>
      <c r="K245" s="224">
        <v>400</v>
      </c>
      <c r="L245" s="224">
        <f t="shared" si="83"/>
        <v>20.666666666666668</v>
      </c>
      <c r="M245" s="224">
        <f>O38</f>
        <v>20.788454525956297</v>
      </c>
      <c r="N245" s="224">
        <f>(L245-M245)^2</f>
        <v>1.4832282670350496E-2</v>
      </c>
      <c r="O245" s="242">
        <f t="shared" si="84"/>
        <v>247.53777777777771</v>
      </c>
      <c r="R245" s="251"/>
      <c r="S245" s="257"/>
      <c r="W245" s="274" t="s">
        <v>251</v>
      </c>
      <c r="X245" s="275">
        <f>1-X244</f>
        <v>0.99963866396305778</v>
      </c>
    </row>
    <row r="246" spans="1:24">
      <c r="A246" s="257"/>
      <c r="B246" s="224">
        <v>500</v>
      </c>
      <c r="C246" s="224">
        <f>G9</f>
        <v>20.333333333333332</v>
      </c>
      <c r="D246" s="224">
        <f>G38</f>
        <v>23.754754305696281</v>
      </c>
      <c r="E246" s="224">
        <f>(C246-D246)^2</f>
        <v>11.706121470125026</v>
      </c>
      <c r="F246" s="242">
        <f t="shared" si="82"/>
        <v>258.13777777777779</v>
      </c>
      <c r="I246" s="272"/>
      <c r="J246" s="257"/>
      <c r="K246" s="224">
        <v>500</v>
      </c>
      <c r="L246" s="224">
        <f t="shared" si="83"/>
        <v>20.333333333333332</v>
      </c>
      <c r="M246" s="224">
        <f>P38</f>
        <v>20.452471672011551</v>
      </c>
      <c r="N246" s="224">
        <f>(L246-M246)^2</f>
        <v>1.4193943743006063E-2</v>
      </c>
      <c r="O246" s="242">
        <f t="shared" si="84"/>
        <v>258.13777777777779</v>
      </c>
      <c r="R246" s="251"/>
      <c r="S246" s="257"/>
      <c r="X246" s="272"/>
    </row>
    <row r="247" spans="1:24">
      <c r="A247" s="257"/>
      <c r="D247" s="218" t="s">
        <v>249</v>
      </c>
      <c r="E247" s="224">
        <f>SUM(E242:E246)</f>
        <v>1480.7444684779364</v>
      </c>
      <c r="F247" s="242">
        <f>SUM(F242:F246)</f>
        <v>1873.6444444444444</v>
      </c>
      <c r="I247" s="272"/>
      <c r="J247" s="257"/>
      <c r="M247" s="218" t="s">
        <v>249</v>
      </c>
      <c r="N247" s="224">
        <f>SUM(N242:N246)</f>
        <v>0.31050156764365194</v>
      </c>
      <c r="O247" s="242">
        <f>SUM(O242:O246)</f>
        <v>1873.6444444444444</v>
      </c>
      <c r="R247" s="251"/>
      <c r="S247" s="257"/>
      <c r="T247" s="218" t="s">
        <v>241</v>
      </c>
      <c r="U247" s="218" t="s">
        <v>14</v>
      </c>
      <c r="V247" s="218" t="s">
        <v>242</v>
      </c>
      <c r="W247" s="218" t="s">
        <v>243</v>
      </c>
      <c r="X247" s="272" t="s">
        <v>244</v>
      </c>
    </row>
    <row r="248" spans="1:24">
      <c r="A248" s="257"/>
      <c r="E248" s="224" t="s">
        <v>250</v>
      </c>
      <c r="F248" s="282">
        <f>E247/F247</f>
        <v>0.79030174207731974</v>
      </c>
      <c r="I248" s="272"/>
      <c r="J248" s="257"/>
      <c r="N248" s="224" t="s">
        <v>250</v>
      </c>
      <c r="O248" s="282">
        <f>N247/O247</f>
        <v>1.6572064596584598E-4</v>
      </c>
      <c r="R248" s="251"/>
      <c r="S248" s="257" t="s">
        <v>71</v>
      </c>
      <c r="T248" s="218" t="s">
        <v>222</v>
      </c>
      <c r="U248" s="218" t="s">
        <v>247</v>
      </c>
      <c r="X248" s="272"/>
    </row>
    <row r="249" spans="1:24">
      <c r="A249" s="257"/>
      <c r="E249" s="286" t="s">
        <v>251</v>
      </c>
      <c r="F249" s="275">
        <f>1-F248</f>
        <v>0.20969825792268026</v>
      </c>
      <c r="I249" s="272"/>
      <c r="J249" s="257"/>
      <c r="N249" s="286" t="s">
        <v>251</v>
      </c>
      <c r="O249" s="275">
        <f>1-O248</f>
        <v>0.99983427935403413</v>
      </c>
      <c r="R249" s="251"/>
      <c r="S249" s="257" t="s">
        <v>248</v>
      </c>
      <c r="T249" s="224">
        <v>100</v>
      </c>
      <c r="U249" s="224">
        <f>C242</f>
        <v>72</v>
      </c>
      <c r="V249" s="224">
        <f>U45</f>
        <v>80.525323679173894</v>
      </c>
      <c r="W249" s="224">
        <f>(U249-V249)^2</f>
        <v>72.681143834683098</v>
      </c>
      <c r="X249" s="242">
        <f>(U249-$S$250)^2</f>
        <v>1267.3600000000001</v>
      </c>
    </row>
    <row r="250" spans="1:24">
      <c r="A250" s="257"/>
      <c r="F250" s="272"/>
      <c r="I250" s="272"/>
      <c r="J250" s="257"/>
      <c r="O250" s="272"/>
      <c r="R250" s="251"/>
      <c r="S250" s="241">
        <f>AVERAGE(U249:U253)</f>
        <v>36.4</v>
      </c>
      <c r="T250" s="224">
        <v>200</v>
      </c>
      <c r="U250" s="224">
        <f t="shared" ref="U250:U253" si="85">C243</f>
        <v>41.333333333333336</v>
      </c>
      <c r="V250" s="224">
        <f>V45</f>
        <v>48.762439527297936</v>
      </c>
      <c r="W250" s="224">
        <f>(U250-V250)^2</f>
        <v>55.191618841203187</v>
      </c>
      <c r="X250" s="242">
        <f t="shared" ref="X250:X253" si="86">(U250-$S$250)^2</f>
        <v>24.337777777777816</v>
      </c>
    </row>
    <row r="251" spans="1:24">
      <c r="A251" s="257"/>
      <c r="B251" s="218" t="s">
        <v>241</v>
      </c>
      <c r="C251" s="218" t="s">
        <v>14</v>
      </c>
      <c r="D251" s="218" t="s">
        <v>242</v>
      </c>
      <c r="E251" s="218" t="s">
        <v>243</v>
      </c>
      <c r="F251" s="272" t="s">
        <v>244</v>
      </c>
      <c r="I251" s="272"/>
      <c r="J251" s="257"/>
      <c r="K251" s="218" t="s">
        <v>241</v>
      </c>
      <c r="L251" s="218" t="s">
        <v>14</v>
      </c>
      <c r="M251" s="218" t="s">
        <v>242</v>
      </c>
      <c r="N251" s="218" t="s">
        <v>243</v>
      </c>
      <c r="O251" s="272" t="s">
        <v>244</v>
      </c>
      <c r="R251" s="251"/>
      <c r="S251" s="257"/>
      <c r="T251" s="224">
        <v>300</v>
      </c>
      <c r="U251" s="224">
        <f t="shared" si="85"/>
        <v>27.666666666666668</v>
      </c>
      <c r="V251" s="224">
        <f>W45</f>
        <v>33.334193034279387</v>
      </c>
      <c r="W251" s="224">
        <f>(U251-V251)^2</f>
        <v>32.120855127585429</v>
      </c>
      <c r="X251" s="242">
        <f t="shared" si="86"/>
        <v>76.271111111111068</v>
      </c>
    </row>
    <row r="252" spans="1:24">
      <c r="A252" s="257" t="s">
        <v>72</v>
      </c>
      <c r="B252" s="218" t="s">
        <v>222</v>
      </c>
      <c r="C252" s="218" t="s">
        <v>247</v>
      </c>
      <c r="F252" s="272"/>
      <c r="I252" s="272"/>
      <c r="J252" s="257" t="s">
        <v>72</v>
      </c>
      <c r="K252" s="218" t="s">
        <v>222</v>
      </c>
      <c r="L252" s="218" t="s">
        <v>247</v>
      </c>
      <c r="O252" s="272"/>
      <c r="R252" s="251"/>
      <c r="S252" s="257"/>
      <c r="T252" s="224">
        <v>400</v>
      </c>
      <c r="U252" s="224">
        <f t="shared" si="85"/>
        <v>20.666666666666668</v>
      </c>
      <c r="V252" s="224">
        <f>X45</f>
        <v>25.252173827723315</v>
      </c>
      <c r="W252" s="224">
        <f>(U252-V252)^2</f>
        <v>21.026875924101791</v>
      </c>
      <c r="X252" s="242">
        <f t="shared" si="86"/>
        <v>247.53777777777771</v>
      </c>
    </row>
    <row r="253" spans="1:24">
      <c r="A253" s="257" t="s">
        <v>248</v>
      </c>
      <c r="B253" s="224">
        <v>100</v>
      </c>
      <c r="C253" s="224">
        <f>K5</f>
        <v>70.666666666666671</v>
      </c>
      <c r="D253" s="224">
        <f>C39</f>
        <v>93.188875115751756</v>
      </c>
      <c r="E253" s="273">
        <f>(C253-D253)^2</f>
        <v>507.24987342403955</v>
      </c>
      <c r="F253" s="283">
        <f>(C253-$A$254)^2</f>
        <v>1670.0844444444444</v>
      </c>
      <c r="I253" s="272"/>
      <c r="J253" s="257" t="s">
        <v>248</v>
      </c>
      <c r="K253" s="224">
        <v>100</v>
      </c>
      <c r="L253" s="224">
        <f>C253</f>
        <v>70.666666666666671</v>
      </c>
      <c r="M253" s="224">
        <f>L39</f>
        <v>69.64269332978796</v>
      </c>
      <c r="N253" s="273">
        <f>(L253-M253)^2</f>
        <v>1.048521394638523</v>
      </c>
      <c r="O253" s="283">
        <f>(L253-$A$254)^2</f>
        <v>1670.0844444444444</v>
      </c>
      <c r="R253" s="251"/>
      <c r="S253" s="257"/>
      <c r="T253" s="224">
        <v>500</v>
      </c>
      <c r="U253" s="224">
        <f t="shared" si="85"/>
        <v>20.333333333333332</v>
      </c>
      <c r="V253" s="224">
        <f>Y45</f>
        <v>25.824801588970598</v>
      </c>
      <c r="W253" s="224">
        <f>(U253-V253)^2</f>
        <v>30.15622360267179</v>
      </c>
      <c r="X253" s="242">
        <f t="shared" si="86"/>
        <v>258.13777777777779</v>
      </c>
    </row>
    <row r="254" spans="1:24">
      <c r="A254" s="241">
        <f>AVERAGE(C253:C257)</f>
        <v>29.800000000000004</v>
      </c>
      <c r="B254" s="224">
        <v>200</v>
      </c>
      <c r="C254" s="224">
        <f>K6</f>
        <v>24.666666666666668</v>
      </c>
      <c r="D254" s="224">
        <f>D39</f>
        <v>29.361177818728802</v>
      </c>
      <c r="E254" s="273">
        <f>(C254-D254)^2</f>
        <v>22.038434956835744</v>
      </c>
      <c r="F254" s="283">
        <f t="shared" ref="F254:F257" si="87">(C254-$A$254)^2</f>
        <v>26.351111111111141</v>
      </c>
      <c r="I254" s="272"/>
      <c r="J254" s="241">
        <f>AVERAGE(L253:L257)</f>
        <v>29.800000000000004</v>
      </c>
      <c r="K254" s="224">
        <v>200</v>
      </c>
      <c r="L254" s="224">
        <f t="shared" ref="L254:L257" si="88">C254</f>
        <v>24.666666666666668</v>
      </c>
      <c r="M254" s="224">
        <f>M39</f>
        <v>24.306712396442101</v>
      </c>
      <c r="N254" s="273">
        <f>(L254-M254)^2</f>
        <v>0.12956707665290015</v>
      </c>
      <c r="O254" s="283">
        <f t="shared" ref="O254:O257" si="89">(L254-$A$254)^2</f>
        <v>26.351111111111141</v>
      </c>
      <c r="R254" s="251"/>
      <c r="S254" s="257"/>
      <c r="V254" s="218" t="s">
        <v>249</v>
      </c>
      <c r="W254" s="224">
        <f>SUM(W249:W253)</f>
        <v>211.17671733024531</v>
      </c>
      <c r="X254" s="242">
        <f>SUM(X249:X253)</f>
        <v>1873.6444444444444</v>
      </c>
    </row>
    <row r="255" spans="1:24">
      <c r="A255" s="257"/>
      <c r="B255" s="224">
        <v>300</v>
      </c>
      <c r="C255" s="224">
        <f>K7</f>
        <v>19.666666666666668</v>
      </c>
      <c r="D255" s="224">
        <f>E39</f>
        <v>22.048084121356375</v>
      </c>
      <c r="E255" s="273">
        <f>(C255-D255)^2</f>
        <v>5.6711490935008033</v>
      </c>
      <c r="F255" s="283">
        <f t="shared" si="87"/>
        <v>102.68444444444451</v>
      </c>
      <c r="I255" s="272"/>
      <c r="J255" s="257"/>
      <c r="K255" s="224">
        <v>300</v>
      </c>
      <c r="L255" s="224">
        <f t="shared" si="88"/>
        <v>19.666666666666668</v>
      </c>
      <c r="M255" s="224">
        <f>N39</f>
        <v>19.378496412543022</v>
      </c>
      <c r="N255" s="273">
        <f>(L255-M255)^2</f>
        <v>8.3042095361686552E-2</v>
      </c>
      <c r="O255" s="283">
        <f t="shared" si="89"/>
        <v>102.68444444444451</v>
      </c>
      <c r="R255" s="251"/>
      <c r="S255" s="257"/>
      <c r="W255" s="224" t="s">
        <v>250</v>
      </c>
      <c r="X255" s="282">
        <f>W254/X254</f>
        <v>0.11270906705720331</v>
      </c>
    </row>
    <row r="256" spans="1:24">
      <c r="A256" s="257"/>
      <c r="B256" s="224">
        <v>400</v>
      </c>
      <c r="C256" s="224">
        <f>K8</f>
        <v>17.666666666666668</v>
      </c>
      <c r="D256" s="224">
        <f>F39</f>
        <v>18.981527923875721</v>
      </c>
      <c r="E256" s="273">
        <f>(C256-D256)^2</f>
        <v>1.7288601257093708</v>
      </c>
      <c r="F256" s="283">
        <f t="shared" si="87"/>
        <v>147.21777777777785</v>
      </c>
      <c r="I256" s="272"/>
      <c r="J256" s="257"/>
      <c r="K256" s="224">
        <v>400</v>
      </c>
      <c r="L256" s="224">
        <f t="shared" si="88"/>
        <v>17.666666666666668</v>
      </c>
      <c r="M256" s="224">
        <f>O39</f>
        <v>17.40705001855461</v>
      </c>
      <c r="N256" s="273">
        <f>(L256-M256)^2</f>
        <v>6.7400803976939969E-2</v>
      </c>
      <c r="O256" s="283">
        <f t="shared" si="89"/>
        <v>147.21777777777785</v>
      </c>
      <c r="R256" s="251"/>
      <c r="S256" s="257"/>
      <c r="W256" s="286" t="s">
        <v>251</v>
      </c>
      <c r="X256" s="275">
        <f>1-X255</f>
        <v>0.88729093294279671</v>
      </c>
    </row>
    <row r="257" spans="1:24">
      <c r="A257" s="257"/>
      <c r="B257" s="224">
        <v>500</v>
      </c>
      <c r="C257" s="224">
        <f>K9</f>
        <v>16.333333333333332</v>
      </c>
      <c r="D257" s="224">
        <f>G39</f>
        <v>16.979697111111829</v>
      </c>
      <c r="E257" s="273">
        <f>(C257-D257)^2</f>
        <v>0.41778613322408992</v>
      </c>
      <c r="F257" s="283">
        <f t="shared" si="87"/>
        <v>181.35111111111127</v>
      </c>
      <c r="I257" s="272"/>
      <c r="J257" s="257"/>
      <c r="K257" s="224">
        <v>500</v>
      </c>
      <c r="L257" s="224">
        <f t="shared" si="88"/>
        <v>16.333333333333332</v>
      </c>
      <c r="M257" s="224">
        <f>P39</f>
        <v>16.09277125323575</v>
      </c>
      <c r="N257" s="273">
        <f>(L257-M257)^2</f>
        <v>5.7870114380875699E-2</v>
      </c>
      <c r="O257" s="283">
        <f t="shared" si="89"/>
        <v>181.35111111111127</v>
      </c>
      <c r="R257" s="251"/>
      <c r="S257" s="257"/>
      <c r="X257" s="272"/>
    </row>
    <row r="258" spans="1:24">
      <c r="A258" s="257"/>
      <c r="D258" s="218" t="s">
        <v>249</v>
      </c>
      <c r="E258" s="273">
        <f>SUM(E253:E257)</f>
        <v>537.10610373330962</v>
      </c>
      <c r="F258" s="283">
        <f>SUM(F253:F257)</f>
        <v>2127.6888888888893</v>
      </c>
      <c r="I258" s="272"/>
      <c r="J258" s="257"/>
      <c r="M258" s="218" t="s">
        <v>249</v>
      </c>
      <c r="N258" s="273">
        <f>SUM(N253:N257)</f>
        <v>1.3864014850109256</v>
      </c>
      <c r="O258" s="283">
        <f>SUM(O253:O257)</f>
        <v>2127.6888888888893</v>
      </c>
      <c r="R258" s="251"/>
      <c r="S258" s="257"/>
      <c r="T258" s="218" t="s">
        <v>241</v>
      </c>
      <c r="U258" s="218" t="s">
        <v>14</v>
      </c>
      <c r="V258" s="218" t="s">
        <v>242</v>
      </c>
      <c r="W258" s="218" t="s">
        <v>243</v>
      </c>
      <c r="X258" s="272" t="s">
        <v>244</v>
      </c>
    </row>
    <row r="259" spans="1:24">
      <c r="A259" s="257"/>
      <c r="E259" s="273" t="s">
        <v>250</v>
      </c>
      <c r="F259" s="283">
        <f>E258/F258</f>
        <v>0.25243639074216079</v>
      </c>
      <c r="I259" s="272"/>
      <c r="J259" s="257"/>
      <c r="N259" s="273" t="s">
        <v>250</v>
      </c>
      <c r="O259" s="283">
        <f>N258/O258</f>
        <v>6.5159972035898773E-4</v>
      </c>
      <c r="R259" s="251"/>
      <c r="S259" s="257" t="s">
        <v>72</v>
      </c>
      <c r="T259" s="218" t="s">
        <v>222</v>
      </c>
      <c r="U259" s="218" t="s">
        <v>247</v>
      </c>
      <c r="X259" s="272"/>
    </row>
    <row r="260" spans="1:24">
      <c r="A260" s="257"/>
      <c r="E260" s="274" t="s">
        <v>251</v>
      </c>
      <c r="F260" s="275">
        <f>1-F259</f>
        <v>0.74756360925783927</v>
      </c>
      <c r="I260" s="272"/>
      <c r="J260" s="257"/>
      <c r="N260" s="274" t="s">
        <v>251</v>
      </c>
      <c r="O260" s="275">
        <f>1-O259</f>
        <v>0.999348400279641</v>
      </c>
      <c r="R260" s="251"/>
      <c r="S260" s="257" t="s">
        <v>248</v>
      </c>
      <c r="T260" s="224">
        <v>100</v>
      </c>
      <c r="U260" s="224">
        <f>C253</f>
        <v>70.666666666666671</v>
      </c>
      <c r="V260" s="224">
        <f>U46</f>
        <v>68.537613567977743</v>
      </c>
      <c r="W260" s="273">
        <f>(U260-V260)^2</f>
        <v>4.5328670970369265</v>
      </c>
      <c r="X260" s="283">
        <f>(U260-$S$261)^2</f>
        <v>1670.0844444444444</v>
      </c>
    </row>
    <row r="261" spans="1:24">
      <c r="A261" s="257"/>
      <c r="B261" s="273"/>
      <c r="C261" s="224"/>
      <c r="D261" s="224"/>
      <c r="F261" s="272"/>
      <c r="I261" s="272"/>
      <c r="J261" s="257"/>
      <c r="K261" s="273"/>
      <c r="L261" s="224"/>
      <c r="M261" s="224"/>
      <c r="O261" s="272"/>
      <c r="R261" s="251"/>
      <c r="S261" s="241">
        <f>AVERAGE(U260:U264)</f>
        <v>29.800000000000004</v>
      </c>
      <c r="T261" s="224">
        <v>200</v>
      </c>
      <c r="U261" s="224">
        <f t="shared" ref="U261:U264" si="90">C254</f>
        <v>24.666666666666668</v>
      </c>
      <c r="V261" s="224">
        <f>V46</f>
        <v>23.627039568187506</v>
      </c>
      <c r="W261" s="273">
        <f>(U261-V261)^2</f>
        <v>1.0808245038922013</v>
      </c>
      <c r="X261" s="283">
        <f t="shared" ref="X261:X264" si="91">(U261-$S$261)^2</f>
        <v>26.351111111111141</v>
      </c>
    </row>
    <row r="262" spans="1:24">
      <c r="A262" s="257"/>
      <c r="B262" s="218" t="s">
        <v>241</v>
      </c>
      <c r="C262" s="218" t="s">
        <v>14</v>
      </c>
      <c r="D262" s="218" t="s">
        <v>242</v>
      </c>
      <c r="E262" s="218" t="s">
        <v>243</v>
      </c>
      <c r="F262" s="272" t="s">
        <v>244</v>
      </c>
      <c r="I262" s="272"/>
      <c r="J262" s="257"/>
      <c r="K262" s="218" t="s">
        <v>241</v>
      </c>
      <c r="L262" s="218" t="s">
        <v>14</v>
      </c>
      <c r="M262" s="218" t="s">
        <v>242</v>
      </c>
      <c r="N262" s="218" t="s">
        <v>243</v>
      </c>
      <c r="O262" s="272" t="s">
        <v>244</v>
      </c>
      <c r="R262" s="251"/>
      <c r="S262" s="257"/>
      <c r="T262" s="224">
        <v>300</v>
      </c>
      <c r="U262" s="224">
        <f t="shared" si="90"/>
        <v>19.666666666666668</v>
      </c>
      <c r="V262" s="224">
        <f>W46</f>
        <v>19.689411265818645</v>
      </c>
      <c r="W262" s="273">
        <f>(U262-V262)^2</f>
        <v>5.1731679058412386E-4</v>
      </c>
      <c r="X262" s="283">
        <f t="shared" si="91"/>
        <v>102.68444444444451</v>
      </c>
    </row>
    <row r="263" spans="1:24">
      <c r="A263" s="257" t="s">
        <v>73</v>
      </c>
      <c r="B263" s="218" t="s">
        <v>222</v>
      </c>
      <c r="C263" s="218" t="s">
        <v>247</v>
      </c>
      <c r="F263" s="272"/>
      <c r="I263" s="272"/>
      <c r="J263" s="257" t="s">
        <v>73</v>
      </c>
      <c r="K263" s="218" t="s">
        <v>222</v>
      </c>
      <c r="L263" s="218" t="s">
        <v>247</v>
      </c>
      <c r="O263" s="272"/>
      <c r="R263" s="251"/>
      <c r="S263" s="257"/>
      <c r="T263" s="224">
        <v>400</v>
      </c>
      <c r="U263" s="224">
        <f t="shared" si="90"/>
        <v>17.666666666666668</v>
      </c>
      <c r="V263" s="224">
        <f>X46</f>
        <v>18.380430094414937</v>
      </c>
      <c r="W263" s="273">
        <f>(U263-V263)^2</f>
        <v>0.50945823079095831</v>
      </c>
      <c r="X263" s="283">
        <f t="shared" si="91"/>
        <v>147.21777777777785</v>
      </c>
    </row>
    <row r="264" spans="1:24">
      <c r="A264" s="257" t="s">
        <v>248</v>
      </c>
      <c r="B264" s="224">
        <v>100</v>
      </c>
      <c r="C264" s="224">
        <f>O5</f>
        <v>135.33333333333334</v>
      </c>
      <c r="D264" s="224">
        <f>C40</f>
        <v>162.64552596407486</v>
      </c>
      <c r="E264" s="218">
        <f>(C264-D264)^2</f>
        <v>745.95586629873139</v>
      </c>
      <c r="F264" s="283">
        <f>(C264-$A$265)^2</f>
        <v>5126.5600000000031</v>
      </c>
      <c r="I264" s="272"/>
      <c r="J264" s="257" t="s">
        <v>248</v>
      </c>
      <c r="K264" s="224">
        <v>100</v>
      </c>
      <c r="L264" s="224">
        <f>C264</f>
        <v>135.33333333333334</v>
      </c>
      <c r="M264" s="224">
        <f>L40</f>
        <v>135.5759747681179</v>
      </c>
      <c r="N264" s="218">
        <f>(L264-M264)^2</f>
        <v>5.8874865874309568E-2</v>
      </c>
      <c r="O264" s="283">
        <f>(L264-$J$265)^2</f>
        <v>5126.5600000000031</v>
      </c>
      <c r="R264" s="251"/>
      <c r="S264" s="257"/>
      <c r="T264" s="224">
        <v>500</v>
      </c>
      <c r="U264" s="224">
        <f t="shared" si="90"/>
        <v>16.333333333333332</v>
      </c>
      <c r="V264" s="224">
        <f>Y46</f>
        <v>17.518612593053568</v>
      </c>
      <c r="W264" s="273">
        <f>(U264-V264)^2</f>
        <v>1.4048869235229506</v>
      </c>
      <c r="X264" s="283">
        <f t="shared" si="91"/>
        <v>181.35111111111127</v>
      </c>
    </row>
    <row r="265" spans="1:24">
      <c r="A265" s="241">
        <f>AVERAGE(C264:C268)</f>
        <v>63.733333333333327</v>
      </c>
      <c r="B265" s="224">
        <v>200</v>
      </c>
      <c r="C265" s="224">
        <f>O6</f>
        <v>68.666666666666671</v>
      </c>
      <c r="D265" s="224">
        <f>D40</f>
        <v>74.489807696736634</v>
      </c>
      <c r="E265" s="273">
        <f>(C265-D265)^2</f>
        <v>33.908971456084259</v>
      </c>
      <c r="F265" s="283">
        <f t="shared" ref="F265:F268" si="92">(C265-$A$265)^2</f>
        <v>24.337777777777884</v>
      </c>
      <c r="I265" s="272"/>
      <c r="J265" s="241">
        <f>AVERAGE(L264:L268)</f>
        <v>63.733333333333327</v>
      </c>
      <c r="K265" s="224">
        <v>200</v>
      </c>
      <c r="L265" s="224">
        <f t="shared" ref="L265:L268" si="93">C265</f>
        <v>68.666666666666671</v>
      </c>
      <c r="M265" s="224">
        <f>M40</f>
        <v>68.782622050179526</v>
      </c>
      <c r="N265" s="273">
        <f>(L265-M265)^2</f>
        <v>1.3445650965613247E-2</v>
      </c>
      <c r="O265" s="283">
        <f t="shared" ref="O265:O268" si="94">(L265-$J$265)^2</f>
        <v>24.337777777777884</v>
      </c>
      <c r="R265" s="251"/>
      <c r="S265" s="257"/>
      <c r="V265" s="218" t="s">
        <v>249</v>
      </c>
      <c r="W265" s="273">
        <f>SUM(W260:W264)</f>
        <v>7.5285540720336215</v>
      </c>
      <c r="X265" s="283">
        <f>SUM(X260:X264)</f>
        <v>2127.6888888888893</v>
      </c>
    </row>
    <row r="266" spans="1:24">
      <c r="A266" s="257"/>
      <c r="B266" s="224">
        <v>300</v>
      </c>
      <c r="C266" s="224">
        <f>O7</f>
        <v>46</v>
      </c>
      <c r="D266" s="224">
        <f>E40</f>
        <v>46.998696301843268</v>
      </c>
      <c r="E266" s="273">
        <f>(C266-D266)^2</f>
        <v>0.9973943033154189</v>
      </c>
      <c r="F266" s="283">
        <f t="shared" si="92"/>
        <v>314.47111111111087</v>
      </c>
      <c r="I266" s="272"/>
      <c r="J266" s="257"/>
      <c r="K266" s="224">
        <v>300</v>
      </c>
      <c r="L266" s="224">
        <f t="shared" si="93"/>
        <v>46</v>
      </c>
      <c r="M266" s="224">
        <f>N40</f>
        <v>46.074873990423647</v>
      </c>
      <c r="N266" s="273">
        <f>(L266-M266)^2</f>
        <v>5.6061144419604254E-3</v>
      </c>
      <c r="O266" s="283">
        <f t="shared" si="94"/>
        <v>314.47111111111087</v>
      </c>
      <c r="R266" s="251"/>
      <c r="S266" s="257"/>
      <c r="W266" s="273" t="s">
        <v>250</v>
      </c>
      <c r="X266" s="283">
        <f>W265/X265</f>
        <v>3.5383716629573338E-3</v>
      </c>
    </row>
    <row r="267" spans="1:24">
      <c r="A267" s="257"/>
      <c r="B267" s="224">
        <v>400</v>
      </c>
      <c r="C267" s="224">
        <f>O8</f>
        <v>35.333333333333336</v>
      </c>
      <c r="D267" s="224">
        <f>F40</f>
        <v>34.597844550820078</v>
      </c>
      <c r="E267" s="273">
        <f>(C267-D267)^2</f>
        <v>0.54094374920283439</v>
      </c>
      <c r="F267" s="283">
        <f t="shared" si="92"/>
        <v>806.55999999999949</v>
      </c>
      <c r="I267" s="272"/>
      <c r="J267" s="257"/>
      <c r="K267" s="224">
        <v>400</v>
      </c>
      <c r="L267" s="224">
        <f t="shared" si="93"/>
        <v>35.333333333333336</v>
      </c>
      <c r="M267" s="224">
        <f>O40</f>
        <v>35.389316707199676</v>
      </c>
      <c r="N267" s="273">
        <f>(L267-M267)^2</f>
        <v>3.1341381494584008E-3</v>
      </c>
      <c r="O267" s="283">
        <f t="shared" si="94"/>
        <v>806.55999999999949</v>
      </c>
      <c r="R267" s="251"/>
      <c r="S267" s="257"/>
      <c r="W267" s="274" t="s">
        <v>251</v>
      </c>
      <c r="X267" s="275">
        <f>1-X266</f>
        <v>0.99646162833704266</v>
      </c>
    </row>
    <row r="268" spans="1:24">
      <c r="A268" s="257"/>
      <c r="B268" s="224">
        <v>500</v>
      </c>
      <c r="C268" s="224">
        <f>O9</f>
        <v>33.333333333333336</v>
      </c>
      <c r="D268" s="224">
        <f>G40</f>
        <v>31.580698980900987</v>
      </c>
      <c r="E268" s="273">
        <f>(C268-D268)^2</f>
        <v>3.0717271733259581</v>
      </c>
      <c r="F268" s="283">
        <f t="shared" si="92"/>
        <v>924.15999999999951</v>
      </c>
      <c r="I268" s="272"/>
      <c r="J268" s="257"/>
      <c r="K268" s="224">
        <v>500</v>
      </c>
      <c r="L268" s="224">
        <f t="shared" si="93"/>
        <v>33.333333333333336</v>
      </c>
      <c r="M268" s="224">
        <f>P40</f>
        <v>33.385029369124439</v>
      </c>
      <c r="N268" s="273">
        <f>(L268-M268)^2</f>
        <v>2.6724801165150186E-3</v>
      </c>
      <c r="O268" s="283">
        <f t="shared" si="94"/>
        <v>924.15999999999951</v>
      </c>
      <c r="R268" s="251"/>
      <c r="S268" s="257"/>
      <c r="T268" s="273"/>
      <c r="U268" s="224"/>
      <c r="V268" s="224"/>
      <c r="X268" s="272"/>
    </row>
    <row r="269" spans="1:24">
      <c r="A269" s="257"/>
      <c r="D269" s="218" t="s">
        <v>249</v>
      </c>
      <c r="E269" s="273">
        <f>SUM(E264:E268)</f>
        <v>784.47490298065986</v>
      </c>
      <c r="F269" s="283">
        <f>SUM(F264:F268)</f>
        <v>7196.0888888888912</v>
      </c>
      <c r="I269" s="272"/>
      <c r="J269" s="257"/>
      <c r="M269" s="218" t="s">
        <v>249</v>
      </c>
      <c r="N269" s="273">
        <f>SUM(N264:N268)</f>
        <v>8.3733249547856659E-2</v>
      </c>
      <c r="O269" s="283">
        <f>SUM(O264:O268)</f>
        <v>7196.0888888888912</v>
      </c>
      <c r="R269" s="251"/>
      <c r="S269" s="257"/>
      <c r="T269" s="218" t="s">
        <v>241</v>
      </c>
      <c r="U269" s="218" t="s">
        <v>14</v>
      </c>
      <c r="V269" s="218" t="s">
        <v>242</v>
      </c>
      <c r="W269" s="218" t="s">
        <v>243</v>
      </c>
      <c r="X269" s="272" t="s">
        <v>244</v>
      </c>
    </row>
    <row r="270" spans="1:24">
      <c r="A270" s="257"/>
      <c r="E270" s="273" t="s">
        <v>250</v>
      </c>
      <c r="F270" s="283">
        <f>E269/F269</f>
        <v>0.109014065153076</v>
      </c>
      <c r="I270" s="272"/>
      <c r="J270" s="257"/>
      <c r="N270" s="273" t="s">
        <v>250</v>
      </c>
      <c r="O270" s="283">
        <f>N269/O269</f>
        <v>1.1635938749609505E-5</v>
      </c>
      <c r="R270" s="251"/>
      <c r="S270" s="257" t="s">
        <v>73</v>
      </c>
      <c r="T270" s="218" t="s">
        <v>222</v>
      </c>
      <c r="U270" s="218" t="s">
        <v>247</v>
      </c>
      <c r="X270" s="272"/>
    </row>
    <row r="271" spans="1:24">
      <c r="A271" s="259"/>
      <c r="B271" s="262"/>
      <c r="C271" s="262"/>
      <c r="D271" s="262"/>
      <c r="E271" s="276" t="s">
        <v>251</v>
      </c>
      <c r="F271" s="285">
        <f>1-F270</f>
        <v>0.89098593484692401</v>
      </c>
      <c r="I271" s="272"/>
      <c r="J271" s="259"/>
      <c r="K271" s="262"/>
      <c r="L271" s="262"/>
      <c r="M271" s="262"/>
      <c r="N271" s="276" t="s">
        <v>251</v>
      </c>
      <c r="O271" s="285">
        <f>1-O270</f>
        <v>0.99998836406125036</v>
      </c>
      <c r="R271" s="251"/>
      <c r="S271" s="257" t="s">
        <v>248</v>
      </c>
      <c r="T271" s="224">
        <v>100</v>
      </c>
      <c r="U271" s="224">
        <f>C264</f>
        <v>135.33333333333334</v>
      </c>
      <c r="V271" s="224">
        <f>U47</f>
        <v>128.0910646200627</v>
      </c>
      <c r="W271" s="278">
        <f>(U271-V271)^2</f>
        <v>52.450456115218877</v>
      </c>
      <c r="X271" s="283">
        <f>(U271-$S$272)^2</f>
        <v>5126.5600000000031</v>
      </c>
    </row>
    <row r="272" spans="1:24">
      <c r="I272" s="272"/>
      <c r="R272" s="251"/>
      <c r="S272" s="241">
        <f>AVERAGE(U271:U275)</f>
        <v>63.733333333333327</v>
      </c>
      <c r="T272" s="224">
        <v>200</v>
      </c>
      <c r="U272" s="224">
        <f t="shared" ref="U272:U275" si="95">C265</f>
        <v>68.666666666666671</v>
      </c>
      <c r="V272" s="224">
        <f>V47</f>
        <v>67.444523312817267</v>
      </c>
      <c r="W272" s="273">
        <f>(U272-V272)^2</f>
        <v>1.4936343773582694</v>
      </c>
      <c r="X272" s="283">
        <f t="shared" ref="X272:X275" si="96">(U272-$S$272)^2</f>
        <v>24.337777777777884</v>
      </c>
    </row>
    <row r="273" spans="1:24">
      <c r="A273" s="269" t="s">
        <v>258</v>
      </c>
      <c r="B273" s="287"/>
      <c r="C273" s="287"/>
      <c r="D273" s="287"/>
      <c r="E273" s="287"/>
      <c r="F273" s="288"/>
      <c r="I273" s="272"/>
      <c r="J273" s="269" t="s">
        <v>258</v>
      </c>
      <c r="K273" s="287"/>
      <c r="L273" s="287"/>
      <c r="M273" s="287"/>
      <c r="N273" s="287"/>
      <c r="O273" s="288"/>
      <c r="R273" s="251"/>
      <c r="S273" s="257"/>
      <c r="T273" s="224">
        <v>300</v>
      </c>
      <c r="U273" s="224">
        <f t="shared" si="95"/>
        <v>46</v>
      </c>
      <c r="V273" s="224">
        <f>W47</f>
        <v>46.148088857521557</v>
      </c>
      <c r="W273" s="273">
        <f>(U273-V273)^2</f>
        <v>2.1930309722040103E-2</v>
      </c>
      <c r="X273" s="283">
        <f t="shared" si="96"/>
        <v>314.47111111111087</v>
      </c>
    </row>
    <row r="274" spans="1:24">
      <c r="A274" s="257"/>
      <c r="B274" s="218" t="s">
        <v>241</v>
      </c>
      <c r="C274" s="218" t="s">
        <v>14</v>
      </c>
      <c r="D274" s="218" t="s">
        <v>242</v>
      </c>
      <c r="E274" s="218" t="s">
        <v>243</v>
      </c>
      <c r="F274" s="272" t="s">
        <v>244</v>
      </c>
      <c r="I274" s="272"/>
      <c r="J274" s="257"/>
      <c r="K274" s="218" t="s">
        <v>241</v>
      </c>
      <c r="L274" s="218" t="s">
        <v>14</v>
      </c>
      <c r="M274" s="218" t="s">
        <v>242</v>
      </c>
      <c r="N274" s="218" t="s">
        <v>243</v>
      </c>
      <c r="O274" s="272" t="s">
        <v>244</v>
      </c>
      <c r="R274" s="251"/>
      <c r="S274" s="257"/>
      <c r="T274" s="224">
        <v>400</v>
      </c>
      <c r="U274" s="224">
        <f t="shared" si="95"/>
        <v>35.333333333333336</v>
      </c>
      <c r="V274" s="224">
        <f>X47</f>
        <v>36.081044088735922</v>
      </c>
      <c r="W274" s="273">
        <f>(U274-V274)^2</f>
        <v>0.55907137374470628</v>
      </c>
      <c r="X274" s="283">
        <f t="shared" si="96"/>
        <v>806.55999999999949</v>
      </c>
    </row>
    <row r="275" spans="1:24">
      <c r="A275" s="257" t="s">
        <v>248</v>
      </c>
      <c r="C275" s="218" t="s">
        <v>247</v>
      </c>
      <c r="F275" s="272"/>
      <c r="I275" s="272"/>
      <c r="J275" s="257" t="s">
        <v>248</v>
      </c>
      <c r="L275" s="218" t="s">
        <v>247</v>
      </c>
      <c r="O275" s="272"/>
      <c r="R275" s="251"/>
      <c r="S275" s="257"/>
      <c r="T275" s="224">
        <v>500</v>
      </c>
      <c r="U275" s="224">
        <f t="shared" si="95"/>
        <v>33.333333333333336</v>
      </c>
      <c r="V275" s="224">
        <f>Y47</f>
        <v>35.185070610795663</v>
      </c>
      <c r="W275" s="273">
        <f>(U275-V275)^2</f>
        <v>3.4289309447435903</v>
      </c>
      <c r="X275" s="283">
        <f t="shared" si="96"/>
        <v>924.15999999999951</v>
      </c>
    </row>
    <row r="276" spans="1:24">
      <c r="A276" s="241">
        <f>AVERAGE(C276:C295)</f>
        <v>88.700000000000017</v>
      </c>
      <c r="C276" s="224">
        <f>C180</f>
        <v>659.33333333333337</v>
      </c>
      <c r="D276" s="224">
        <f>D180</f>
        <v>667.17019531555377</v>
      </c>
      <c r="E276" s="224">
        <f>(C276-D276)^2</f>
        <v>61.41640572837143</v>
      </c>
      <c r="F276" s="242">
        <f>(C276-$BK$5)^2</f>
        <v>434720.4444444445</v>
      </c>
      <c r="I276" s="272"/>
      <c r="J276" s="241">
        <f>AVERAGE(L276:L295)</f>
        <v>88.700000000000017</v>
      </c>
      <c r="L276" s="224">
        <f>L180</f>
        <v>659.33333333333337</v>
      </c>
      <c r="M276" s="224">
        <f>L37</f>
        <v>659.33734581850808</v>
      </c>
      <c r="N276" s="224">
        <f>(L276-M276)^2</f>
        <v>1.6100037277286077E-5</v>
      </c>
      <c r="O276" s="242">
        <f>(L276-$J$276)^2</f>
        <v>325622.4011111111</v>
      </c>
      <c r="R276" s="251"/>
      <c r="S276" s="257"/>
      <c r="V276" s="218" t="s">
        <v>249</v>
      </c>
      <c r="W276" s="273">
        <f>SUM(W271:W275)</f>
        <v>57.954023120787483</v>
      </c>
      <c r="X276" s="283">
        <f>SUM(X271:X275)</f>
        <v>7196.0888888888912</v>
      </c>
    </row>
    <row r="277" spans="1:24">
      <c r="A277" s="257"/>
      <c r="C277" s="224">
        <f t="shared" ref="C277:D279" si="97">C181</f>
        <v>72</v>
      </c>
      <c r="D277" s="224">
        <f t="shared" si="97"/>
        <v>106.70107836820272</v>
      </c>
      <c r="E277" s="224">
        <f t="shared" ref="E277:E295" si="98">(C277-D277)^2</f>
        <v>1204.1648399161463</v>
      </c>
      <c r="F277" s="242">
        <f t="shared" ref="F277:F295" si="99">(C277-$BK$5)^2</f>
        <v>5184</v>
      </c>
      <c r="I277" s="272"/>
      <c r="J277" s="257"/>
      <c r="L277" s="224">
        <f t="shared" ref="L277" si="100">L181</f>
        <v>72</v>
      </c>
      <c r="M277" s="224">
        <f>L38</f>
        <v>72.439368455405457</v>
      </c>
      <c r="N277" s="224">
        <f t="shared" ref="N277:N295" si="101">(L277-M277)^2</f>
        <v>0.19304463960537735</v>
      </c>
      <c r="O277" s="242">
        <f t="shared" ref="O277:O295" si="102">(L277-$J$276)^2</f>
        <v>278.89000000000055</v>
      </c>
      <c r="R277" s="251"/>
      <c r="S277" s="257"/>
      <c r="W277" s="273" t="s">
        <v>250</v>
      </c>
      <c r="X277" s="283">
        <f>W276/X276</f>
        <v>8.0535446428783401E-3</v>
      </c>
    </row>
    <row r="278" spans="1:24">
      <c r="A278" s="257"/>
      <c r="C278" s="224">
        <f t="shared" si="97"/>
        <v>70.666666666666671</v>
      </c>
      <c r="D278" s="224">
        <f t="shared" si="97"/>
        <v>93.188875115751756</v>
      </c>
      <c r="E278" s="224">
        <f t="shared" si="98"/>
        <v>507.24987342403955</v>
      </c>
      <c r="F278" s="242">
        <f t="shared" si="99"/>
        <v>4993.7777777777783</v>
      </c>
      <c r="I278" s="272"/>
      <c r="J278" s="257"/>
      <c r="L278" s="224">
        <f t="shared" ref="L278" si="103">L182</f>
        <v>70.666666666666671</v>
      </c>
      <c r="M278" s="224">
        <f>L39</f>
        <v>69.64269332978796</v>
      </c>
      <c r="N278" s="224">
        <f t="shared" si="101"/>
        <v>1.048521394638523</v>
      </c>
      <c r="O278" s="242">
        <f t="shared" si="102"/>
        <v>325.20111111111157</v>
      </c>
      <c r="R278" s="251"/>
      <c r="S278" s="259"/>
      <c r="T278" s="262"/>
      <c r="U278" s="262"/>
      <c r="V278" s="262"/>
      <c r="W278" s="276" t="s">
        <v>251</v>
      </c>
      <c r="X278" s="285">
        <f>1-X277</f>
        <v>0.99194645535712167</v>
      </c>
    </row>
    <row r="279" spans="1:24">
      <c r="A279" s="257"/>
      <c r="C279" s="224">
        <f t="shared" si="97"/>
        <v>135.33333333333334</v>
      </c>
      <c r="D279" s="224">
        <f t="shared" si="97"/>
        <v>162.64552596407486</v>
      </c>
      <c r="E279" s="224">
        <f t="shared" si="98"/>
        <v>745.95586629873139</v>
      </c>
      <c r="F279" s="242">
        <f t="shared" si="99"/>
        <v>18315.111111111113</v>
      </c>
      <c r="I279" s="272"/>
      <c r="J279" s="257"/>
      <c r="L279" s="224">
        <f t="shared" ref="L279" si="104">L183</f>
        <v>135.33333333333334</v>
      </c>
      <c r="M279" s="224">
        <f>L40</f>
        <v>135.5759747681179</v>
      </c>
      <c r="N279" s="224">
        <f t="shared" si="101"/>
        <v>5.8874865874309568E-2</v>
      </c>
      <c r="O279" s="242">
        <f t="shared" si="102"/>
        <v>2174.6677777777772</v>
      </c>
      <c r="R279" s="251"/>
    </row>
    <row r="280" spans="1:24">
      <c r="A280" s="257"/>
      <c r="C280" s="224">
        <f>C190</f>
        <v>162</v>
      </c>
      <c r="D280" s="224">
        <f>D190</f>
        <v>147.96539701427409</v>
      </c>
      <c r="E280" s="224">
        <f t="shared" si="98"/>
        <v>196.97008096694665</v>
      </c>
      <c r="F280" s="242">
        <f t="shared" si="99"/>
        <v>26244</v>
      </c>
      <c r="I280" s="272"/>
      <c r="J280" s="257"/>
      <c r="L280" s="224">
        <f>L190</f>
        <v>162</v>
      </c>
      <c r="M280" s="224">
        <f>M37</f>
        <v>161.98412808812392</v>
      </c>
      <c r="N280" s="224">
        <f t="shared" si="101"/>
        <v>2.5191758660191374E-4</v>
      </c>
      <c r="O280" s="242">
        <f t="shared" si="102"/>
        <v>5372.8899999999976</v>
      </c>
      <c r="R280" s="251"/>
      <c r="S280" s="269" t="s">
        <v>258</v>
      </c>
      <c r="T280" s="287"/>
      <c r="U280" s="287"/>
      <c r="V280" s="287"/>
      <c r="W280" s="287"/>
      <c r="X280" s="288"/>
    </row>
    <row r="281" spans="1:24">
      <c r="A281" s="257"/>
      <c r="C281" s="224">
        <f t="shared" ref="C281:D283" si="105">C191</f>
        <v>41.333333333333336</v>
      </c>
      <c r="D281" s="224">
        <f t="shared" si="105"/>
        <v>55.290470761324059</v>
      </c>
      <c r="E281" s="224">
        <f t="shared" si="98"/>
        <v>194.8016851838195</v>
      </c>
      <c r="F281" s="242">
        <f t="shared" si="99"/>
        <v>1708.4444444444446</v>
      </c>
      <c r="I281" s="272"/>
      <c r="J281" s="257"/>
      <c r="L281" s="224">
        <f t="shared" ref="L281" si="106">L191</f>
        <v>41.333333333333336</v>
      </c>
      <c r="M281" s="224">
        <f>M38</f>
        <v>41.581235987076646</v>
      </c>
      <c r="N281" s="224">
        <f t="shared" si="101"/>
        <v>6.1455725732975447E-2</v>
      </c>
      <c r="O281" s="242">
        <f t="shared" si="102"/>
        <v>2243.6011111111125</v>
      </c>
      <c r="R281" s="251"/>
      <c r="S281" s="257"/>
      <c r="T281" s="218" t="s">
        <v>241</v>
      </c>
      <c r="U281" s="218" t="s">
        <v>14</v>
      </c>
      <c r="V281" s="218" t="s">
        <v>242</v>
      </c>
      <c r="W281" s="218" t="s">
        <v>243</v>
      </c>
      <c r="X281" s="272" t="s">
        <v>244</v>
      </c>
    </row>
    <row r="282" spans="1:24">
      <c r="A282" s="257"/>
      <c r="C282" s="224">
        <f t="shared" si="105"/>
        <v>24.666666666666668</v>
      </c>
      <c r="D282" s="224">
        <f t="shared" si="105"/>
        <v>29.361177818728802</v>
      </c>
      <c r="E282" s="224">
        <f t="shared" si="98"/>
        <v>22.038434956835744</v>
      </c>
      <c r="F282" s="242">
        <f t="shared" si="99"/>
        <v>608.44444444444446</v>
      </c>
      <c r="I282" s="272"/>
      <c r="J282" s="257"/>
      <c r="L282" s="224">
        <f t="shared" ref="L282" si="107">L192</f>
        <v>24.666666666666668</v>
      </c>
      <c r="M282" s="224">
        <f>M39</f>
        <v>24.306712396442101</v>
      </c>
      <c r="N282" s="224">
        <f t="shared" si="101"/>
        <v>0.12956707665290015</v>
      </c>
      <c r="O282" s="242">
        <f t="shared" si="102"/>
        <v>4100.267777777779</v>
      </c>
      <c r="R282" s="251"/>
      <c r="S282" s="257" t="s">
        <v>248</v>
      </c>
      <c r="U282" s="218" t="s">
        <v>247</v>
      </c>
      <c r="X282" s="272"/>
    </row>
    <row r="283" spans="1:24">
      <c r="A283" s="257"/>
      <c r="C283" s="224">
        <f t="shared" si="105"/>
        <v>68.666666666666671</v>
      </c>
      <c r="D283" s="224">
        <f t="shared" si="105"/>
        <v>74.489807696736634</v>
      </c>
      <c r="E283" s="224">
        <f t="shared" si="98"/>
        <v>33.908971456084259</v>
      </c>
      <c r="F283" s="242">
        <f t="shared" si="99"/>
        <v>4715.1111111111113</v>
      </c>
      <c r="I283" s="272"/>
      <c r="J283" s="257"/>
      <c r="L283" s="224">
        <f t="shared" ref="L283" si="108">L193</f>
        <v>68.666666666666671</v>
      </c>
      <c r="M283" s="224">
        <f>M40</f>
        <v>68.782622050179526</v>
      </c>
      <c r="N283" s="224">
        <f t="shared" si="101"/>
        <v>1.3445650965613247E-2</v>
      </c>
      <c r="O283" s="242">
        <f t="shared" si="102"/>
        <v>401.33444444444496</v>
      </c>
      <c r="R283" s="251"/>
      <c r="S283" s="241">
        <f>AVERAGE(U283:U302)</f>
        <v>88.700000000000017</v>
      </c>
      <c r="U283" s="224">
        <f>U187</f>
        <v>659.33333333333337</v>
      </c>
      <c r="V283" s="224">
        <f>U44</f>
        <v>660.81910844582683</v>
      </c>
      <c r="W283" s="224">
        <f>(U283-V283)^2</f>
        <v>2.2075276849049437</v>
      </c>
      <c r="X283" s="242">
        <f>(U283-$J$276)^2</f>
        <v>325622.4011111111</v>
      </c>
    </row>
    <row r="284" spans="1:24">
      <c r="A284" s="257"/>
      <c r="C284" s="224">
        <f>C200</f>
        <v>136.66666666666666</v>
      </c>
      <c r="D284" s="224">
        <f>D200</f>
        <v>117.56683946706343</v>
      </c>
      <c r="E284" s="224">
        <f t="shared" si="98"/>
        <v>364.80339905470322</v>
      </c>
      <c r="F284" s="242">
        <f t="shared" si="99"/>
        <v>18677.777777777774</v>
      </c>
      <c r="I284" s="272"/>
      <c r="J284" s="257"/>
      <c r="L284" s="224">
        <f>L200</f>
        <v>136.66666666666666</v>
      </c>
      <c r="M284" s="224">
        <f>N37</f>
        <v>136.64495836974734</v>
      </c>
      <c r="N284" s="224">
        <f t="shared" si="101"/>
        <v>4.7125015513711105E-4</v>
      </c>
      <c r="O284" s="242">
        <f t="shared" si="102"/>
        <v>2300.8011111111086</v>
      </c>
      <c r="R284" s="251"/>
      <c r="S284" s="257"/>
      <c r="U284" s="224">
        <f t="shared" ref="U284" si="109">U188</f>
        <v>72</v>
      </c>
      <c r="V284" s="224">
        <f>U45</f>
        <v>80.525323679173894</v>
      </c>
      <c r="W284" s="224">
        <f t="shared" ref="W284:W302" si="110">(U284-V284)^2</f>
        <v>72.681143834683098</v>
      </c>
      <c r="X284" s="242">
        <f t="shared" ref="X284:X302" si="111">(U284-$J$276)^2</f>
        <v>278.89000000000055</v>
      </c>
    </row>
    <row r="285" spans="1:24">
      <c r="A285" s="257"/>
      <c r="C285" s="224">
        <f t="shared" ref="C285:D287" si="112">C201</f>
        <v>27.666666666666668</v>
      </c>
      <c r="D285" s="224">
        <f t="shared" si="112"/>
        <v>34.856500821761486</v>
      </c>
      <c r="E285" s="224">
        <f t="shared" si="98"/>
        <v>51.69371517776802</v>
      </c>
      <c r="F285" s="242">
        <f t="shared" si="99"/>
        <v>765.44444444444446</v>
      </c>
      <c r="I285" s="272"/>
      <c r="J285" s="257"/>
      <c r="L285" s="224">
        <f t="shared" ref="L285" si="113">L201</f>
        <v>27.666666666666668</v>
      </c>
      <c r="M285" s="224">
        <f>N38</f>
        <v>27.830907270330751</v>
      </c>
      <c r="N285" s="224">
        <f t="shared" si="101"/>
        <v>2.6974975891942574E-2</v>
      </c>
      <c r="O285" s="242">
        <f t="shared" si="102"/>
        <v>3725.0677777777792</v>
      </c>
      <c r="R285" s="251"/>
      <c r="S285" s="257"/>
      <c r="U285" s="224">
        <f t="shared" ref="U285" si="114">U189</f>
        <v>70.666666666666671</v>
      </c>
      <c r="V285" s="224">
        <f>U46</f>
        <v>68.537613567977743</v>
      </c>
      <c r="W285" s="224">
        <f t="shared" si="110"/>
        <v>4.5328670970369265</v>
      </c>
      <c r="X285" s="242">
        <f t="shared" si="111"/>
        <v>325.20111111111157</v>
      </c>
    </row>
    <row r="286" spans="1:24">
      <c r="A286" s="257"/>
      <c r="C286" s="224">
        <f t="shared" si="112"/>
        <v>19.666666666666668</v>
      </c>
      <c r="D286" s="224">
        <f t="shared" si="112"/>
        <v>22.048084121356375</v>
      </c>
      <c r="E286" s="224">
        <f t="shared" si="98"/>
        <v>5.6711490935008033</v>
      </c>
      <c r="F286" s="242">
        <f t="shared" si="99"/>
        <v>386.77777777777783</v>
      </c>
      <c r="I286" s="272"/>
      <c r="J286" s="257"/>
      <c r="L286" s="224">
        <f t="shared" ref="L286" si="115">L202</f>
        <v>19.666666666666668</v>
      </c>
      <c r="M286" s="224">
        <f>N39</f>
        <v>19.378496412543022</v>
      </c>
      <c r="N286" s="224">
        <f t="shared" si="101"/>
        <v>8.3042095361686552E-2</v>
      </c>
      <c r="O286" s="242">
        <f t="shared" si="102"/>
        <v>4765.6011111111129</v>
      </c>
      <c r="R286" s="251"/>
      <c r="S286" s="257"/>
      <c r="U286" s="224">
        <f t="shared" ref="U286" si="116">U190</f>
        <v>135.33333333333334</v>
      </c>
      <c r="V286" s="224">
        <f>U47</f>
        <v>128.0910646200627</v>
      </c>
      <c r="W286" s="224">
        <f t="shared" si="110"/>
        <v>52.450456115218877</v>
      </c>
      <c r="X286" s="242">
        <f t="shared" si="111"/>
        <v>2174.6677777777772</v>
      </c>
    </row>
    <row r="287" spans="1:24">
      <c r="A287" s="257"/>
      <c r="C287" s="224">
        <f t="shared" si="112"/>
        <v>46</v>
      </c>
      <c r="D287" s="224">
        <f t="shared" si="112"/>
        <v>46.998696301843268</v>
      </c>
      <c r="E287" s="224">
        <f t="shared" si="98"/>
        <v>0.9973943033154189</v>
      </c>
      <c r="F287" s="242">
        <f t="shared" si="99"/>
        <v>2116</v>
      </c>
      <c r="I287" s="272"/>
      <c r="J287" s="257"/>
      <c r="L287" s="224">
        <f t="shared" ref="L287" si="117">L203</f>
        <v>46</v>
      </c>
      <c r="M287" s="224">
        <f>N40</f>
        <v>46.074873990423647</v>
      </c>
      <c r="N287" s="224">
        <f t="shared" si="101"/>
        <v>5.6061144419604254E-3</v>
      </c>
      <c r="O287" s="242">
        <f t="shared" si="102"/>
        <v>1823.2900000000016</v>
      </c>
      <c r="R287" s="251"/>
      <c r="S287" s="257"/>
      <c r="U287" s="224">
        <f>U197</f>
        <v>162</v>
      </c>
      <c r="V287" s="224">
        <f>V44</f>
        <v>153.0710777304599</v>
      </c>
      <c r="W287" s="224">
        <f t="shared" si="110"/>
        <v>79.725652895489048</v>
      </c>
      <c r="X287" s="242">
        <f t="shared" si="111"/>
        <v>5372.8899999999976</v>
      </c>
    </row>
    <row r="288" spans="1:24">
      <c r="A288" s="257"/>
      <c r="C288" s="224">
        <f>C210</f>
        <v>84.666666666666671</v>
      </c>
      <c r="D288" s="224">
        <f>D210</f>
        <v>69.802528747290495</v>
      </c>
      <c r="E288" s="224">
        <f t="shared" si="98"/>
        <v>220.94259608623673</v>
      </c>
      <c r="F288" s="242">
        <f t="shared" si="99"/>
        <v>7168.4444444444453</v>
      </c>
      <c r="I288" s="272"/>
      <c r="J288" s="257"/>
      <c r="L288" s="224">
        <f>L210</f>
        <v>84.666666666666671</v>
      </c>
      <c r="M288" s="224">
        <f>O37</f>
        <v>84.649561936592121</v>
      </c>
      <c r="N288" s="224">
        <f t="shared" si="101"/>
        <v>2.9257179092321298E-4</v>
      </c>
      <c r="O288" s="242">
        <f t="shared" si="102"/>
        <v>16.267777777777876</v>
      </c>
      <c r="R288" s="251"/>
      <c r="S288" s="257"/>
      <c r="U288" s="224">
        <f t="shared" ref="U288" si="118">U198</f>
        <v>41.333333333333336</v>
      </c>
      <c r="V288" s="224">
        <f>V45</f>
        <v>48.762439527297936</v>
      </c>
      <c r="W288" s="224">
        <f t="shared" si="110"/>
        <v>55.191618841203187</v>
      </c>
      <c r="X288" s="242">
        <f t="shared" si="111"/>
        <v>2243.6011111111125</v>
      </c>
    </row>
    <row r="289" spans="1:24">
      <c r="A289" s="257"/>
      <c r="C289" s="224">
        <f t="shared" ref="C289:D291" si="119">C211</f>
        <v>20.666666666666668</v>
      </c>
      <c r="D289" s="224">
        <f t="shared" si="119"/>
        <v>24.953636077576586</v>
      </c>
      <c r="E289" s="224">
        <f t="shared" si="98"/>
        <v>18.378106730077334</v>
      </c>
      <c r="F289" s="242">
        <f t="shared" si="99"/>
        <v>427.11111111111114</v>
      </c>
      <c r="I289" s="272"/>
      <c r="J289" s="257"/>
      <c r="L289" s="224">
        <f t="shared" ref="L289" si="120">L211</f>
        <v>20.666666666666668</v>
      </c>
      <c r="M289" s="224">
        <f>O38</f>
        <v>20.788454525956297</v>
      </c>
      <c r="N289" s="224">
        <f t="shared" si="101"/>
        <v>1.4832282670350496E-2</v>
      </c>
      <c r="O289" s="242">
        <f t="shared" si="102"/>
        <v>4628.5344444444463</v>
      </c>
      <c r="R289" s="251"/>
      <c r="S289" s="257"/>
      <c r="U289" s="224">
        <f t="shared" ref="U289" si="121">U199</f>
        <v>24.666666666666668</v>
      </c>
      <c r="V289" s="224">
        <f>V46</f>
        <v>23.627039568187506</v>
      </c>
      <c r="W289" s="224">
        <f t="shared" si="110"/>
        <v>1.0808245038922013</v>
      </c>
      <c r="X289" s="242">
        <f t="shared" si="111"/>
        <v>4100.267777777779</v>
      </c>
    </row>
    <row r="290" spans="1:24">
      <c r="A290" s="257"/>
      <c r="C290" s="224">
        <f t="shared" si="119"/>
        <v>17.666666666666668</v>
      </c>
      <c r="D290" s="224">
        <f t="shared" si="119"/>
        <v>18.981527923875721</v>
      </c>
      <c r="E290" s="224">
        <f t="shared" si="98"/>
        <v>1.7288601257093708</v>
      </c>
      <c r="F290" s="242">
        <f t="shared" si="99"/>
        <v>312.11111111111114</v>
      </c>
      <c r="I290" s="272"/>
      <c r="J290" s="257"/>
      <c r="L290" s="224">
        <f t="shared" ref="L290" si="122">L212</f>
        <v>17.666666666666668</v>
      </c>
      <c r="M290" s="224">
        <f>O39</f>
        <v>17.40705001855461</v>
      </c>
      <c r="N290" s="224">
        <f t="shared" si="101"/>
        <v>6.7400803976939969E-2</v>
      </c>
      <c r="O290" s="242">
        <f t="shared" si="102"/>
        <v>5045.7344444444461</v>
      </c>
      <c r="R290" s="251"/>
      <c r="S290" s="257"/>
      <c r="U290" s="224">
        <f t="shared" ref="U290" si="123">U200</f>
        <v>68.666666666666671</v>
      </c>
      <c r="V290" s="224">
        <f>V47</f>
        <v>67.444523312817267</v>
      </c>
      <c r="W290" s="224">
        <f t="shared" si="110"/>
        <v>1.4936343773582694</v>
      </c>
      <c r="X290" s="242">
        <f t="shared" si="111"/>
        <v>401.33444444444496</v>
      </c>
    </row>
    <row r="291" spans="1:24">
      <c r="A291" s="257"/>
      <c r="C291" s="224">
        <f t="shared" si="119"/>
        <v>35.333333333333336</v>
      </c>
      <c r="D291" s="224">
        <f t="shared" si="119"/>
        <v>34.597844550820078</v>
      </c>
      <c r="E291" s="224">
        <f t="shared" si="98"/>
        <v>0.54094374920283439</v>
      </c>
      <c r="F291" s="242">
        <f t="shared" si="99"/>
        <v>1248.4444444444446</v>
      </c>
      <c r="I291" s="272"/>
      <c r="J291" s="257"/>
      <c r="L291" s="224">
        <f t="shared" ref="L291" si="124">L213</f>
        <v>35.333333333333336</v>
      </c>
      <c r="M291" s="224">
        <f>O40</f>
        <v>35.389316707199676</v>
      </c>
      <c r="N291" s="224">
        <f t="shared" si="101"/>
        <v>3.1341381494584008E-3</v>
      </c>
      <c r="O291" s="242">
        <f t="shared" si="102"/>
        <v>2848.0011111111126</v>
      </c>
      <c r="R291" s="251"/>
      <c r="S291" s="257"/>
      <c r="U291" s="224">
        <f>U207</f>
        <v>136.66666666666666</v>
      </c>
      <c r="V291" s="224">
        <f>W44</f>
        <v>135.98482008302128</v>
      </c>
      <c r="W291" s="224">
        <f t="shared" si="110"/>
        <v>0.46491476362887768</v>
      </c>
      <c r="X291" s="242">
        <f t="shared" si="111"/>
        <v>2300.8011111111086</v>
      </c>
    </row>
    <row r="292" spans="1:24">
      <c r="A292" s="257"/>
      <c r="C292" s="224">
        <f>C220</f>
        <v>81.666666666666671</v>
      </c>
      <c r="D292" s="224">
        <f>D220</f>
        <v>65.145149372080951</v>
      </c>
      <c r="E292" s="224">
        <f t="shared" si="98"/>
        <v>272.96053371529507</v>
      </c>
      <c r="F292" s="242">
        <f t="shared" si="99"/>
        <v>6669.4444444444453</v>
      </c>
      <c r="I292" s="272"/>
      <c r="J292" s="257"/>
      <c r="L292" s="224">
        <f>L220</f>
        <v>81.666666666666671</v>
      </c>
      <c r="M292" s="224">
        <f>P37</f>
        <v>81.647432651051659</v>
      </c>
      <c r="N292" s="224">
        <f t="shared" si="101"/>
        <v>3.699473566785396E-4</v>
      </c>
      <c r="O292" s="242">
        <f t="shared" si="102"/>
        <v>49.467777777777954</v>
      </c>
      <c r="R292" s="251"/>
      <c r="S292" s="257"/>
      <c r="U292" s="224">
        <f t="shared" ref="U292" si="125">U208</f>
        <v>27.666666666666668</v>
      </c>
      <c r="V292" s="224">
        <f>W45</f>
        <v>33.334193034279387</v>
      </c>
      <c r="W292" s="224">
        <f t="shared" si="110"/>
        <v>32.120855127585429</v>
      </c>
      <c r="X292" s="242">
        <f t="shared" si="111"/>
        <v>3725.0677777777792</v>
      </c>
    </row>
    <row r="293" spans="1:24">
      <c r="A293" s="257"/>
      <c r="C293" s="224">
        <f t="shared" ref="C293:D295" si="126">C221</f>
        <v>20.333333333333332</v>
      </c>
      <c r="D293" s="224">
        <f t="shared" si="126"/>
        <v>23.754754305696281</v>
      </c>
      <c r="E293" s="224">
        <f t="shared" si="98"/>
        <v>11.706121470125026</v>
      </c>
      <c r="F293" s="242">
        <f>(C293-$BK$5)^2</f>
        <v>413.4444444444444</v>
      </c>
      <c r="I293" s="272"/>
      <c r="J293" s="257"/>
      <c r="L293" s="224">
        <f t="shared" ref="L293" si="127">L221</f>
        <v>20.333333333333332</v>
      </c>
      <c r="M293" s="224">
        <f>P38</f>
        <v>20.452471672011551</v>
      </c>
      <c r="N293" s="224">
        <f t="shared" si="101"/>
        <v>1.4193943743006063E-2</v>
      </c>
      <c r="O293" s="242">
        <f t="shared" si="102"/>
        <v>4674.0011111111144</v>
      </c>
      <c r="R293" s="251"/>
      <c r="S293" s="257"/>
      <c r="U293" s="224">
        <f t="shared" ref="U293" si="128">U209</f>
        <v>19.666666666666668</v>
      </c>
      <c r="V293" s="224">
        <f>W46</f>
        <v>19.689411265818645</v>
      </c>
      <c r="W293" s="224">
        <f t="shared" si="110"/>
        <v>5.1731679058412386E-4</v>
      </c>
      <c r="X293" s="242">
        <f t="shared" si="111"/>
        <v>4765.6011111111129</v>
      </c>
    </row>
    <row r="294" spans="1:24">
      <c r="A294" s="257"/>
      <c r="C294" s="224">
        <f t="shared" si="126"/>
        <v>16.333333333333332</v>
      </c>
      <c r="D294" s="224">
        <f t="shared" si="126"/>
        <v>16.979697111111829</v>
      </c>
      <c r="E294" s="224">
        <f t="shared" si="98"/>
        <v>0.41778613322408992</v>
      </c>
      <c r="F294" s="242">
        <f t="shared" si="99"/>
        <v>266.77777777777771</v>
      </c>
      <c r="I294" s="272"/>
      <c r="J294" s="257"/>
      <c r="L294" s="224">
        <f t="shared" ref="L294" si="129">L222</f>
        <v>16.333333333333332</v>
      </c>
      <c r="M294" s="224">
        <f>P39</f>
        <v>16.09277125323575</v>
      </c>
      <c r="N294" s="224">
        <f t="shared" si="101"/>
        <v>5.7870114380875699E-2</v>
      </c>
      <c r="O294" s="242">
        <f t="shared" si="102"/>
        <v>5236.9344444444478</v>
      </c>
      <c r="R294" s="251"/>
      <c r="S294" s="257"/>
      <c r="U294" s="224">
        <f t="shared" ref="U294" si="130">U210</f>
        <v>46</v>
      </c>
      <c r="V294" s="224">
        <f>W47</f>
        <v>46.148088857521557</v>
      </c>
      <c r="W294" s="224">
        <f t="shared" si="110"/>
        <v>2.1930309722040103E-2</v>
      </c>
      <c r="X294" s="242">
        <f t="shared" si="111"/>
        <v>1823.2900000000016</v>
      </c>
    </row>
    <row r="295" spans="1:24">
      <c r="A295" s="257"/>
      <c r="C295" s="224">
        <f t="shared" si="126"/>
        <v>33.333333333333336</v>
      </c>
      <c r="D295" s="224">
        <f t="shared" si="126"/>
        <v>31.580698980900987</v>
      </c>
      <c r="E295" s="224">
        <f t="shared" si="98"/>
        <v>3.0717271733259581</v>
      </c>
      <c r="F295" s="242">
        <f t="shared" si="99"/>
        <v>1111.1111111111113</v>
      </c>
      <c r="I295" s="272"/>
      <c r="J295" s="257"/>
      <c r="L295" s="224">
        <f t="shared" ref="L295" si="131">L223</f>
        <v>33.333333333333336</v>
      </c>
      <c r="M295" s="224">
        <f>P40</f>
        <v>33.385029369124439</v>
      </c>
      <c r="N295" s="224">
        <f t="shared" si="101"/>
        <v>2.6724801165150186E-3</v>
      </c>
      <c r="O295" s="242">
        <f t="shared" si="102"/>
        <v>3065.4677777777792</v>
      </c>
      <c r="R295" s="251"/>
      <c r="S295" s="257"/>
      <c r="U295" s="224">
        <f>U217</f>
        <v>84.666666666666671</v>
      </c>
      <c r="V295" s="224">
        <f>X44</f>
        <v>83.344891046712647</v>
      </c>
      <c r="W295" s="224">
        <f t="shared" si="110"/>
        <v>1.7470907895048464</v>
      </c>
      <c r="X295" s="242">
        <f t="shared" si="111"/>
        <v>16.267777777777876</v>
      </c>
    </row>
    <row r="296" spans="1:24">
      <c r="A296" s="257"/>
      <c r="C296" s="224"/>
      <c r="D296" s="218" t="s">
        <v>249</v>
      </c>
      <c r="E296" s="224">
        <f>SUM(E276:E295)</f>
        <v>3919.4184907434592</v>
      </c>
      <c r="F296" s="242">
        <f>SUM(F276:F295)</f>
        <v>536052.22222222236</v>
      </c>
      <c r="I296" s="272"/>
      <c r="J296" s="257"/>
      <c r="L296" s="224"/>
      <c r="M296" s="218" t="s">
        <v>249</v>
      </c>
      <c r="N296" s="224">
        <f>SUM(N276:N295)</f>
        <v>1.7820380891290526</v>
      </c>
      <c r="O296" s="242">
        <f>SUM(O276:O295)</f>
        <v>378698.42222222226</v>
      </c>
      <c r="R296" s="251"/>
      <c r="S296" s="257"/>
      <c r="U296" s="224">
        <f t="shared" ref="U296" si="132">U218</f>
        <v>20.666666666666668</v>
      </c>
      <c r="V296" s="224">
        <f>X45</f>
        <v>25.252173827723315</v>
      </c>
      <c r="W296" s="224">
        <f t="shared" si="110"/>
        <v>21.026875924101791</v>
      </c>
      <c r="X296" s="242">
        <f t="shared" si="111"/>
        <v>4628.5344444444463</v>
      </c>
    </row>
    <row r="297" spans="1:24">
      <c r="A297" s="257"/>
      <c r="C297" s="224"/>
      <c r="E297" s="224" t="s">
        <v>250</v>
      </c>
      <c r="F297" s="282">
        <f>E296/F296</f>
        <v>7.3116355613551589E-3</v>
      </c>
      <c r="I297" s="272"/>
      <c r="J297" s="257"/>
      <c r="L297" s="224"/>
      <c r="N297" s="224" t="s">
        <v>250</v>
      </c>
      <c r="O297" s="282">
        <f>N296/O296</f>
        <v>4.7056918765912979E-6</v>
      </c>
      <c r="R297" s="251"/>
      <c r="S297" s="257"/>
      <c r="U297" s="224">
        <f t="shared" ref="U297" si="133">U219</f>
        <v>17.666666666666668</v>
      </c>
      <c r="V297" s="224">
        <f>X46</f>
        <v>18.380430094414937</v>
      </c>
      <c r="W297" s="224">
        <f t="shared" si="110"/>
        <v>0.50945823079095831</v>
      </c>
      <c r="X297" s="242">
        <f t="shared" si="111"/>
        <v>5045.7344444444461</v>
      </c>
    </row>
    <row r="298" spans="1:24">
      <c r="A298" s="259"/>
      <c r="B298" s="262"/>
      <c r="C298" s="245"/>
      <c r="D298" s="262"/>
      <c r="E298" s="276" t="s">
        <v>251</v>
      </c>
      <c r="F298" s="277">
        <f>1-F297</f>
        <v>0.99268836443864483</v>
      </c>
      <c r="I298" s="272"/>
      <c r="J298" s="259"/>
      <c r="K298" s="262"/>
      <c r="L298" s="245"/>
      <c r="M298" s="262"/>
      <c r="N298" s="276" t="s">
        <v>251</v>
      </c>
      <c r="O298" s="277">
        <f>1-O297</f>
        <v>0.99999529430812339</v>
      </c>
      <c r="R298" s="251"/>
      <c r="S298" s="257"/>
      <c r="U298" s="224">
        <f t="shared" ref="U298" si="134">U220</f>
        <v>35.333333333333336</v>
      </c>
      <c r="V298" s="224">
        <f>X47</f>
        <v>36.081044088735922</v>
      </c>
      <c r="W298" s="224">
        <f t="shared" si="110"/>
        <v>0.55907137374470628</v>
      </c>
      <c r="X298" s="242">
        <f t="shared" si="111"/>
        <v>2848.0011111111126</v>
      </c>
    </row>
    <row r="299" spans="1:24">
      <c r="R299" s="251"/>
      <c r="S299" s="257"/>
      <c r="U299" s="224">
        <f>U227</f>
        <v>81.666666666666671</v>
      </c>
      <c r="V299" s="224">
        <f>Y44</f>
        <v>83.343612064257229</v>
      </c>
      <c r="W299" s="224">
        <f t="shared" si="110"/>
        <v>2.8121458665001535</v>
      </c>
      <c r="X299" s="242">
        <f t="shared" si="111"/>
        <v>49.467777777777954</v>
      </c>
    </row>
    <row r="300" spans="1:24">
      <c r="S300" s="257"/>
      <c r="U300" s="224">
        <f t="shared" ref="U300" si="135">U228</f>
        <v>20.333333333333332</v>
      </c>
      <c r="V300" s="224">
        <f>Y45</f>
        <v>25.824801588970598</v>
      </c>
      <c r="W300" s="224">
        <f t="shared" si="110"/>
        <v>30.15622360267179</v>
      </c>
      <c r="X300" s="242">
        <f t="shared" si="111"/>
        <v>4674.0011111111144</v>
      </c>
    </row>
    <row r="301" spans="1:24">
      <c r="S301" s="257"/>
      <c r="U301" s="224">
        <f t="shared" ref="U301" si="136">U229</f>
        <v>16.333333333333332</v>
      </c>
      <c r="V301" s="224">
        <f>Y46</f>
        <v>17.518612593053568</v>
      </c>
      <c r="W301" s="224">
        <f t="shared" si="110"/>
        <v>1.4048869235229506</v>
      </c>
      <c r="X301" s="242">
        <f t="shared" si="111"/>
        <v>5236.9344444444478</v>
      </c>
    </row>
    <row r="302" spans="1:24">
      <c r="S302" s="257"/>
      <c r="U302" s="224">
        <f t="shared" ref="U302" si="137">U230</f>
        <v>33.333333333333336</v>
      </c>
      <c r="V302" s="224">
        <f>Y47</f>
        <v>35.185070610795663</v>
      </c>
      <c r="W302" s="224">
        <f t="shared" si="110"/>
        <v>3.4289309447435903</v>
      </c>
      <c r="X302" s="242">
        <f t="shared" si="111"/>
        <v>3065.4677777777792</v>
      </c>
    </row>
    <row r="303" spans="1:24">
      <c r="S303" s="257"/>
      <c r="U303" s="224"/>
      <c r="V303" s="218" t="s">
        <v>249</v>
      </c>
      <c r="W303" s="224">
        <f>SUM(W283:W302)</f>
        <v>363.61662652309423</v>
      </c>
      <c r="X303" s="242">
        <f>SUM(X283:X302)</f>
        <v>378698.42222222226</v>
      </c>
    </row>
    <row r="304" spans="1:24">
      <c r="S304" s="257"/>
      <c r="U304" s="224"/>
      <c r="W304" s="224" t="s">
        <v>250</v>
      </c>
      <c r="X304" s="282">
        <f>W303/X303</f>
        <v>9.6017465398818603E-4</v>
      </c>
    </row>
    <row r="305" spans="19:24">
      <c r="S305" s="259"/>
      <c r="T305" s="262"/>
      <c r="U305" s="245"/>
      <c r="V305" s="262"/>
      <c r="W305" s="276" t="s">
        <v>251</v>
      </c>
      <c r="X305" s="277">
        <f>1-X304</f>
        <v>0.99903982534601177</v>
      </c>
    </row>
  </sheetData>
  <mergeCells count="36">
    <mergeCell ref="A19:C19"/>
    <mergeCell ref="J19:L19"/>
    <mergeCell ref="S19:U19"/>
    <mergeCell ref="N3:P3"/>
    <mergeCell ref="M5:M9"/>
    <mergeCell ref="B3:D3"/>
    <mergeCell ref="F3:H3"/>
    <mergeCell ref="E4:E9"/>
    <mergeCell ref="J3:L3"/>
    <mergeCell ref="I5:I9"/>
    <mergeCell ref="AH16:AH19"/>
    <mergeCell ref="AI6:AI8"/>
    <mergeCell ref="AI9:AI12"/>
    <mergeCell ref="AI13:AI15"/>
    <mergeCell ref="AI16:AI19"/>
    <mergeCell ref="AH4:AH5"/>
    <mergeCell ref="AJ4:AN4"/>
    <mergeCell ref="AI4:AI5"/>
    <mergeCell ref="C10:G10"/>
    <mergeCell ref="K11:L11"/>
    <mergeCell ref="Q3:Q6"/>
    <mergeCell ref="Q7:Q10"/>
    <mergeCell ref="Q11:Q14"/>
    <mergeCell ref="U3:U6"/>
    <mergeCell ref="U7:U10"/>
    <mergeCell ref="AH6:AH8"/>
    <mergeCell ref="AH9:AH12"/>
    <mergeCell ref="AH13:AH15"/>
    <mergeCell ref="V1:V2"/>
    <mergeCell ref="W1:W2"/>
    <mergeCell ref="X1:X2"/>
    <mergeCell ref="Q1:Q2"/>
    <mergeCell ref="R1:R2"/>
    <mergeCell ref="S1:S2"/>
    <mergeCell ref="T1:T2"/>
    <mergeCell ref="U1:U2"/>
  </mergeCells>
  <phoneticPr fontId="4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84"/>
  <sheetViews>
    <sheetView zoomScale="70" zoomScaleNormal="70" workbookViewId="0">
      <selection activeCell="W56" sqref="W56"/>
    </sheetView>
  </sheetViews>
  <sheetFormatPr defaultRowHeight="12.75"/>
  <cols>
    <col min="1" max="1" width="22.5703125" style="39" customWidth="1"/>
    <col min="2" max="2" width="10.28515625" style="39" customWidth="1"/>
    <col min="3" max="3" width="9.42578125" style="39" customWidth="1"/>
    <col min="4" max="4" width="9" style="39" customWidth="1"/>
    <col min="5" max="5" width="11.5703125" style="39" customWidth="1"/>
    <col min="6" max="6" width="19.7109375" style="39" customWidth="1"/>
    <col min="7" max="8" width="13.5703125" style="39" customWidth="1"/>
    <col min="9" max="9" width="10.140625" style="39" customWidth="1"/>
    <col min="10" max="10" width="11.42578125" style="39" customWidth="1"/>
    <col min="11" max="11" width="5" style="39" customWidth="1"/>
    <col min="12" max="12" width="9.7109375" style="39" customWidth="1"/>
    <col min="13" max="13" width="14.140625" style="39" customWidth="1"/>
    <col min="14" max="14" width="13.5703125" style="39" customWidth="1"/>
    <col min="15" max="16" width="13.5703125" style="44" customWidth="1"/>
    <col min="17" max="17" width="17.140625" style="44" customWidth="1"/>
    <col min="18" max="18" width="10.140625" style="44" customWidth="1"/>
    <col min="19" max="19" width="9.140625" style="44"/>
    <col min="20" max="20" width="9.42578125" style="44" customWidth="1"/>
    <col min="21" max="21" width="8.85546875" style="44" customWidth="1"/>
    <col min="22" max="22" width="11.5703125" style="44" customWidth="1"/>
    <col min="23" max="23" width="14.7109375" style="44" customWidth="1"/>
    <col min="24" max="24" width="9.85546875" style="44" customWidth="1"/>
    <col min="25" max="25" width="10.7109375" style="44" customWidth="1"/>
    <col min="26" max="28" width="9.140625" style="44"/>
    <col min="29" max="29" width="19.28515625" style="44" customWidth="1"/>
    <col min="30" max="30" width="23.85546875" style="44" customWidth="1"/>
    <col min="31" max="31" width="9.140625" style="44"/>
    <col min="32" max="32" width="19.42578125" style="44" customWidth="1"/>
    <col min="33" max="33" width="9.140625" style="44" customWidth="1"/>
    <col min="34" max="64" width="9.140625" style="44"/>
    <col min="65" max="16384" width="9.140625" style="39"/>
  </cols>
  <sheetData>
    <row r="1" spans="1:22" ht="15">
      <c r="A1" s="345" t="s">
        <v>120</v>
      </c>
      <c r="B1" s="43"/>
      <c r="M1" s="141"/>
      <c r="N1" s="533"/>
      <c r="O1" s="533"/>
      <c r="P1" s="533"/>
      <c r="Q1" s="533"/>
      <c r="R1" s="533"/>
      <c r="S1" s="533"/>
      <c r="T1" s="533"/>
      <c r="U1" s="533"/>
      <c r="V1" s="142"/>
    </row>
    <row r="2" spans="1:22" ht="18.75" thickBot="1">
      <c r="A2" s="43"/>
      <c r="B2" s="43"/>
      <c r="L2" s="66"/>
      <c r="M2" s="143"/>
      <c r="N2" s="144"/>
      <c r="O2" s="144"/>
      <c r="P2" s="144"/>
      <c r="Q2" s="144"/>
      <c r="R2" s="144"/>
      <c r="S2" s="144"/>
      <c r="T2" s="144"/>
      <c r="U2" s="144"/>
      <c r="V2" s="142"/>
    </row>
    <row r="3" spans="1:22" ht="14.25" thickTop="1" thickBot="1">
      <c r="A3" s="104" t="s">
        <v>34</v>
      </c>
      <c r="B3" s="105" t="s">
        <v>82</v>
      </c>
      <c r="C3" s="105" t="s">
        <v>83</v>
      </c>
      <c r="D3" s="106" t="s">
        <v>33</v>
      </c>
      <c r="E3" s="537" t="s">
        <v>11</v>
      </c>
      <c r="F3" s="538"/>
      <c r="G3" s="46" t="s">
        <v>91</v>
      </c>
      <c r="H3" s="46"/>
      <c r="I3" s="46"/>
      <c r="J3" s="46"/>
      <c r="K3" s="46"/>
      <c r="L3" s="66"/>
      <c r="M3" s="144"/>
      <c r="N3" s="145"/>
      <c r="O3" s="146"/>
      <c r="P3" s="144"/>
      <c r="Q3" s="144"/>
      <c r="R3" s="142"/>
      <c r="S3" s="142"/>
      <c r="T3" s="142"/>
      <c r="U3" s="142"/>
      <c r="V3" s="142"/>
    </row>
    <row r="4" spans="1:22" ht="15.75" thickTop="1" thickBot="1">
      <c r="A4" s="39" t="s">
        <v>76</v>
      </c>
      <c r="B4" s="39" t="s">
        <v>5</v>
      </c>
      <c r="C4" s="39">
        <f>6.915*10^-7</f>
        <v>6.9149999999999997E-7</v>
      </c>
      <c r="D4" s="109" t="s">
        <v>96</v>
      </c>
      <c r="E4" s="103" t="s">
        <v>59</v>
      </c>
      <c r="F4" s="112" t="s">
        <v>4</v>
      </c>
      <c r="G4" s="41"/>
      <c r="H4" s="41"/>
      <c r="I4" s="41"/>
      <c r="J4" s="41"/>
      <c r="K4" s="41"/>
      <c r="L4" s="66"/>
      <c r="M4" s="144"/>
      <c r="N4" s="145"/>
      <c r="O4" s="146"/>
      <c r="P4" s="147"/>
      <c r="Q4" s="144"/>
      <c r="R4" s="142"/>
      <c r="S4" s="142"/>
      <c r="T4" s="142"/>
      <c r="U4" s="142"/>
      <c r="V4" s="142"/>
    </row>
    <row r="5" spans="1:22" ht="13.5" thickTop="1">
      <c r="A5" s="39" t="s">
        <v>77</v>
      </c>
      <c r="B5" s="39" t="s">
        <v>6</v>
      </c>
      <c r="C5" s="39">
        <f>200*10^-6</f>
        <v>1.9999999999999998E-4</v>
      </c>
      <c r="D5" s="110" t="s">
        <v>1</v>
      </c>
      <c r="E5" s="50">
        <v>1</v>
      </c>
      <c r="F5" s="113">
        <f>'2'!C74</f>
        <v>4.0370139142140993E-2</v>
      </c>
      <c r="G5" s="41"/>
      <c r="H5" s="41"/>
      <c r="I5" s="41"/>
      <c r="J5" s="41"/>
      <c r="K5" s="41"/>
      <c r="L5" s="66"/>
      <c r="M5" s="144"/>
      <c r="N5" s="145"/>
      <c r="O5" s="146"/>
      <c r="P5" s="144"/>
      <c r="Q5" s="144"/>
      <c r="R5" s="142"/>
      <c r="S5" s="142"/>
      <c r="T5" s="142"/>
      <c r="U5" s="142"/>
      <c r="V5" s="142"/>
    </row>
    <row r="6" spans="1:22" ht="14.25">
      <c r="A6" s="39" t="s">
        <v>78</v>
      </c>
      <c r="B6" s="39" t="s">
        <v>7</v>
      </c>
      <c r="C6" s="39">
        <v>9.81</v>
      </c>
      <c r="D6" s="110" t="s">
        <v>97</v>
      </c>
      <c r="E6" s="50">
        <v>2</v>
      </c>
      <c r="F6" s="113">
        <f>'2'!C75</f>
        <v>0.42156304088312835</v>
      </c>
      <c r="G6" s="41"/>
      <c r="H6" s="41"/>
      <c r="I6" s="41"/>
      <c r="J6" s="41"/>
      <c r="K6" s="41"/>
      <c r="L6" s="66"/>
      <c r="M6" s="144"/>
      <c r="N6" s="144"/>
      <c r="O6" s="144"/>
      <c r="P6" s="144"/>
      <c r="Q6" s="144"/>
      <c r="R6" s="142"/>
      <c r="S6" s="142"/>
      <c r="T6" s="142"/>
      <c r="U6" s="142"/>
      <c r="V6" s="142"/>
    </row>
    <row r="7" spans="1:22" ht="15.75" customHeight="1" thickBot="1">
      <c r="A7" s="39" t="s">
        <v>79</v>
      </c>
      <c r="B7" s="39" t="s">
        <v>8</v>
      </c>
      <c r="C7" s="39">
        <v>993.33</v>
      </c>
      <c r="D7" s="110" t="s">
        <v>98</v>
      </c>
      <c r="E7" s="50">
        <v>3</v>
      </c>
      <c r="F7" s="113">
        <f>'2'!C76</f>
        <v>0.79207161149558847</v>
      </c>
      <c r="G7" s="545" t="s">
        <v>92</v>
      </c>
      <c r="H7" s="545"/>
      <c r="I7" s="51"/>
      <c r="J7" s="545" t="s">
        <v>93</v>
      </c>
      <c r="K7" s="545"/>
      <c r="L7" s="123"/>
      <c r="M7" s="66"/>
      <c r="N7" s="66"/>
      <c r="O7" s="66"/>
      <c r="P7" s="66"/>
      <c r="Q7" s="66"/>
    </row>
    <row r="8" spans="1:22" ht="14.25">
      <c r="A8" s="39" t="s">
        <v>80</v>
      </c>
      <c r="B8" s="39" t="s">
        <v>9</v>
      </c>
      <c r="C8" s="39">
        <v>1024</v>
      </c>
      <c r="D8" s="110" t="s">
        <v>98</v>
      </c>
      <c r="E8" s="108">
        <v>4</v>
      </c>
      <c r="F8" s="113">
        <f>'2'!C77</f>
        <v>1.2085213566891468</v>
      </c>
      <c r="L8" s="66"/>
      <c r="M8" s="66"/>
      <c r="N8" s="66"/>
      <c r="O8" s="66"/>
      <c r="P8" s="66"/>
      <c r="Q8" s="66"/>
    </row>
    <row r="9" spans="1:22" ht="13.5" thickBot="1">
      <c r="A9" s="78" t="s">
        <v>121</v>
      </c>
      <c r="B9" s="78" t="s">
        <v>10</v>
      </c>
      <c r="C9" s="78">
        <v>0.05</v>
      </c>
      <c r="D9" s="111" t="s">
        <v>1</v>
      </c>
      <c r="E9" s="78"/>
      <c r="F9" s="111"/>
      <c r="L9" s="66"/>
      <c r="M9" s="66"/>
      <c r="N9" s="66"/>
      <c r="O9" s="66"/>
      <c r="P9" s="66"/>
      <c r="Q9" s="66"/>
    </row>
    <row r="10" spans="1:22" ht="13.5" thickTop="1">
      <c r="L10" s="66"/>
      <c r="M10" s="66"/>
      <c r="N10" s="66"/>
    </row>
    <row r="11" spans="1:22" ht="15.75" thickBot="1">
      <c r="A11" s="80" t="s">
        <v>124</v>
      </c>
      <c r="B11" s="78"/>
      <c r="C11" s="78"/>
      <c r="D11" s="78"/>
      <c r="E11" s="78"/>
      <c r="F11" s="93" t="s">
        <v>197</v>
      </c>
      <c r="G11" s="92"/>
      <c r="H11" s="93"/>
      <c r="I11" s="92"/>
      <c r="J11" s="92"/>
      <c r="L11" s="124"/>
      <c r="M11" s="125"/>
      <c r="N11" s="66"/>
    </row>
    <row r="12" spans="1:22" ht="15" customHeight="1" thickTop="1" thickBot="1">
      <c r="A12" s="539" t="s">
        <v>4</v>
      </c>
      <c r="B12" s="536" t="s">
        <v>99</v>
      </c>
      <c r="C12" s="536"/>
      <c r="D12" s="536"/>
      <c r="E12" s="536"/>
      <c r="F12" s="539" t="s">
        <v>4</v>
      </c>
      <c r="G12" s="536" t="s">
        <v>99</v>
      </c>
      <c r="H12" s="536"/>
      <c r="I12" s="536"/>
      <c r="J12" s="536"/>
      <c r="L12" s="124"/>
      <c r="M12" s="125"/>
      <c r="N12" s="66"/>
    </row>
    <row r="13" spans="1:22" ht="16.5" thickTop="1" thickBot="1">
      <c r="A13" s="540"/>
      <c r="B13" s="87">
        <v>0.25</v>
      </c>
      <c r="C13" s="87">
        <v>0.5</v>
      </c>
      <c r="D13" s="87">
        <v>0.75</v>
      </c>
      <c r="E13" s="88">
        <v>1</v>
      </c>
      <c r="F13" s="540"/>
      <c r="G13" s="87">
        <v>0.25</v>
      </c>
      <c r="H13" s="87">
        <v>0.5</v>
      </c>
      <c r="I13" s="87">
        <v>0.75</v>
      </c>
      <c r="J13" s="88">
        <v>1</v>
      </c>
      <c r="L13" s="124"/>
      <c r="M13" s="125"/>
      <c r="N13" s="66"/>
    </row>
    <row r="14" spans="1:22" ht="15.75" thickTop="1">
      <c r="A14" s="54">
        <f>F5</f>
        <v>4.0370139142140993E-2</v>
      </c>
      <c r="B14" s="541" t="s">
        <v>84</v>
      </c>
      <c r="C14" s="541"/>
      <c r="D14" s="541"/>
      <c r="E14" s="541"/>
      <c r="F14" s="85">
        <f>F5</f>
        <v>4.0370139142140993E-2</v>
      </c>
      <c r="G14" s="544" t="s">
        <v>84</v>
      </c>
      <c r="H14" s="544"/>
      <c r="I14" s="544"/>
      <c r="J14" s="544"/>
      <c r="L14" s="124"/>
      <c r="M14" s="125"/>
      <c r="N14" s="66"/>
    </row>
    <row r="15" spans="1:22" ht="15">
      <c r="A15" s="55">
        <f t="shared" ref="A15:A17" si="0">F6</f>
        <v>0.42156304088312835</v>
      </c>
      <c r="B15" s="56">
        <v>7.5</v>
      </c>
      <c r="C15" s="56">
        <v>8.8333300000000001</v>
      </c>
      <c r="D15" s="56">
        <v>11.166700000000001</v>
      </c>
      <c r="E15" s="56">
        <v>12.5</v>
      </c>
      <c r="F15" s="61">
        <f>F6</f>
        <v>0.42156304088312835</v>
      </c>
      <c r="G15" s="72">
        <f t="shared" ref="G15:J17" si="1">B15*60</f>
        <v>450</v>
      </c>
      <c r="H15" s="72">
        <f t="shared" si="1"/>
        <v>529.99980000000005</v>
      </c>
      <c r="I15" s="72">
        <f t="shared" si="1"/>
        <v>670.00200000000007</v>
      </c>
      <c r="J15" s="72">
        <f t="shared" si="1"/>
        <v>750</v>
      </c>
      <c r="L15" s="124"/>
      <c r="M15" s="125"/>
      <c r="N15" s="66"/>
    </row>
    <row r="16" spans="1:22" ht="15">
      <c r="A16" s="55">
        <f t="shared" si="0"/>
        <v>0.79207161149558847</v>
      </c>
      <c r="B16" s="56">
        <v>7.75</v>
      </c>
      <c r="C16" s="56">
        <v>9.3333300000000001</v>
      </c>
      <c r="D16" s="56">
        <v>9.8332999999999995</v>
      </c>
      <c r="E16" s="56">
        <v>9.6667000000000005</v>
      </c>
      <c r="F16" s="61">
        <f>F7</f>
        <v>0.79207161149558847</v>
      </c>
      <c r="G16" s="72">
        <f t="shared" si="1"/>
        <v>465</v>
      </c>
      <c r="H16" s="72">
        <f t="shared" si="1"/>
        <v>559.99980000000005</v>
      </c>
      <c r="I16" s="72">
        <f t="shared" si="1"/>
        <v>589.99799999999993</v>
      </c>
      <c r="J16" s="72">
        <f t="shared" si="1"/>
        <v>580.00200000000007</v>
      </c>
      <c r="L16" s="124"/>
      <c r="M16" s="125"/>
      <c r="N16" s="66"/>
    </row>
    <row r="17" spans="1:21" ht="13.5" thickBot="1">
      <c r="A17" s="90">
        <f t="shared" si="0"/>
        <v>1.2085213566891468</v>
      </c>
      <c r="B17" s="79">
        <v>3.6667000000000001</v>
      </c>
      <c r="C17" s="79">
        <v>4</v>
      </c>
      <c r="D17" s="79">
        <v>5.3333000000000004</v>
      </c>
      <c r="E17" s="79">
        <v>7.6666999999999996</v>
      </c>
      <c r="F17" s="89">
        <f>F8</f>
        <v>1.2085213566891468</v>
      </c>
      <c r="G17" s="94">
        <f t="shared" si="1"/>
        <v>220.00200000000001</v>
      </c>
      <c r="H17" s="94">
        <f t="shared" si="1"/>
        <v>240</v>
      </c>
      <c r="I17" s="94">
        <f t="shared" si="1"/>
        <v>319.99800000000005</v>
      </c>
      <c r="J17" s="94">
        <f t="shared" si="1"/>
        <v>460.00199999999995</v>
      </c>
      <c r="L17" s="66"/>
      <c r="M17" s="66"/>
      <c r="N17" s="66"/>
    </row>
    <row r="18" spans="1:21" ht="13.5" thickTop="1">
      <c r="D18" s="50"/>
      <c r="E18" s="50"/>
      <c r="L18" s="66"/>
      <c r="M18" s="66"/>
      <c r="N18" s="66"/>
    </row>
    <row r="19" spans="1:21" ht="13.5" thickBot="1">
      <c r="A19" s="80" t="s">
        <v>118</v>
      </c>
      <c r="B19" s="80"/>
      <c r="C19" s="80" t="s">
        <v>88</v>
      </c>
      <c r="D19" s="80"/>
      <c r="E19" s="80"/>
      <c r="F19" s="80"/>
      <c r="G19" s="80">
        <v>4</v>
      </c>
      <c r="H19" s="78"/>
      <c r="I19" s="78"/>
      <c r="J19" s="78"/>
    </row>
    <row r="20" spans="1:21" ht="12.75" customHeight="1" thickTop="1" thickBot="1">
      <c r="A20" s="542" t="s">
        <v>4</v>
      </c>
      <c r="B20" s="536" t="s">
        <v>99</v>
      </c>
      <c r="C20" s="536"/>
      <c r="D20" s="536"/>
      <c r="E20" s="536"/>
      <c r="F20" s="542" t="s">
        <v>86</v>
      </c>
      <c r="G20" s="542" t="s">
        <v>196</v>
      </c>
      <c r="H20" s="542" t="s">
        <v>13</v>
      </c>
      <c r="I20" s="542" t="s">
        <v>89</v>
      </c>
      <c r="J20" s="542" t="s">
        <v>20</v>
      </c>
    </row>
    <row r="21" spans="1:21" ht="14.25" thickTop="1" thickBot="1">
      <c r="A21" s="540"/>
      <c r="B21" s="78">
        <v>0.25</v>
      </c>
      <c r="C21" s="78">
        <v>0.5</v>
      </c>
      <c r="D21" s="78">
        <v>0.75</v>
      </c>
      <c r="E21" s="79">
        <v>1</v>
      </c>
      <c r="F21" s="540"/>
      <c r="G21" s="540"/>
      <c r="H21" s="540"/>
      <c r="I21" s="540"/>
      <c r="J21" s="540"/>
    </row>
    <row r="22" spans="1:21" ht="13.5" thickTop="1">
      <c r="A22" s="54">
        <f>F5</f>
        <v>4.0370139142140993E-2</v>
      </c>
      <c r="B22" s="541" t="s">
        <v>84</v>
      </c>
      <c r="C22" s="541"/>
      <c r="D22" s="541"/>
      <c r="E22" s="541"/>
    </row>
    <row r="23" spans="1:21">
      <c r="A23" s="57">
        <f t="shared" ref="A23:A25" si="2">F6</f>
        <v>0.42156304088312835</v>
      </c>
      <c r="B23" s="58">
        <f>(B15*(($C$9^0.85)))/(($C$4^0.1)*($C$5^0.2)*(($C$6*($C$8-$C$7)/$C$7)^0.45)*($B$21^0.13))</f>
        <v>27.333056195952654</v>
      </c>
      <c r="C23" s="58">
        <f>(C15*(($C$9^0.85)))/(($C$4^0.1)*($C$5^0.2)*(($C$6*($C$8-$C$7)/$C$7)^0.45)*($C$21^0.13))</f>
        <v>29.418294193990565</v>
      </c>
      <c r="D23" s="58">
        <f>(D15*(($C$9^0.85)))/(($C$4^0.1)*($C$5^0.2)*(($C$6*($C$8-$C$7)/$C$7)^0.45)*($D$21^0.13))</f>
        <v>35.27979203904205</v>
      </c>
      <c r="E23" s="58">
        <f>(E15*(($C$9^0.85)))/(($C$4^0.1)*($C$5^0.2)*(($C$6*($C$8-$C$7)/$C$7)^0.45)*($E$21^0.13))</f>
        <v>38.042508383828</v>
      </c>
      <c r="F23" s="58">
        <f>AVERAGE(B23:E23)</f>
        <v>32.518412703203317</v>
      </c>
      <c r="G23" s="58">
        <f>_xlfn.STDEV.S(B23:E23)</f>
        <v>4.9879690524148241</v>
      </c>
      <c r="H23" s="115">
        <f>G23/SQRT($G$19)</f>
        <v>2.4939845262074121</v>
      </c>
      <c r="I23" s="58">
        <f>2*H23</f>
        <v>4.9879690524148241</v>
      </c>
      <c r="J23" s="60">
        <f>I23/F23</f>
        <v>0.15338906907726987</v>
      </c>
    </row>
    <row r="24" spans="1:21">
      <c r="A24" s="57">
        <f t="shared" si="2"/>
        <v>0.79207161149558847</v>
      </c>
      <c r="B24" s="58">
        <f>(B16*(($C$9^0.85)))/(($C$4^0.1)*($C$5^0.2)*(($C$6*($C$8-$C$7)/$C$7)^0.45)*($B$21^0.13))</f>
        <v>28.244158069151073</v>
      </c>
      <c r="C24" s="58">
        <f t="shared" ref="C24:C25" si="3">(C16*(($C$9^0.85)))/(($C$4^0.1)*($C$5^0.2)*(($C$6*($C$8-$C$7)/$C$7)^0.45)*($C$21^0.13))</f>
        <v>31.083481286173839</v>
      </c>
      <c r="D24" s="58">
        <f t="shared" ref="D24:D25" si="4">(D16*(($C$9^0.85)))/(($C$4^0.1)*($C$5^0.2)*(($C$6*($C$8-$C$7)/$C$7)^0.45)*($D$21^0.13))</f>
        <v>31.067081506399571</v>
      </c>
      <c r="E24" s="58">
        <f t="shared" ref="E24:E25" si="5">(E16*(($C$9^0.85)))/(($C$4^0.1)*($C$5^0.2)*(($C$6*($C$8-$C$7)/$C$7)^0.45)*($E$21^0.13))</f>
        <v>29.419641263516013</v>
      </c>
      <c r="F24" s="58">
        <f>AVERAGE(B24:E24)</f>
        <v>29.953590531310123</v>
      </c>
      <c r="G24" s="58">
        <f>_xlfn.STDEV.S(B24:E24)</f>
        <v>1.3812767563373105</v>
      </c>
      <c r="H24" s="115">
        <f t="shared" ref="H24:H25" si="6">G24/SQRT($G$19)</f>
        <v>0.69063837816865525</v>
      </c>
      <c r="I24" s="58">
        <f t="shared" ref="I24:I25" si="7">2*H24</f>
        <v>1.3812767563373105</v>
      </c>
      <c r="J24" s="60">
        <f t="shared" ref="J24" si="8">I24/F24</f>
        <v>4.6113895924880147E-2</v>
      </c>
    </row>
    <row r="25" spans="1:21" ht="13.5" thickBot="1">
      <c r="A25" s="81">
        <f t="shared" si="2"/>
        <v>1.2085213566891468</v>
      </c>
      <c r="B25" s="79">
        <f t="shared" ref="B25" si="9">(B17*(($C$9^0.85)))/(($C$4^0.1)*($C$5^0.2)*(($C$6*($C$8-$C$7)/$C$7)^0.45)*($B$21^0.13))</f>
        <v>13.362948953826612</v>
      </c>
      <c r="C25" s="79">
        <f t="shared" si="3"/>
        <v>13.321496737466196</v>
      </c>
      <c r="D25" s="79">
        <f t="shared" si="4"/>
        <v>16.849894318090659</v>
      </c>
      <c r="E25" s="79">
        <f t="shared" si="5"/>
        <v>23.332839922103528</v>
      </c>
      <c r="F25" s="126">
        <f>AVERAGE(B25:E25)</f>
        <v>16.71679498287175</v>
      </c>
      <c r="G25" s="126">
        <f t="shared" ref="G25" si="10">_xlfn.STDEV.S(B25:E25)</f>
        <v>4.7104882773362213</v>
      </c>
      <c r="H25" s="114">
        <f t="shared" si="6"/>
        <v>2.3552441386681107</v>
      </c>
      <c r="I25" s="82">
        <f t="shared" si="7"/>
        <v>4.7104882773362213</v>
      </c>
      <c r="J25" s="84">
        <f>I25/F25</f>
        <v>0.2817817818644453</v>
      </c>
      <c r="M25" s="44"/>
      <c r="N25" s="44"/>
    </row>
    <row r="26" spans="1:21" ht="13.5" thickTop="1">
      <c r="G26" s="66"/>
      <c r="H26" s="66"/>
      <c r="I26" s="66"/>
      <c r="J26" s="66"/>
      <c r="K26" s="66"/>
      <c r="L26" s="117" t="s">
        <v>125</v>
      </c>
      <c r="M26" s="44"/>
      <c r="N26" s="44"/>
    </row>
    <row r="27" spans="1:21" ht="13.5" thickBot="1">
      <c r="A27" s="80" t="s">
        <v>122</v>
      </c>
      <c r="B27" s="78"/>
      <c r="C27" s="78"/>
      <c r="D27" s="78"/>
      <c r="E27" s="78"/>
      <c r="F27" s="80" t="s">
        <v>198</v>
      </c>
      <c r="G27" s="78"/>
      <c r="H27" s="78"/>
      <c r="I27" s="78"/>
      <c r="J27" s="78"/>
      <c r="K27" s="66"/>
      <c r="L27" s="117" t="s">
        <v>130</v>
      </c>
      <c r="M27" s="122"/>
      <c r="N27" s="44"/>
      <c r="Q27" s="122" t="s">
        <v>199</v>
      </c>
    </row>
    <row r="28" spans="1:21" ht="12.75" customHeight="1" thickTop="1" thickBot="1">
      <c r="A28" s="542" t="s">
        <v>4</v>
      </c>
      <c r="B28" s="536" t="s">
        <v>99</v>
      </c>
      <c r="C28" s="536"/>
      <c r="D28" s="536"/>
      <c r="E28" s="536"/>
      <c r="F28" s="542" t="s">
        <v>4</v>
      </c>
      <c r="G28" s="536" t="s">
        <v>99</v>
      </c>
      <c r="H28" s="536"/>
      <c r="I28" s="536"/>
      <c r="J28" s="536"/>
      <c r="K28" s="119"/>
      <c r="L28" s="134" t="s">
        <v>4</v>
      </c>
      <c r="M28" s="534" t="s">
        <v>126</v>
      </c>
      <c r="N28" s="534"/>
      <c r="O28" s="534"/>
      <c r="P28" s="534"/>
      <c r="Q28" s="135" t="s">
        <v>4</v>
      </c>
      <c r="R28" s="532" t="s">
        <v>126</v>
      </c>
      <c r="S28" s="532"/>
      <c r="T28" s="532"/>
      <c r="U28" s="532"/>
    </row>
    <row r="29" spans="1:21" ht="14.25" thickTop="1" thickBot="1">
      <c r="A29" s="540"/>
      <c r="B29" s="78">
        <v>0.25</v>
      </c>
      <c r="C29" s="78">
        <v>0.5</v>
      </c>
      <c r="D29" s="78">
        <v>0.75</v>
      </c>
      <c r="E29" s="79">
        <v>1</v>
      </c>
      <c r="F29" s="540"/>
      <c r="G29" s="78">
        <v>0.25</v>
      </c>
      <c r="H29" s="78">
        <v>0.5</v>
      </c>
      <c r="I29" s="78">
        <v>0.75</v>
      </c>
      <c r="J29" s="79">
        <v>1</v>
      </c>
      <c r="K29" s="69"/>
      <c r="L29" s="92"/>
      <c r="M29" s="130">
        <v>0.25</v>
      </c>
      <c r="N29" s="86">
        <v>0.5</v>
      </c>
      <c r="O29" s="86">
        <v>0.75</v>
      </c>
      <c r="P29" s="86">
        <v>1</v>
      </c>
      <c r="Q29" s="132"/>
      <c r="R29" s="86">
        <v>0.25</v>
      </c>
      <c r="S29" s="86">
        <v>0.5</v>
      </c>
      <c r="T29" s="86">
        <v>0.75</v>
      </c>
      <c r="U29" s="86">
        <v>1</v>
      </c>
    </row>
    <row r="30" spans="1:21" ht="12.75" customHeight="1" thickTop="1">
      <c r="A30" s="85">
        <f>F5</f>
        <v>4.0370139142140993E-2</v>
      </c>
      <c r="B30" s="544" t="s">
        <v>84</v>
      </c>
      <c r="C30" s="544"/>
      <c r="D30" s="544"/>
      <c r="E30" s="544"/>
      <c r="F30" s="85">
        <f>K5</f>
        <v>0</v>
      </c>
      <c r="G30" s="544" t="s">
        <v>84</v>
      </c>
      <c r="H30" s="544"/>
      <c r="I30" s="544"/>
      <c r="J30" s="544"/>
      <c r="K30" s="120"/>
      <c r="L30" s="64">
        <v>3.7326660881271539E-2</v>
      </c>
      <c r="M30" s="535" t="s">
        <v>84</v>
      </c>
      <c r="N30" s="535"/>
      <c r="O30" s="535"/>
      <c r="P30" s="535"/>
      <c r="Q30" s="138">
        <v>0.04</v>
      </c>
      <c r="R30" s="44" t="s">
        <v>84</v>
      </c>
    </row>
    <row r="31" spans="1:21">
      <c r="A31" s="62">
        <f>F6</f>
        <v>0.42156304088312835</v>
      </c>
      <c r="B31" s="63">
        <f>(F23*($C$4^0.1)*($C$5^0.2)*(($C$6*($C$8-$C$7)/$C$7)^0.45)*($B$29^0.13))/($C$9^0.85)</f>
        <v>8.9228256630203937</v>
      </c>
      <c r="C31" s="63">
        <f>(F23*($C$4^0.1)*($C$5^0.2)*(($C$6*($C$8-$C$7)/$C$7)^0.45)*($C$29^0.13))/($C$9^0.85)</f>
        <v>9.764191920490898</v>
      </c>
      <c r="D31" s="63">
        <f>(F23*($C$4^0.1)*($C$5^0.2)*(($C$6*($C$8-$C$7)/$C$7)^0.45)*($D$29^0.13))/($C$9^0.85)</f>
        <v>10.292672891354165</v>
      </c>
      <c r="E31" s="63">
        <f>(F23*($C$4^0.1)*($C$5^0.2)*(($C$6*($C$8-$C$7)/$C$7)^0.45)*($E$29^0.13))/($C$9^0.85)</f>
        <v>10.684893716494194</v>
      </c>
      <c r="F31" s="62">
        <v>0.42</v>
      </c>
      <c r="G31" s="116">
        <f>B31*60</f>
        <v>535.36953978122358</v>
      </c>
      <c r="H31" s="116">
        <f t="shared" ref="H31:J31" si="11">C31*60</f>
        <v>585.85151522945387</v>
      </c>
      <c r="I31" s="116">
        <f t="shared" si="11"/>
        <v>617.56037348124994</v>
      </c>
      <c r="J31" s="116">
        <f t="shared" si="11"/>
        <v>641.09362298965164</v>
      </c>
      <c r="K31" s="69"/>
      <c r="L31" s="64">
        <v>0.41851956262225887</v>
      </c>
      <c r="M31" s="128">
        <f>SQRT(((B31/$F$23)^2)*($G$23^2))</f>
        <v>1.3686639219894716</v>
      </c>
      <c r="N31" s="128">
        <f>SQRT(((C31/$F$23)^2)*($G$23^2))</f>
        <v>1.4977203089758986</v>
      </c>
      <c r="O31" s="128">
        <f>SQRT(((D31/$F$23)^2)*($G$23^2))</f>
        <v>1.5787835131216672</v>
      </c>
      <c r="P31" s="128">
        <f>SQRT(((E31/$F$23)^2)*($G$23^2))</f>
        <v>1.6389459003626148</v>
      </c>
      <c r="Q31" s="136">
        <v>0.42</v>
      </c>
      <c r="R31" s="129">
        <f>M31*60</f>
        <v>82.119835319368292</v>
      </c>
      <c r="S31" s="129">
        <f t="shared" ref="S31:U31" si="12">N31*60</f>
        <v>89.863218538553909</v>
      </c>
      <c r="T31" s="129">
        <f t="shared" si="12"/>
        <v>94.727010787300031</v>
      </c>
      <c r="U31" s="129">
        <f t="shared" si="12"/>
        <v>98.336754021756889</v>
      </c>
    </row>
    <row r="32" spans="1:21">
      <c r="A32" s="62">
        <f>F7</f>
        <v>0.79207161149558847</v>
      </c>
      <c r="B32" s="63">
        <f t="shared" ref="B32:B33" si="13">(F24*($C$4^0.1)*($C$5^0.2)*(($C$6*($C$8-$C$7)/$C$7)^0.45)*($B$29^0.13))/($C$9^0.85)</f>
        <v>8.2190563460697561</v>
      </c>
      <c r="C32" s="63">
        <f t="shared" ref="C32:C33" si="14">(F24*($C$4^0.1)*($C$5^0.2)*(($C$6*($C$8-$C$7)/$C$7)^0.45)*($C$29^0.13))/($C$9^0.85)</f>
        <v>8.9940615898112419</v>
      </c>
      <c r="D32" s="63">
        <f t="shared" ref="D32:D33" si="15">(F24*($C$4^0.1)*($C$5^0.2)*(($C$6*($C$8-$C$7)/$C$7)^0.45)*($D$29^0.13))/($C$9^0.85)</f>
        <v>9.4808597232043947</v>
      </c>
      <c r="E32" s="63">
        <f t="shared" ref="E32:E33" si="16">(F24*($C$4^0.1)*($C$5^0.2)*(($C$6*($C$8-$C$7)/$C$7)^0.45)*($E$29^0.13))/($C$9^0.85)</f>
        <v>9.8421449464815964</v>
      </c>
      <c r="F32" s="62">
        <v>0.79</v>
      </c>
      <c r="G32" s="116">
        <f t="shared" ref="G32:G33" si="17">B32*60</f>
        <v>493.14338076418539</v>
      </c>
      <c r="H32" s="116">
        <f t="shared" ref="H32:H33" si="18">C32*60</f>
        <v>539.64369538867447</v>
      </c>
      <c r="I32" s="116">
        <f t="shared" ref="I32:I33" si="19">D32*60</f>
        <v>568.85158339226371</v>
      </c>
      <c r="J32" s="116">
        <f t="shared" ref="J32:J33" si="20">E32*60</f>
        <v>590.52869678889579</v>
      </c>
      <c r="K32" s="69"/>
      <c r="L32" s="64">
        <v>0.78902813323471899</v>
      </c>
      <c r="M32" s="128">
        <f>SQRT(((B32/$F$24)^2)*($G$24^2))</f>
        <v>0.37901270894338646</v>
      </c>
      <c r="N32" s="128">
        <f>SQRT(((C32/$F$24)^2)*($G$24^2))</f>
        <v>0.41475122009451765</v>
      </c>
      <c r="O32" s="128">
        <f>SQRT(((D32/$F$24)^2)*($G$24^2))</f>
        <v>0.43719937855423546</v>
      </c>
      <c r="P32" s="128">
        <f>SQRT(((E32/$F$24)^2)*($G$24^2))</f>
        <v>0.45385964773963744</v>
      </c>
      <c r="Q32" s="136">
        <v>0.79</v>
      </c>
      <c r="R32" s="129">
        <f t="shared" ref="R32:R33" si="21">M32*60</f>
        <v>22.740762536603189</v>
      </c>
      <c r="S32" s="129">
        <f t="shared" ref="S32:S33" si="22">N32*60</f>
        <v>24.885073205671059</v>
      </c>
      <c r="T32" s="129">
        <f t="shared" ref="T32:T33" si="23">O32*60</f>
        <v>26.231962713254127</v>
      </c>
      <c r="U32" s="129">
        <f t="shared" ref="U32:U33" si="24">P32*60</f>
        <v>27.231578864378246</v>
      </c>
    </row>
    <row r="33" spans="1:64" ht="14.25" customHeight="1" thickBot="1">
      <c r="A33" s="90">
        <f>F8</f>
        <v>1.2085213566891468</v>
      </c>
      <c r="B33" s="79">
        <f t="shared" si="13"/>
        <v>4.5869719607170456</v>
      </c>
      <c r="C33" s="79">
        <f t="shared" si="14"/>
        <v>5.0194945244722868</v>
      </c>
      <c r="D33" s="79">
        <f t="shared" si="15"/>
        <v>5.2911716239329252</v>
      </c>
      <c r="E33" s="127">
        <f t="shared" si="16"/>
        <v>5.4928012416427947</v>
      </c>
      <c r="F33" s="90">
        <v>1.21</v>
      </c>
      <c r="G33" s="82">
        <f t="shared" si="17"/>
        <v>275.21831764302271</v>
      </c>
      <c r="H33" s="82">
        <f t="shared" si="18"/>
        <v>301.16967146833719</v>
      </c>
      <c r="I33" s="82">
        <f t="shared" si="19"/>
        <v>317.47029743597551</v>
      </c>
      <c r="J33" s="82">
        <f t="shared" si="20"/>
        <v>329.56807449856768</v>
      </c>
      <c r="K33" s="69"/>
      <c r="L33" s="91">
        <v>1.2054778784282774</v>
      </c>
      <c r="M33" s="131">
        <f>SQRT(((B33/$F$25)^2)*($G$25^2))</f>
        <v>1.2925251324530973</v>
      </c>
      <c r="N33" s="131">
        <f>SQRT(((C33/$F$25)^2)*($G$25^2))</f>
        <v>1.4144021111646274</v>
      </c>
      <c r="O33" s="131">
        <f>SQRT(((D33/$F$25)^2)*($G$25^2))</f>
        <v>1.4909557683424102</v>
      </c>
      <c r="P33" s="131">
        <f>SQRT(((E33/$F$25)^2)*($G$25^2))</f>
        <v>1.5477713212973443</v>
      </c>
      <c r="Q33" s="137">
        <v>1.21</v>
      </c>
      <c r="R33" s="133">
        <f t="shared" si="21"/>
        <v>77.55150794718584</v>
      </c>
      <c r="S33" s="133">
        <f t="shared" si="22"/>
        <v>84.864126669877649</v>
      </c>
      <c r="T33" s="133">
        <f t="shared" si="23"/>
        <v>89.457346100544612</v>
      </c>
      <c r="U33" s="133">
        <f t="shared" si="24"/>
        <v>92.866279277840661</v>
      </c>
    </row>
    <row r="34" spans="1:64" ht="13.5" thickTop="1">
      <c r="G34" s="66"/>
      <c r="H34" s="66"/>
      <c r="I34" s="66"/>
      <c r="J34" s="66"/>
      <c r="K34" s="66"/>
      <c r="L34" s="117"/>
      <c r="M34" s="44"/>
      <c r="N34" s="44"/>
    </row>
    <row r="35" spans="1:64" ht="13.5" thickBot="1">
      <c r="A35" s="80" t="s">
        <v>90</v>
      </c>
      <c r="B35" s="78"/>
      <c r="C35" s="78"/>
      <c r="D35" s="78"/>
      <c r="E35" s="78"/>
      <c r="G35" s="66"/>
      <c r="H35" s="66"/>
      <c r="I35" s="66"/>
      <c r="J35" s="66"/>
      <c r="K35" s="66"/>
      <c r="L35" s="117" t="s">
        <v>128</v>
      </c>
      <c r="Q35" s="122" t="s">
        <v>129</v>
      </c>
    </row>
    <row r="36" spans="1:64" ht="16.5" customHeight="1" thickTop="1" thickBot="1">
      <c r="A36" s="542" t="s">
        <v>4</v>
      </c>
      <c r="B36" s="543" t="s">
        <v>99</v>
      </c>
      <c r="C36" s="543"/>
      <c r="D36" s="543"/>
      <c r="E36" s="543"/>
      <c r="G36" s="118"/>
      <c r="H36" s="119"/>
      <c r="I36" s="119"/>
      <c r="J36" s="119"/>
      <c r="K36" s="119"/>
      <c r="L36" s="134" t="s">
        <v>4</v>
      </c>
      <c r="M36" s="536" t="s">
        <v>126</v>
      </c>
      <c r="N36" s="536"/>
      <c r="O36" s="536"/>
      <c r="P36" s="536"/>
      <c r="Q36" s="140" t="s">
        <v>4</v>
      </c>
      <c r="R36" s="532" t="s">
        <v>126</v>
      </c>
      <c r="S36" s="532"/>
      <c r="T36" s="532"/>
      <c r="U36" s="532"/>
    </row>
    <row r="37" spans="1:64" ht="14.25" thickTop="1" thickBot="1">
      <c r="A37" s="540"/>
      <c r="B37" s="78">
        <v>0.25</v>
      </c>
      <c r="C37" s="78">
        <v>0.5</v>
      </c>
      <c r="D37" s="78">
        <v>0.75</v>
      </c>
      <c r="E37" s="79">
        <v>1</v>
      </c>
      <c r="G37" s="118"/>
      <c r="H37" s="66"/>
      <c r="I37" s="66"/>
      <c r="J37" s="66"/>
      <c r="K37" s="69"/>
      <c r="L37" s="92"/>
      <c r="M37" s="78">
        <v>0.25</v>
      </c>
      <c r="N37" s="78">
        <v>0.5</v>
      </c>
      <c r="O37" s="86">
        <v>0.75</v>
      </c>
      <c r="P37" s="86">
        <v>1</v>
      </c>
      <c r="Q37" s="86"/>
      <c r="R37" s="86">
        <v>0.25</v>
      </c>
      <c r="S37" s="86">
        <v>0.5</v>
      </c>
      <c r="T37" s="86">
        <v>0.75</v>
      </c>
      <c r="U37" s="86">
        <v>1</v>
      </c>
    </row>
    <row r="38" spans="1:64" ht="13.5" thickTop="1">
      <c r="A38" s="85">
        <f>F5</f>
        <v>4.0370139142140993E-2</v>
      </c>
      <c r="B38" s="544" t="s">
        <v>84</v>
      </c>
      <c r="C38" s="544"/>
      <c r="D38" s="544"/>
      <c r="E38" s="544"/>
      <c r="G38" s="57"/>
      <c r="H38" s="120"/>
      <c r="I38" s="120"/>
      <c r="J38" s="120"/>
      <c r="K38" s="120"/>
      <c r="L38" s="64">
        <v>3.7326660881271539E-2</v>
      </c>
      <c r="M38" s="58" t="s">
        <v>84</v>
      </c>
      <c r="N38" s="58"/>
      <c r="O38" s="129"/>
      <c r="P38" s="129"/>
      <c r="Q38" s="136">
        <v>0.04</v>
      </c>
      <c r="R38" s="129" t="s">
        <v>84</v>
      </c>
      <c r="S38" s="129"/>
      <c r="T38" s="129"/>
      <c r="U38" s="129"/>
    </row>
    <row r="39" spans="1:64" s="65" customFormat="1">
      <c r="A39" s="57">
        <f>F6</f>
        <v>0.42156304088312835</v>
      </c>
      <c r="B39" s="64">
        <f>ABS(B31-B15)/B15</f>
        <v>0.18971008840271916</v>
      </c>
      <c r="C39" s="64">
        <f t="shared" ref="C39:E39" si="25">ABS(C31-C15)/C15</f>
        <v>0.10538063453883166</v>
      </c>
      <c r="D39" s="64">
        <f t="shared" si="25"/>
        <v>7.8270850712012979E-2</v>
      </c>
      <c r="E39" s="64">
        <f t="shared" si="25"/>
        <v>0.14520850268046445</v>
      </c>
      <c r="G39" s="57"/>
      <c r="H39" s="64"/>
      <c r="I39" s="64"/>
      <c r="J39" s="64"/>
      <c r="K39" s="64"/>
      <c r="L39" s="64">
        <v>0.41851956262225887</v>
      </c>
      <c r="M39" s="139">
        <f>B31+M31</f>
        <v>10.291489585009865</v>
      </c>
      <c r="N39" s="139">
        <f t="shared" ref="N39:P41" si="26">C31+N31</f>
        <v>11.261912229466796</v>
      </c>
      <c r="O39" s="139">
        <f t="shared" si="26"/>
        <v>11.871456404475833</v>
      </c>
      <c r="P39" s="139">
        <f t="shared" si="26"/>
        <v>12.323839616856809</v>
      </c>
      <c r="Q39" s="136">
        <v>0.42</v>
      </c>
      <c r="R39" s="121">
        <f>B31-M31</f>
        <v>7.5541617410309225</v>
      </c>
      <c r="S39" s="121">
        <f t="shared" ref="S39:U41" si="27">C31-N31</f>
        <v>8.2664716115149997</v>
      </c>
      <c r="T39" s="121">
        <f t="shared" si="27"/>
        <v>8.7138893782324978</v>
      </c>
      <c r="U39" s="121">
        <f t="shared" si="27"/>
        <v>9.0459478161315801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64" s="66" customFormat="1">
      <c r="A40" s="57">
        <f>F7</f>
        <v>0.79207161149558847</v>
      </c>
      <c r="B40" s="64">
        <f>ABS(B32-B16)/B16</f>
        <v>6.0523399492871756E-2</v>
      </c>
      <c r="C40" s="64">
        <f t="shared" ref="C40:E40" si="28">ABS(C32-C16)/C16</f>
        <v>3.6350199788152585E-2</v>
      </c>
      <c r="D40" s="64">
        <f t="shared" si="28"/>
        <v>3.5841505577538034E-2</v>
      </c>
      <c r="E40" s="64">
        <f t="shared" si="28"/>
        <v>1.8149414638045654E-2</v>
      </c>
      <c r="G40" s="57"/>
      <c r="H40" s="64"/>
      <c r="I40" s="64"/>
      <c r="J40" s="64"/>
      <c r="K40" s="64"/>
      <c r="L40" s="64">
        <v>0.78902813323471899</v>
      </c>
      <c r="M40" s="139">
        <f t="shared" ref="M40:M41" si="29">B32+M32</f>
        <v>8.5980690550131431</v>
      </c>
      <c r="N40" s="139">
        <f t="shared" si="26"/>
        <v>9.4088128099057595</v>
      </c>
      <c r="O40" s="139">
        <f t="shared" si="26"/>
        <v>9.9180591017586295</v>
      </c>
      <c r="P40" s="139">
        <f t="shared" si="26"/>
        <v>10.296004594221234</v>
      </c>
      <c r="Q40" s="136">
        <v>0.79</v>
      </c>
      <c r="R40" s="121">
        <f t="shared" ref="R40:R41" si="30">B32-M32</f>
        <v>7.84004363712637</v>
      </c>
      <c r="S40" s="121">
        <f t="shared" si="27"/>
        <v>8.5793103697167243</v>
      </c>
      <c r="T40" s="121">
        <f t="shared" si="27"/>
        <v>9.04366034465016</v>
      </c>
      <c r="U40" s="121">
        <f t="shared" si="27"/>
        <v>9.3882852987419589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64" s="66" customFormat="1" ht="13.5" thickBot="1">
      <c r="A41" s="81">
        <f>F8</f>
        <v>1.2085213566891468</v>
      </c>
      <c r="B41" s="91">
        <f t="shared" ref="B41:E41" si="31">ABS(B33-B17)/B17</f>
        <v>0.25098098036846361</v>
      </c>
      <c r="C41" s="91">
        <f t="shared" si="31"/>
        <v>0.25487363111807171</v>
      </c>
      <c r="D41" s="91">
        <f t="shared" si="31"/>
        <v>7.8991198820758633E-3</v>
      </c>
      <c r="E41" s="91">
        <f t="shared" si="31"/>
        <v>0.28355077913016097</v>
      </c>
      <c r="G41" s="57"/>
      <c r="H41" s="64"/>
      <c r="I41" s="64"/>
      <c r="J41" s="64"/>
      <c r="K41" s="64"/>
      <c r="L41" s="91">
        <v>1.2054778784282774</v>
      </c>
      <c r="M41" s="97">
        <f t="shared" si="29"/>
        <v>5.8794970931701425</v>
      </c>
      <c r="N41" s="97">
        <f t="shared" si="26"/>
        <v>6.4338966356369145</v>
      </c>
      <c r="O41" s="97">
        <f t="shared" si="26"/>
        <v>6.7821273922753349</v>
      </c>
      <c r="P41" s="97">
        <f t="shared" si="26"/>
        <v>7.040572562940139</v>
      </c>
      <c r="Q41" s="137">
        <v>1.21</v>
      </c>
      <c r="R41" s="132">
        <f t="shared" si="30"/>
        <v>3.2944468282639483</v>
      </c>
      <c r="S41" s="132">
        <f t="shared" si="27"/>
        <v>3.6050924133076592</v>
      </c>
      <c r="T41" s="132">
        <f t="shared" si="27"/>
        <v>3.800215855590515</v>
      </c>
      <c r="U41" s="132">
        <f t="shared" si="27"/>
        <v>3.9450299203454504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</row>
    <row r="42" spans="1:64" s="66" customFormat="1" ht="14.25" thickTop="1" thickBot="1">
      <c r="D42" s="69"/>
      <c r="E42" s="69"/>
      <c r="F42" s="70"/>
      <c r="G42" s="70"/>
      <c r="H42" s="70"/>
      <c r="I42" s="70"/>
      <c r="J42" s="70"/>
      <c r="K42" s="70"/>
      <c r="L42" s="70"/>
      <c r="M42" s="70"/>
      <c r="N42" s="70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s="66" customFormat="1" ht="15" customHeight="1">
      <c r="A43" s="552" t="s">
        <v>105</v>
      </c>
      <c r="B43" s="553"/>
      <c r="C43" s="553"/>
      <c r="D43" s="553"/>
      <c r="E43" s="553"/>
      <c r="F43" s="553"/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55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64" s="66" customFormat="1" ht="12.75" customHeight="1" thickBot="1">
      <c r="A44" s="555"/>
      <c r="B44" s="556"/>
      <c r="C44" s="556"/>
      <c r="D44" s="556"/>
      <c r="E44" s="556"/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7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s="66" customFormat="1" ht="13.5" thickBot="1">
      <c r="A45" s="95" t="s">
        <v>200</v>
      </c>
      <c r="B45" s="95"/>
      <c r="C45" s="95"/>
      <c r="D45" s="96"/>
      <c r="E45" s="96"/>
      <c r="F45" s="70"/>
      <c r="G45" s="99" t="s">
        <v>115</v>
      </c>
      <c r="H45" s="99"/>
      <c r="I45" s="100"/>
      <c r="J45" s="100"/>
      <c r="K45" s="100"/>
      <c r="L45" s="70"/>
      <c r="M45" s="99" t="s">
        <v>116</v>
      </c>
      <c r="N45" s="100"/>
      <c r="O45" s="102"/>
      <c r="P45" s="102"/>
      <c r="Q45" s="102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64" s="66" customFormat="1" ht="15" customHeight="1" thickTop="1">
      <c r="A46" s="66" t="s">
        <v>107</v>
      </c>
      <c r="B46" s="66" t="s">
        <v>108</v>
      </c>
      <c r="C46" s="548" t="s">
        <v>110</v>
      </c>
      <c r="D46" s="69"/>
      <c r="E46" s="546" t="s">
        <v>111</v>
      </c>
      <c r="F46" s="70"/>
      <c r="G46" s="550" t="s">
        <v>114</v>
      </c>
      <c r="H46" s="66" t="s">
        <v>107</v>
      </c>
      <c r="I46" s="66" t="s">
        <v>108</v>
      </c>
      <c r="J46" s="70"/>
      <c r="K46" s="70"/>
      <c r="L46" s="70"/>
      <c r="M46" s="558" t="s">
        <v>117</v>
      </c>
      <c r="N46" s="66" t="s">
        <v>107</v>
      </c>
      <c r="O46" s="66" t="s">
        <v>108</v>
      </c>
      <c r="P46" s="70"/>
      <c r="Q46" s="70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s="66" customFormat="1" ht="13.5" thickBot="1">
      <c r="A47" s="92" t="s">
        <v>14</v>
      </c>
      <c r="B47" s="92" t="s">
        <v>109</v>
      </c>
      <c r="C47" s="549"/>
      <c r="D47" s="97"/>
      <c r="E47" s="547"/>
      <c r="F47" s="70"/>
      <c r="G47" s="551"/>
      <c r="H47" s="101" t="s">
        <v>14</v>
      </c>
      <c r="I47" s="101" t="s">
        <v>109</v>
      </c>
      <c r="J47" s="92" t="s">
        <v>110</v>
      </c>
      <c r="K47" s="97" t="s">
        <v>111</v>
      </c>
      <c r="M47" s="559"/>
      <c r="N47" s="101" t="s">
        <v>14</v>
      </c>
      <c r="O47" s="101" t="s">
        <v>109</v>
      </c>
      <c r="P47" s="92" t="s">
        <v>110</v>
      </c>
      <c r="Q47" s="97" t="s">
        <v>111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64" s="66" customFormat="1" ht="13.5" thickTop="1">
      <c r="A48" s="67">
        <f>G15</f>
        <v>450</v>
      </c>
      <c r="B48" s="67">
        <f>G31</f>
        <v>535.36953978122358</v>
      </c>
      <c r="C48" s="67">
        <f>(A48-B48)^2</f>
        <v>7287.9583224579155</v>
      </c>
      <c r="D48" s="69"/>
      <c r="E48" s="67">
        <f>(A48-$A$60)^2</f>
        <v>1314.0842500899987</v>
      </c>
      <c r="F48" s="70"/>
      <c r="G48" s="75">
        <v>0.25</v>
      </c>
      <c r="H48" s="70">
        <v>0</v>
      </c>
      <c r="I48" s="69">
        <v>0</v>
      </c>
      <c r="J48" s="69">
        <f>(H48-I48)^2</f>
        <v>0</v>
      </c>
      <c r="K48" s="69"/>
      <c r="M48" s="76">
        <f>F6</f>
        <v>0.42156304088312835</v>
      </c>
      <c r="N48" s="69">
        <f>G15</f>
        <v>450</v>
      </c>
      <c r="O48" s="69">
        <f>G31</f>
        <v>535.36953978122358</v>
      </c>
      <c r="P48" s="69">
        <f>(N48-O48)^2</f>
        <v>7287.9583224579155</v>
      </c>
      <c r="Q48" s="69">
        <f>(N48-$M$50)^2</f>
        <v>22500.135000202499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66" customFormat="1">
      <c r="A49" s="67">
        <f>G16</f>
        <v>465</v>
      </c>
      <c r="B49" s="67">
        <f>G32</f>
        <v>493.14338076418539</v>
      </c>
      <c r="C49" s="67">
        <f t="shared" ref="C49:C59" si="32">(A49-B49)^2</f>
        <v>792.04988083792045</v>
      </c>
      <c r="D49" s="69"/>
      <c r="E49" s="67">
        <f t="shared" ref="E49:E59" si="33">(A49-$A$60)^2</f>
        <v>451.5752500899992</v>
      </c>
      <c r="F49" s="70"/>
      <c r="G49" s="70" t="s">
        <v>12</v>
      </c>
      <c r="H49" s="67">
        <f>A67</f>
        <v>7.5</v>
      </c>
      <c r="I49" s="67">
        <f>B67</f>
        <v>8.9228256630203937</v>
      </c>
      <c r="J49" s="69">
        <f>(H49-I49)^2</f>
        <v>2.024432867349423</v>
      </c>
      <c r="K49" s="69">
        <f>(H49-$G$50)^2</f>
        <v>1.4266709877777781</v>
      </c>
      <c r="M49" s="70" t="s">
        <v>12</v>
      </c>
      <c r="N49" s="69">
        <f>H15</f>
        <v>529.99980000000005</v>
      </c>
      <c r="O49" s="69">
        <f>H31</f>
        <v>585.85151522945387</v>
      </c>
      <c r="P49" s="69">
        <f t="shared" ref="P49:P51" si="34">(N49-O49)^2</f>
        <v>3119.4140940720035</v>
      </c>
      <c r="Q49" s="69">
        <f t="shared" ref="Q49:Q51" si="35">(N49-$M$50)^2</f>
        <v>4900.0910004224934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66" customFormat="1">
      <c r="A50" s="67">
        <f>G17</f>
        <v>220.00200000000001</v>
      </c>
      <c r="B50" s="67">
        <f>G33</f>
        <v>275.21831764302271</v>
      </c>
      <c r="C50" s="67">
        <f t="shared" si="32"/>
        <v>3048.8417340551805</v>
      </c>
      <c r="D50" s="69"/>
      <c r="E50" s="67">
        <f t="shared" si="33"/>
        <v>70888.157252889985</v>
      </c>
      <c r="F50" s="67"/>
      <c r="G50" s="67">
        <f>AVERAGE(H49:H51)</f>
        <v>6.3055666666666665</v>
      </c>
      <c r="H50" s="67">
        <f t="shared" ref="H50:H51" si="36">A68</f>
        <v>7.75</v>
      </c>
      <c r="I50" s="67">
        <f t="shared" ref="I50:I51" si="37">B68</f>
        <v>8.2190563460697561</v>
      </c>
      <c r="J50" s="69">
        <f t="shared" ref="J50:J51" si="38">(H50-I50)^2</f>
        <v>0.22001385578831081</v>
      </c>
      <c r="K50" s="69">
        <f>(H50-$G$50)^2</f>
        <v>2.0863876544444446</v>
      </c>
      <c r="M50" s="69">
        <f>AVERAGE(N48:N51)</f>
        <v>600.00045</v>
      </c>
      <c r="N50" s="69">
        <f>I15</f>
        <v>670.00200000000007</v>
      </c>
      <c r="O50" s="69">
        <f>I31</f>
        <v>617.56037348124994</v>
      </c>
      <c r="P50" s="69">
        <f t="shared" si="34"/>
        <v>2750.1241919320764</v>
      </c>
      <c r="Q50" s="69">
        <f t="shared" si="35"/>
        <v>4900.217002402509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66" customFormat="1" ht="13.5" thickBot="1">
      <c r="A51" s="67">
        <f>H15</f>
        <v>529.99980000000005</v>
      </c>
      <c r="B51" s="67">
        <f>H31</f>
        <v>585.85151522945387</v>
      </c>
      <c r="C51" s="67">
        <f t="shared" si="32"/>
        <v>3119.4140940720035</v>
      </c>
      <c r="E51" s="67">
        <f t="shared" si="33"/>
        <v>1914.018750250006</v>
      </c>
      <c r="G51" s="92"/>
      <c r="H51" s="67">
        <f t="shared" si="36"/>
        <v>3.6667000000000001</v>
      </c>
      <c r="I51" s="67">
        <f t="shared" si="37"/>
        <v>4.5869719607170456</v>
      </c>
      <c r="J51" s="97">
        <f t="shared" si="38"/>
        <v>0.84690048168199539</v>
      </c>
      <c r="K51" s="97">
        <f>(H51-$G$50)^2</f>
        <v>6.9636172844444433</v>
      </c>
      <c r="M51" s="92"/>
      <c r="N51" s="97">
        <f>J15</f>
        <v>750</v>
      </c>
      <c r="O51" s="97">
        <f>J31</f>
        <v>641.09362298965164</v>
      </c>
      <c r="P51" s="97">
        <f t="shared" si="34"/>
        <v>11860.598953520135</v>
      </c>
      <c r="Q51" s="97">
        <f t="shared" si="35"/>
        <v>22499.865000202499</v>
      </c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66" customFormat="1" ht="13.5" thickTop="1">
      <c r="A52" s="67">
        <f>H16</f>
        <v>559.99980000000005</v>
      </c>
      <c r="B52" s="67">
        <f>H32</f>
        <v>539.64369538867447</v>
      </c>
      <c r="C52" s="67">
        <f t="shared" si="32"/>
        <v>414.37099494723043</v>
      </c>
      <c r="E52" s="67">
        <f t="shared" si="33"/>
        <v>5438.9887502500105</v>
      </c>
      <c r="J52" s="69">
        <f>SUM(J48:J51)</f>
        <v>3.091347204819729</v>
      </c>
      <c r="K52" s="69">
        <f>SUM(K49:K51)</f>
        <v>10.476675926666665</v>
      </c>
      <c r="P52" s="69">
        <f>SUM(P48:P51)</f>
        <v>25018.095561982132</v>
      </c>
      <c r="Q52" s="69">
        <f>SUM(Q48:Q51)</f>
        <v>54800.308003230006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66" customFormat="1">
      <c r="A53" s="67">
        <f>H17</f>
        <v>240</v>
      </c>
      <c r="B53" s="67">
        <f>H33</f>
        <v>301.16967146833719</v>
      </c>
      <c r="C53" s="67">
        <f t="shared" si="32"/>
        <v>3741.7287075443041</v>
      </c>
      <c r="E53" s="67">
        <f t="shared" si="33"/>
        <v>60639.210250089993</v>
      </c>
      <c r="J53" s="66" t="s">
        <v>112</v>
      </c>
      <c r="K53" s="73">
        <f>J52/K52</f>
        <v>0.29506946921505994</v>
      </c>
      <c r="P53" s="66" t="s">
        <v>112</v>
      </c>
      <c r="Q53" s="73">
        <f>P52/Q52</f>
        <v>0.45653202461029108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66" customFormat="1">
      <c r="A54" s="67">
        <f>I15</f>
        <v>670.00200000000007</v>
      </c>
      <c r="B54" s="67">
        <f>I31</f>
        <v>617.56037348124994</v>
      </c>
      <c r="C54" s="67">
        <f t="shared" si="32"/>
        <v>2750.1241919320764</v>
      </c>
      <c r="E54" s="67">
        <f t="shared" si="33"/>
        <v>33764.687252890028</v>
      </c>
      <c r="J54" s="66" t="s">
        <v>113</v>
      </c>
      <c r="K54" s="73">
        <f>1-K53</f>
        <v>0.70493053078494006</v>
      </c>
      <c r="P54" s="66" t="s">
        <v>113</v>
      </c>
      <c r="Q54" s="73">
        <f>1-Q53</f>
        <v>0.54346797538970892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66" customFormat="1" ht="13.5" thickBot="1">
      <c r="A55" s="67">
        <f>I16</f>
        <v>589.99799999999993</v>
      </c>
      <c r="B55" s="67">
        <f>I32</f>
        <v>568.85158339226371</v>
      </c>
      <c r="C55" s="67">
        <f t="shared" si="32"/>
        <v>447.17093534794253</v>
      </c>
      <c r="E55" s="67">
        <f t="shared" si="33"/>
        <v>10763.585255289991</v>
      </c>
      <c r="G55" s="92"/>
      <c r="H55" s="92"/>
      <c r="I55" s="92"/>
      <c r="J55" s="92"/>
      <c r="K55" s="92"/>
      <c r="M55" s="92"/>
      <c r="N55" s="92"/>
      <c r="O55" s="92"/>
      <c r="P55" s="92"/>
      <c r="Q55" s="92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66" customFormat="1" ht="12.75" customHeight="1" thickTop="1">
      <c r="A56" s="67">
        <f>I17</f>
        <v>319.99800000000005</v>
      </c>
      <c r="B56" s="67">
        <f>I33</f>
        <v>317.47029743597551</v>
      </c>
      <c r="C56" s="67">
        <f t="shared" si="32"/>
        <v>6.389280252176218</v>
      </c>
      <c r="D56" s="67"/>
      <c r="E56" s="67">
        <f t="shared" si="33"/>
        <v>27639.82725528998</v>
      </c>
      <c r="F56" s="70"/>
      <c r="G56" s="550" t="s">
        <v>114</v>
      </c>
      <c r="H56" s="66" t="s">
        <v>107</v>
      </c>
      <c r="I56" s="66" t="s">
        <v>108</v>
      </c>
      <c r="J56" s="548" t="s">
        <v>110</v>
      </c>
      <c r="K56" s="546" t="s">
        <v>111</v>
      </c>
      <c r="L56" s="70"/>
      <c r="M56" s="558" t="s">
        <v>117</v>
      </c>
      <c r="N56" s="66" t="s">
        <v>107</v>
      </c>
      <c r="O56" s="66" t="s">
        <v>108</v>
      </c>
      <c r="P56" s="548" t="s">
        <v>110</v>
      </c>
      <c r="Q56" s="546" t="s">
        <v>111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66" customFormat="1" ht="12.75" customHeight="1" thickBot="1">
      <c r="A57" s="67">
        <f>J15</f>
        <v>750</v>
      </c>
      <c r="B57" s="67">
        <f>J31</f>
        <v>641.09362298965164</v>
      </c>
      <c r="C57" s="67">
        <f t="shared" si="32"/>
        <v>11860.598953520135</v>
      </c>
      <c r="D57" s="67"/>
      <c r="E57" s="67">
        <f t="shared" si="33"/>
        <v>69563.90425009001</v>
      </c>
      <c r="F57" s="70"/>
      <c r="G57" s="551"/>
      <c r="H57" s="101" t="s">
        <v>14</v>
      </c>
      <c r="I57" s="101" t="s">
        <v>109</v>
      </c>
      <c r="J57" s="549"/>
      <c r="K57" s="547"/>
      <c r="L57" s="70"/>
      <c r="M57" s="559"/>
      <c r="N57" s="101" t="s">
        <v>14</v>
      </c>
      <c r="O57" s="101" t="s">
        <v>109</v>
      </c>
      <c r="P57" s="549"/>
      <c r="Q57" s="547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66" customFormat="1" ht="12.75" customHeight="1" thickTop="1">
      <c r="A58" s="67">
        <f>J16</f>
        <v>580.00200000000007</v>
      </c>
      <c r="B58" s="67">
        <f>J32</f>
        <v>590.52869678889579</v>
      </c>
      <c r="C58" s="67">
        <f t="shared" si="32"/>
        <v>110.81134528534746</v>
      </c>
      <c r="D58" s="67"/>
      <c r="E58" s="67">
        <f t="shared" si="33"/>
        <v>8789.3812528900162</v>
      </c>
      <c r="F58" s="70"/>
      <c r="G58" s="75">
        <v>0.5</v>
      </c>
      <c r="H58" s="70">
        <v>0</v>
      </c>
      <c r="I58" s="69">
        <v>0</v>
      </c>
      <c r="J58" s="69">
        <f>(H58-I58)^2</f>
        <v>0</v>
      </c>
      <c r="K58" s="69"/>
      <c r="L58" s="70"/>
      <c r="M58" s="76">
        <f>F7</f>
        <v>0.79207161149558847</v>
      </c>
      <c r="N58" s="69">
        <f>G16</f>
        <v>465</v>
      </c>
      <c r="O58" s="69">
        <f>G32</f>
        <v>493.14338076418539</v>
      </c>
      <c r="P58" s="69">
        <f>(N58-O58)^2</f>
        <v>792.04988083792045</v>
      </c>
      <c r="Q58" s="69">
        <f>(N58-$M$60)^2</f>
        <v>7014.0541250025017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66" customFormat="1" ht="13.5" thickBot="1">
      <c r="A59" s="98">
        <f>J17</f>
        <v>460.00199999999995</v>
      </c>
      <c r="B59" s="98">
        <f>J33</f>
        <v>329.56807449856768</v>
      </c>
      <c r="C59" s="98">
        <f t="shared" si="32"/>
        <v>17013.008921713183</v>
      </c>
      <c r="D59" s="98"/>
      <c r="E59" s="98">
        <f t="shared" si="33"/>
        <v>688.9732528900015</v>
      </c>
      <c r="F59" s="70"/>
      <c r="G59" s="70" t="s">
        <v>12</v>
      </c>
      <c r="H59" s="69">
        <f>A70</f>
        <v>8.8333300000000001</v>
      </c>
      <c r="I59" s="69">
        <f>B70</f>
        <v>9.764191920490898</v>
      </c>
      <c r="J59" s="69">
        <f>(H59-I59)^2</f>
        <v>0.86650391502000268</v>
      </c>
      <c r="K59" s="69">
        <f>(H59-$G$60)^2</f>
        <v>2.0864165432111106</v>
      </c>
      <c r="L59" s="70"/>
      <c r="M59" s="70" t="s">
        <v>12</v>
      </c>
      <c r="N59" s="69">
        <f>H16</f>
        <v>559.99980000000005</v>
      </c>
      <c r="O59" s="69">
        <f>H32</f>
        <v>539.64369538867447</v>
      </c>
      <c r="P59" s="69">
        <f t="shared" ref="P59:P61" si="39">(N59-O59)^2</f>
        <v>414.37099494723043</v>
      </c>
      <c r="Q59" s="69">
        <f t="shared" ref="Q59:Q61" si="40">(N59-$M$60)^2</f>
        <v>126.55912502250085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66" customFormat="1" ht="13.5" thickTop="1">
      <c r="A60" s="74">
        <f>AVERAGE(A48:A59)</f>
        <v>486.25029999999998</v>
      </c>
      <c r="C60" s="67">
        <f>SUM(C48:C59)</f>
        <v>50592.46736196542</v>
      </c>
      <c r="D60" s="67"/>
      <c r="E60" s="67">
        <f>SUM(E48:E59)</f>
        <v>291856.39302300004</v>
      </c>
      <c r="F60" s="70"/>
      <c r="G60" s="67">
        <f>AVERAGE(H59:H61)</f>
        <v>7.388886666666667</v>
      </c>
      <c r="H60" s="69">
        <f t="shared" ref="H60:I60" si="41">A71</f>
        <v>9.3333300000000001</v>
      </c>
      <c r="I60" s="69">
        <f t="shared" si="41"/>
        <v>8.9940615898112419</v>
      </c>
      <c r="J60" s="69">
        <f t="shared" ref="J60:J61" si="42">(H60-I60)^2</f>
        <v>0.11510305415200749</v>
      </c>
      <c r="K60" s="69">
        <f>(H60-$G$60)^2</f>
        <v>3.7808598765444437</v>
      </c>
      <c r="L60" s="70"/>
      <c r="M60" s="69">
        <f>AVERAGE(N58:N61)</f>
        <v>548.74995000000001</v>
      </c>
      <c r="N60" s="69">
        <f>I16</f>
        <v>589.99799999999993</v>
      </c>
      <c r="O60" s="69">
        <f>I32</f>
        <v>568.85158339226371</v>
      </c>
      <c r="P60" s="69">
        <f t="shared" si="39"/>
        <v>447.17093534794253</v>
      </c>
      <c r="Q60" s="69">
        <f t="shared" si="40"/>
        <v>1701.4016288024934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66" customFormat="1" ht="13.5" thickBot="1">
      <c r="B61" s="66" t="s">
        <v>112</v>
      </c>
      <c r="D61" s="73">
        <f>C60/E60</f>
        <v>0.17334712746202693</v>
      </c>
      <c r="E61" s="67"/>
      <c r="F61" s="70"/>
      <c r="G61" s="92"/>
      <c r="H61" s="97">
        <f t="shared" ref="H61:I61" si="43">A72</f>
        <v>4</v>
      </c>
      <c r="I61" s="97">
        <f t="shared" si="43"/>
        <v>5.0194945244722868</v>
      </c>
      <c r="J61" s="97">
        <f t="shared" si="42"/>
        <v>1.0393690854289743</v>
      </c>
      <c r="K61" s="97">
        <f>(H61-$G$60)^2</f>
        <v>11.484552839511114</v>
      </c>
      <c r="L61" s="70"/>
      <c r="M61" s="92"/>
      <c r="N61" s="97">
        <f>J16</f>
        <v>580.00200000000007</v>
      </c>
      <c r="O61" s="97">
        <f>J32</f>
        <v>590.52869678889579</v>
      </c>
      <c r="P61" s="97">
        <f t="shared" si="39"/>
        <v>110.81134528534746</v>
      </c>
      <c r="Q61" s="97">
        <f t="shared" si="40"/>
        <v>976.69062920250337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66" customFormat="1" ht="13.5" thickTop="1">
      <c r="B62" s="66" t="s">
        <v>113</v>
      </c>
      <c r="D62" s="68">
        <f>1-D61</f>
        <v>0.82665287253797304</v>
      </c>
      <c r="E62" s="67"/>
      <c r="F62" s="70"/>
      <c r="J62" s="69">
        <f>SUM(J58:J61)</f>
        <v>2.0209760546009843</v>
      </c>
      <c r="K62" s="69">
        <f>SUM(K59:K61)</f>
        <v>17.351829259266669</v>
      </c>
      <c r="L62" s="70"/>
      <c r="P62" s="69">
        <f>SUM(P58:P61)</f>
        <v>1764.4031564184409</v>
      </c>
      <c r="Q62" s="69">
        <f>SUM(Q58:Q61)</f>
        <v>9818.7055080299997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66" customFormat="1" ht="13.5" thickBot="1">
      <c r="D63" s="67"/>
      <c r="E63" s="67"/>
      <c r="F63" s="70"/>
      <c r="J63" s="66" t="s">
        <v>112</v>
      </c>
      <c r="K63" s="73">
        <f>J62/K62</f>
        <v>0.11647048990651465</v>
      </c>
      <c r="L63" s="70"/>
      <c r="P63" s="66" t="s">
        <v>112</v>
      </c>
      <c r="Q63" s="73">
        <f>P62/Q62</f>
        <v>0.17969814401455109</v>
      </c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66" customFormat="1" ht="15" thickBot="1">
      <c r="A64" s="95" t="s">
        <v>123</v>
      </c>
      <c r="B64" s="95"/>
      <c r="C64" s="95"/>
      <c r="D64" s="96"/>
      <c r="E64" s="96"/>
      <c r="F64" s="70"/>
      <c r="J64" s="66" t="s">
        <v>113</v>
      </c>
      <c r="K64" s="73">
        <f>1-K63</f>
        <v>0.88352951009348535</v>
      </c>
      <c r="L64" s="70"/>
      <c r="P64" s="66" t="s">
        <v>113</v>
      </c>
      <c r="Q64" s="73">
        <f>1-Q63</f>
        <v>0.82030185598544891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66" customFormat="1" ht="14.25" thickTop="1" thickBot="1">
      <c r="A65" s="66" t="s">
        <v>107</v>
      </c>
      <c r="B65" s="66" t="s">
        <v>108</v>
      </c>
      <c r="C65" s="548" t="s">
        <v>110</v>
      </c>
      <c r="D65" s="69"/>
      <c r="E65" s="546" t="s">
        <v>111</v>
      </c>
      <c r="F65" s="70"/>
      <c r="G65" s="92"/>
      <c r="H65" s="92"/>
      <c r="I65" s="92"/>
      <c r="J65" s="92"/>
      <c r="K65" s="92"/>
      <c r="L65" s="70"/>
      <c r="M65" s="92"/>
      <c r="N65" s="92"/>
      <c r="O65" s="92"/>
      <c r="P65" s="92"/>
      <c r="Q65" s="92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66" customFormat="1" ht="12.75" customHeight="1" thickTop="1" thickBot="1">
      <c r="A66" s="92" t="s">
        <v>14</v>
      </c>
      <c r="B66" s="92" t="s">
        <v>109</v>
      </c>
      <c r="C66" s="549"/>
      <c r="D66" s="97"/>
      <c r="E66" s="547"/>
      <c r="F66" s="70"/>
      <c r="G66" s="550" t="s">
        <v>114</v>
      </c>
      <c r="H66" s="66" t="s">
        <v>107</v>
      </c>
      <c r="I66" s="66" t="s">
        <v>108</v>
      </c>
      <c r="J66" s="548" t="s">
        <v>110</v>
      </c>
      <c r="K66" s="546" t="s">
        <v>111</v>
      </c>
      <c r="L66" s="70"/>
      <c r="M66" s="558" t="s">
        <v>117</v>
      </c>
      <c r="N66" s="66" t="s">
        <v>107</v>
      </c>
      <c r="O66" s="66" t="s">
        <v>108</v>
      </c>
      <c r="P66" s="548" t="s">
        <v>110</v>
      </c>
      <c r="Q66" s="546" t="s">
        <v>111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66" customFormat="1" ht="14.25" thickTop="1" thickBot="1">
      <c r="A67" s="67">
        <f>B15</f>
        <v>7.5</v>
      </c>
      <c r="B67" s="67">
        <f>B31</f>
        <v>8.9228256630203937</v>
      </c>
      <c r="C67" s="67">
        <f>(A67-B67)^2</f>
        <v>2.024432867349423</v>
      </c>
      <c r="D67" s="69"/>
      <c r="E67" s="67">
        <f>(A67-$A$79)^2</f>
        <v>0.36502340280277901</v>
      </c>
      <c r="F67" s="70"/>
      <c r="G67" s="551"/>
      <c r="H67" s="101" t="s">
        <v>14</v>
      </c>
      <c r="I67" s="101" t="s">
        <v>109</v>
      </c>
      <c r="J67" s="549"/>
      <c r="K67" s="547"/>
      <c r="L67" s="70"/>
      <c r="M67" s="559"/>
      <c r="N67" s="101" t="s">
        <v>14</v>
      </c>
      <c r="O67" s="101" t="s">
        <v>109</v>
      </c>
      <c r="P67" s="549"/>
      <c r="Q67" s="547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66" customFormat="1" ht="13.5" thickTop="1">
      <c r="A68" s="67">
        <f>B16</f>
        <v>7.75</v>
      </c>
      <c r="B68" s="67">
        <f>B32</f>
        <v>8.2190563460697561</v>
      </c>
      <c r="C68" s="67">
        <f t="shared" ref="C68:C78" si="44">(A68-B68)^2</f>
        <v>0.22001385578831081</v>
      </c>
      <c r="D68" s="69"/>
      <c r="E68" s="67">
        <f t="shared" ref="E68:E78" si="45">(A68-$A$79)^2</f>
        <v>0.12543756946944515</v>
      </c>
      <c r="F68" s="67"/>
      <c r="G68" s="75">
        <v>0.75</v>
      </c>
      <c r="H68" s="70">
        <v>0</v>
      </c>
      <c r="I68" s="69">
        <v>0</v>
      </c>
      <c r="J68" s="69">
        <f>(H68-I68)^2</f>
        <v>0</v>
      </c>
      <c r="K68" s="69"/>
      <c r="L68" s="67"/>
      <c r="M68" s="75">
        <f>F8</f>
        <v>1.2085213566891468</v>
      </c>
      <c r="N68" s="69">
        <f>G17</f>
        <v>220.00200000000001</v>
      </c>
      <c r="O68" s="69">
        <f>G33</f>
        <v>275.21831764302271</v>
      </c>
      <c r="P68" s="69">
        <f>(N68-O68)^2</f>
        <v>3048.8417340551805</v>
      </c>
      <c r="Q68" s="69">
        <f>(N68-$M$70)^2</f>
        <v>8099.7300022499958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66" customFormat="1">
      <c r="A69" s="67">
        <f>B17</f>
        <v>3.6667000000000001</v>
      </c>
      <c r="B69" s="67">
        <f>B33</f>
        <v>4.5869719607170456</v>
      </c>
      <c r="C69" s="67">
        <f t="shared" si="44"/>
        <v>0.84690048168199539</v>
      </c>
      <c r="D69" s="69"/>
      <c r="E69" s="67">
        <f t="shared" si="45"/>
        <v>19.691154792469447</v>
      </c>
      <c r="G69" s="70" t="s">
        <v>12</v>
      </c>
      <c r="H69" s="69">
        <f>A73</f>
        <v>11.166700000000001</v>
      </c>
      <c r="I69" s="69">
        <f>B73</f>
        <v>10.292672891354165</v>
      </c>
      <c r="J69" s="69">
        <f>(H69-I69)^2</f>
        <v>0.7639233866477988</v>
      </c>
      <c r="K69" s="69">
        <f t="shared" ref="K69:K71" si="46">(H69-$G$70)^2</f>
        <v>5.7070024711111147</v>
      </c>
      <c r="M69" s="70" t="s">
        <v>12</v>
      </c>
      <c r="N69" s="69">
        <f>H17</f>
        <v>240</v>
      </c>
      <c r="O69" s="69">
        <f>H33</f>
        <v>301.16967146833719</v>
      </c>
      <c r="P69" s="69">
        <f>(N69-O69)^2</f>
        <v>3741.7287075443041</v>
      </c>
      <c r="Q69" s="69">
        <f t="shared" ref="Q69:Q71" si="47">(N69-$M$70)^2</f>
        <v>4900.070000249998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66" customFormat="1">
      <c r="A70" s="67">
        <f>C15</f>
        <v>8.8333300000000001</v>
      </c>
      <c r="B70" s="67">
        <f>C31</f>
        <v>9.764191920490898</v>
      </c>
      <c r="C70" s="67">
        <f t="shared" si="44"/>
        <v>0.86650391502000268</v>
      </c>
      <c r="E70" s="67">
        <f t="shared" si="45"/>
        <v>0.53167187506944313</v>
      </c>
      <c r="G70" s="67">
        <f>AVERAGE(H69:H71)</f>
        <v>8.7777666666666665</v>
      </c>
      <c r="H70" s="69">
        <f t="shared" ref="H70:I70" si="48">A74</f>
        <v>9.8332999999999995</v>
      </c>
      <c r="I70" s="69">
        <f t="shared" si="48"/>
        <v>9.4808597232043947</v>
      </c>
      <c r="J70" s="69">
        <f t="shared" ref="J70:J71" si="49">(H70-I70)^2</f>
        <v>0.12421414870776248</v>
      </c>
      <c r="K70" s="69">
        <f t="shared" si="46"/>
        <v>1.1141506177777771</v>
      </c>
      <c r="M70" s="67">
        <f>AVERAGE(N68:N71)</f>
        <v>310.00049999999999</v>
      </c>
      <c r="N70" s="69">
        <f>I17</f>
        <v>319.99800000000005</v>
      </c>
      <c r="O70" s="69">
        <f>I33</f>
        <v>317.47029743597551</v>
      </c>
      <c r="P70" s="69">
        <f t="shared" ref="P70:P71" si="50">(N70-O70)^2</f>
        <v>6.389280252176218</v>
      </c>
      <c r="Q70" s="69">
        <f t="shared" si="47"/>
        <v>99.950006250001181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66" customFormat="1" ht="13.5" thickBot="1">
      <c r="A71" s="67">
        <f>C16</f>
        <v>9.3333300000000001</v>
      </c>
      <c r="B71" s="67">
        <f>C32</f>
        <v>8.9940615898112419</v>
      </c>
      <c r="C71" s="67">
        <f t="shared" si="44"/>
        <v>0.11510305415200749</v>
      </c>
      <c r="E71" s="67">
        <f t="shared" si="45"/>
        <v>1.5108302084027756</v>
      </c>
      <c r="G71" s="92"/>
      <c r="H71" s="97">
        <f t="shared" ref="H71:I71" si="51">A75</f>
        <v>5.3333000000000004</v>
      </c>
      <c r="I71" s="97">
        <f t="shared" si="51"/>
        <v>5.2911716239329252</v>
      </c>
      <c r="J71" s="97">
        <f t="shared" si="49"/>
        <v>1.7748000700489146E-3</v>
      </c>
      <c r="K71" s="97">
        <f t="shared" si="46"/>
        <v>11.864350617777774</v>
      </c>
      <c r="M71" s="92"/>
      <c r="N71" s="97">
        <f>J17</f>
        <v>460.00199999999995</v>
      </c>
      <c r="O71" s="97">
        <f>J33</f>
        <v>329.56807449856768</v>
      </c>
      <c r="P71" s="97">
        <f t="shared" si="50"/>
        <v>17013.008921713183</v>
      </c>
      <c r="Q71" s="97">
        <f t="shared" si="47"/>
        <v>22500.450002249989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6" customFormat="1" ht="13.5" thickTop="1">
      <c r="A72" s="67">
        <f>C17</f>
        <v>4</v>
      </c>
      <c r="B72" s="67">
        <f>C33</f>
        <v>5.0194945244722868</v>
      </c>
      <c r="C72" s="67">
        <f t="shared" si="44"/>
        <v>1.0393690854289743</v>
      </c>
      <c r="E72" s="67">
        <f t="shared" si="45"/>
        <v>16.844225069469452</v>
      </c>
      <c r="J72" s="69">
        <f>SUM(J68:J71)</f>
        <v>0.88991233542561021</v>
      </c>
      <c r="K72" s="69">
        <f>SUM(K69:K71)</f>
        <v>18.685503706666665</v>
      </c>
      <c r="P72" s="69">
        <f>SUM(P68:P71)</f>
        <v>23809.968643564844</v>
      </c>
      <c r="Q72" s="69">
        <f>SUM(Q68:Q71)</f>
        <v>35600.200010999979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66" customFormat="1">
      <c r="A73" s="67">
        <f>D15</f>
        <v>11.166700000000001</v>
      </c>
      <c r="B73" s="67">
        <f>D31</f>
        <v>10.292672891354165</v>
      </c>
      <c r="C73" s="67">
        <f t="shared" si="44"/>
        <v>0.7639233866477988</v>
      </c>
      <c r="E73" s="67">
        <f t="shared" si="45"/>
        <v>9.379079792469442</v>
      </c>
      <c r="J73" s="66" t="s">
        <v>112</v>
      </c>
      <c r="K73" s="73">
        <f>J72/K72</f>
        <v>4.7625814609862767E-2</v>
      </c>
      <c r="P73" s="66" t="s">
        <v>112</v>
      </c>
      <c r="Q73" s="73">
        <f>P72/Q72</f>
        <v>0.66881558632277027</v>
      </c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5" customFormat="1">
      <c r="A74" s="67">
        <f>D16</f>
        <v>9.8332999999999995</v>
      </c>
      <c r="B74" s="67">
        <f>D32</f>
        <v>9.4808597232043947</v>
      </c>
      <c r="C74" s="67">
        <f t="shared" si="44"/>
        <v>0.12421414870776248</v>
      </c>
      <c r="D74" s="66"/>
      <c r="E74" s="67">
        <f t="shared" si="45"/>
        <v>2.9898847931361061</v>
      </c>
      <c r="G74" s="66"/>
      <c r="H74" s="66"/>
      <c r="I74" s="66"/>
      <c r="J74" s="66" t="s">
        <v>113</v>
      </c>
      <c r="K74" s="73">
        <f>1-K73</f>
        <v>0.95237418539013718</v>
      </c>
      <c r="M74" s="66"/>
      <c r="N74" s="66"/>
      <c r="O74" s="66"/>
      <c r="P74" s="66" t="s">
        <v>113</v>
      </c>
      <c r="Q74" s="73">
        <f>1-Q73</f>
        <v>0.33118441367722973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64" s="65" customFormat="1" ht="13.5" thickBot="1">
      <c r="A75" s="67">
        <f>D17</f>
        <v>5.3333000000000004</v>
      </c>
      <c r="B75" s="67">
        <f>D33</f>
        <v>5.2911716239329252</v>
      </c>
      <c r="C75" s="67">
        <f t="shared" si="44"/>
        <v>1.7748000700489146E-3</v>
      </c>
      <c r="D75" s="67"/>
      <c r="E75" s="67">
        <f t="shared" si="45"/>
        <v>7.6777297931361144</v>
      </c>
      <c r="G75" s="92"/>
      <c r="H75" s="92"/>
      <c r="I75" s="92"/>
      <c r="J75" s="92"/>
      <c r="K75" s="92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64" s="65" customFormat="1" ht="13.5" thickTop="1">
      <c r="A76" s="67">
        <f>E15</f>
        <v>12.5</v>
      </c>
      <c r="B76" s="67">
        <f>E31</f>
        <v>10.684893716494194</v>
      </c>
      <c r="C76" s="67">
        <f t="shared" si="44"/>
        <v>3.2946108204222582</v>
      </c>
      <c r="D76" s="67"/>
      <c r="E76" s="67">
        <f t="shared" si="45"/>
        <v>19.323306736136104</v>
      </c>
      <c r="G76" s="550" t="s">
        <v>114</v>
      </c>
      <c r="H76" s="66" t="s">
        <v>107</v>
      </c>
      <c r="I76" s="66" t="s">
        <v>108</v>
      </c>
      <c r="J76" s="548" t="s">
        <v>110</v>
      </c>
      <c r="K76" s="546" t="s">
        <v>111</v>
      </c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64" s="65" customFormat="1" ht="13.5" thickBot="1">
      <c r="A77" s="67">
        <f>E16</f>
        <v>9.6667000000000005</v>
      </c>
      <c r="B77" s="67">
        <f>E32</f>
        <v>9.8421449464815964</v>
      </c>
      <c r="C77" s="67">
        <f t="shared" si="44"/>
        <v>3.0780929245930056E-2</v>
      </c>
      <c r="D77" s="67"/>
      <c r="E77" s="67">
        <f t="shared" si="45"/>
        <v>2.441494792469443</v>
      </c>
      <c r="G77" s="551"/>
      <c r="H77" s="101" t="s">
        <v>14</v>
      </c>
      <c r="I77" s="101" t="s">
        <v>109</v>
      </c>
      <c r="J77" s="549"/>
      <c r="K77" s="547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64" ht="14.25" thickTop="1" thickBot="1">
      <c r="A78" s="98">
        <f>E17</f>
        <v>7.6666999999999996</v>
      </c>
      <c r="B78" s="98">
        <f>E33</f>
        <v>5.4928012416427947</v>
      </c>
      <c r="C78" s="98">
        <f t="shared" si="44"/>
        <v>4.7258358115869976</v>
      </c>
      <c r="D78" s="98"/>
      <c r="E78" s="98">
        <f t="shared" si="45"/>
        <v>0.19138145913611232</v>
      </c>
      <c r="G78" s="75">
        <v>1</v>
      </c>
      <c r="H78" s="70">
        <v>0</v>
      </c>
      <c r="I78" s="69">
        <v>0</v>
      </c>
      <c r="J78" s="69">
        <f>(H78-I78)^2</f>
        <v>0</v>
      </c>
      <c r="K78" s="69"/>
    </row>
    <row r="79" spans="1:64" ht="13.5" thickTop="1">
      <c r="A79" s="74">
        <f>AVERAGE(A67:A78)</f>
        <v>8.1041716666666677</v>
      </c>
      <c r="B79" s="66"/>
      <c r="C79" s="67">
        <f>SUM(C67:C78)</f>
        <v>14.053463156101511</v>
      </c>
      <c r="D79" s="67"/>
      <c r="E79" s="67">
        <f>SUM(E67:E78)</f>
        <v>81.071220284166657</v>
      </c>
      <c r="G79" s="70" t="s">
        <v>12</v>
      </c>
      <c r="H79" s="69">
        <f>A76</f>
        <v>12.5</v>
      </c>
      <c r="I79" s="69">
        <f>B76</f>
        <v>10.684893716494194</v>
      </c>
      <c r="J79" s="69">
        <f>(H79-I79)^2</f>
        <v>3.2946108204222582</v>
      </c>
      <c r="K79" s="69">
        <f>(H79-$G$80)^2</f>
        <v>6.5307506177777848</v>
      </c>
    </row>
    <row r="80" spans="1:64">
      <c r="A80" s="66"/>
      <c r="B80" s="66" t="s">
        <v>112</v>
      </c>
      <c r="C80" s="66"/>
      <c r="D80" s="73">
        <f>C79/E79</f>
        <v>0.17334712746202707</v>
      </c>
      <c r="E80" s="67"/>
      <c r="G80" s="67">
        <f>AVERAGE(H79:H81)</f>
        <v>9.9444666666666652</v>
      </c>
      <c r="H80" s="69">
        <f t="shared" ref="H80:I80" si="52">A77</f>
        <v>9.6667000000000005</v>
      </c>
      <c r="I80" s="69">
        <f t="shared" si="52"/>
        <v>9.8421449464815964</v>
      </c>
      <c r="J80" s="69">
        <f t="shared" ref="J80:J81" si="53">(H80-I80)^2</f>
        <v>3.0780929245930056E-2</v>
      </c>
      <c r="K80" s="69">
        <f t="shared" ref="K80:K81" si="54">(H80-$G$80)^2</f>
        <v>7.7154321111110036E-2</v>
      </c>
    </row>
    <row r="81" spans="1:11" ht="13.5" thickBot="1">
      <c r="A81" s="66"/>
      <c r="B81" s="66" t="s">
        <v>113</v>
      </c>
      <c r="C81" s="66"/>
      <c r="D81" s="68">
        <f>1-D80</f>
        <v>0.82665287253797293</v>
      </c>
      <c r="E81" s="67"/>
      <c r="G81" s="92"/>
      <c r="H81" s="97">
        <f t="shared" ref="H81:I81" si="55">A78</f>
        <v>7.6666999999999996</v>
      </c>
      <c r="I81" s="97">
        <f t="shared" si="55"/>
        <v>5.4928012416427947</v>
      </c>
      <c r="J81" s="97">
        <f t="shared" si="53"/>
        <v>4.7258358115869976</v>
      </c>
      <c r="K81" s="97">
        <f t="shared" si="54"/>
        <v>5.1882209877777727</v>
      </c>
    </row>
    <row r="82" spans="1:11" ht="13.5" thickTop="1">
      <c r="G82" s="66"/>
      <c r="H82" s="66"/>
      <c r="I82" s="66"/>
      <c r="J82" s="69">
        <f>SUM(J78:J81)</f>
        <v>8.0512275612551853</v>
      </c>
      <c r="K82" s="69">
        <f>SUM(K79:K81)</f>
        <v>11.796125926666669</v>
      </c>
    </row>
    <row r="83" spans="1:11">
      <c r="G83" s="66"/>
      <c r="H83" s="66"/>
      <c r="I83" s="66"/>
      <c r="J83" s="66" t="s">
        <v>112</v>
      </c>
      <c r="K83" s="73">
        <f>J82/K82</f>
        <v>0.68253150325009193</v>
      </c>
    </row>
    <row r="84" spans="1:11">
      <c r="G84" s="66"/>
      <c r="H84" s="66"/>
      <c r="I84" s="66"/>
      <c r="J84" s="66" t="s">
        <v>113</v>
      </c>
      <c r="K84" s="73">
        <f>1-K83</f>
        <v>0.31746849674990807</v>
      </c>
    </row>
  </sheetData>
  <mergeCells count="57">
    <mergeCell ref="Q66:Q67"/>
    <mergeCell ref="G76:G77"/>
    <mergeCell ref="J76:J77"/>
    <mergeCell ref="K76:K77"/>
    <mergeCell ref="A43:Q44"/>
    <mergeCell ref="M46:M47"/>
    <mergeCell ref="M56:M57"/>
    <mergeCell ref="P56:P57"/>
    <mergeCell ref="Q56:Q57"/>
    <mergeCell ref="M66:M67"/>
    <mergeCell ref="P66:P67"/>
    <mergeCell ref="J56:J57"/>
    <mergeCell ref="K56:K57"/>
    <mergeCell ref="G56:G57"/>
    <mergeCell ref="G66:G67"/>
    <mergeCell ref="J66:J67"/>
    <mergeCell ref="K66:K67"/>
    <mergeCell ref="C46:C47"/>
    <mergeCell ref="E46:E47"/>
    <mergeCell ref="G46:G47"/>
    <mergeCell ref="F12:F13"/>
    <mergeCell ref="G12:J12"/>
    <mergeCell ref="G14:J14"/>
    <mergeCell ref="G30:J30"/>
    <mergeCell ref="C65:C66"/>
    <mergeCell ref="E65:E66"/>
    <mergeCell ref="A36:A37"/>
    <mergeCell ref="B36:E36"/>
    <mergeCell ref="B38:E38"/>
    <mergeCell ref="G7:H7"/>
    <mergeCell ref="J7:K7"/>
    <mergeCell ref="A28:A29"/>
    <mergeCell ref="B28:E28"/>
    <mergeCell ref="B30:E30"/>
    <mergeCell ref="B22:E22"/>
    <mergeCell ref="F20:F21"/>
    <mergeCell ref="G20:G21"/>
    <mergeCell ref="H20:H21"/>
    <mergeCell ref="I20:I21"/>
    <mergeCell ref="J20:J21"/>
    <mergeCell ref="F28:F29"/>
    <mergeCell ref="G28:J28"/>
    <mergeCell ref="E3:F3"/>
    <mergeCell ref="B12:E12"/>
    <mergeCell ref="A12:A13"/>
    <mergeCell ref="B14:E14"/>
    <mergeCell ref="A20:A21"/>
    <mergeCell ref="B20:E20"/>
    <mergeCell ref="R36:U36"/>
    <mergeCell ref="N1:O1"/>
    <mergeCell ref="P1:Q1"/>
    <mergeCell ref="R1:S1"/>
    <mergeCell ref="T1:U1"/>
    <mergeCell ref="M28:P28"/>
    <mergeCell ref="R28:U28"/>
    <mergeCell ref="M30:P30"/>
    <mergeCell ref="M36:P3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92"/>
  <sheetViews>
    <sheetView zoomScale="68" zoomScaleNormal="68" workbookViewId="0">
      <selection activeCell="Q25" sqref="Q25"/>
    </sheetView>
  </sheetViews>
  <sheetFormatPr defaultRowHeight="12.75"/>
  <cols>
    <col min="1" max="1" width="22.5703125" style="39" customWidth="1"/>
    <col min="2" max="2" width="10.28515625" style="39" customWidth="1"/>
    <col min="3" max="3" width="9.42578125" style="39" customWidth="1"/>
    <col min="4" max="4" width="9" style="39" customWidth="1"/>
    <col min="5" max="5" width="11.5703125" style="39" customWidth="1"/>
    <col min="6" max="6" width="19.7109375" style="39" customWidth="1"/>
    <col min="7" max="7" width="13.5703125" style="39" customWidth="1"/>
    <col min="8" max="8" width="18.42578125" style="39" customWidth="1"/>
    <col min="9" max="9" width="10.140625" style="39" customWidth="1"/>
    <col min="10" max="10" width="11.42578125" style="39" customWidth="1"/>
    <col min="11" max="11" width="13.5703125" style="39" customWidth="1"/>
    <col min="12" max="12" width="3.5703125" style="39" customWidth="1"/>
    <col min="13" max="13" width="13.5703125" style="39" customWidth="1"/>
    <col min="14" max="14" width="18" style="39" customWidth="1"/>
    <col min="15" max="16" width="13.5703125" style="44" customWidth="1"/>
    <col min="17" max="17" width="17.140625" style="44" customWidth="1"/>
    <col min="18" max="18" width="10.140625" style="44" customWidth="1"/>
    <col min="19" max="19" width="9.140625" style="44"/>
    <col min="20" max="20" width="9.42578125" style="44" customWidth="1"/>
    <col min="21" max="21" width="8.85546875" style="44" customWidth="1"/>
    <col min="22" max="22" width="11.5703125" style="44" customWidth="1"/>
    <col min="23" max="23" width="14.7109375" style="44" customWidth="1"/>
    <col min="24" max="24" width="9.85546875" style="44" customWidth="1"/>
    <col min="25" max="25" width="10.7109375" style="44" customWidth="1"/>
    <col min="26" max="28" width="9.140625" style="44"/>
    <col min="29" max="29" width="19.28515625" style="44" customWidth="1"/>
    <col min="30" max="30" width="23.85546875" style="44" customWidth="1"/>
    <col min="31" max="31" width="9.140625" style="44"/>
    <col min="32" max="32" width="19.42578125" style="44" customWidth="1"/>
    <col min="33" max="33" width="9.140625" style="44" customWidth="1"/>
    <col min="34" max="64" width="9.140625" style="44"/>
    <col min="65" max="16384" width="9.140625" style="39"/>
  </cols>
  <sheetData>
    <row r="1" spans="1:17">
      <c r="A1" s="43" t="s">
        <v>119</v>
      </c>
      <c r="B1" s="43"/>
    </row>
    <row r="2" spans="1:17" ht="18.75" thickBot="1">
      <c r="A2" s="43"/>
      <c r="B2" s="43"/>
      <c r="L2" s="41"/>
      <c r="M2" s="40" t="s">
        <v>94</v>
      </c>
      <c r="O2" s="39"/>
      <c r="P2" s="39"/>
      <c r="Q2" s="39"/>
    </row>
    <row r="3" spans="1:17" ht="14.25" thickTop="1" thickBot="1">
      <c r="A3" s="104" t="s">
        <v>34</v>
      </c>
      <c r="B3" s="105" t="s">
        <v>82</v>
      </c>
      <c r="C3" s="105" t="s">
        <v>83</v>
      </c>
      <c r="D3" s="106" t="s">
        <v>33</v>
      </c>
      <c r="E3" s="537" t="s">
        <v>11</v>
      </c>
      <c r="F3" s="538"/>
      <c r="G3" s="46" t="s">
        <v>91</v>
      </c>
      <c r="H3" s="46"/>
      <c r="I3" s="46"/>
      <c r="J3" s="46"/>
      <c r="K3" s="47"/>
      <c r="L3" s="41"/>
      <c r="M3" s="45"/>
      <c r="N3" s="46"/>
      <c r="O3" s="46"/>
      <c r="P3" s="46"/>
      <c r="Q3" s="47"/>
    </row>
    <row r="4" spans="1:17" ht="15.75" thickTop="1" thickBot="1">
      <c r="A4" s="39" t="s">
        <v>76</v>
      </c>
      <c r="B4" s="39" t="s">
        <v>5</v>
      </c>
      <c r="C4" s="39">
        <f>6.915*10^-7</f>
        <v>6.9149999999999997E-7</v>
      </c>
      <c r="D4" s="109" t="s">
        <v>96</v>
      </c>
      <c r="E4" s="103" t="s">
        <v>59</v>
      </c>
      <c r="F4" s="112" t="s">
        <v>4</v>
      </c>
      <c r="G4" s="41"/>
      <c r="H4" s="41"/>
      <c r="I4" s="41"/>
      <c r="J4" s="41"/>
      <c r="K4" s="49"/>
      <c r="L4" s="41"/>
      <c r="M4" s="48"/>
      <c r="N4" s="41"/>
      <c r="O4" s="41"/>
      <c r="P4" s="42" t="s">
        <v>95</v>
      </c>
      <c r="Q4" s="49"/>
    </row>
    <row r="5" spans="1:17" ht="13.5" thickTop="1">
      <c r="A5" s="39" t="s">
        <v>77</v>
      </c>
      <c r="B5" s="39" t="s">
        <v>6</v>
      </c>
      <c r="C5" s="39">
        <f>200*10^-6</f>
        <v>1.9999999999999998E-4</v>
      </c>
      <c r="D5" s="110" t="s">
        <v>1</v>
      </c>
      <c r="E5" s="50">
        <v>1</v>
      </c>
      <c r="F5" s="113">
        <f>'2'!C74</f>
        <v>4.0370139142140993E-2</v>
      </c>
      <c r="G5" s="41"/>
      <c r="H5" s="41"/>
      <c r="I5" s="41"/>
      <c r="J5" s="41"/>
      <c r="K5" s="49"/>
      <c r="L5" s="41"/>
      <c r="M5" s="48"/>
      <c r="N5" s="41"/>
      <c r="O5" s="41"/>
      <c r="P5" s="41"/>
      <c r="Q5" s="49"/>
    </row>
    <row r="6" spans="1:17" ht="14.25">
      <c r="A6" s="39" t="s">
        <v>78</v>
      </c>
      <c r="B6" s="39" t="s">
        <v>7</v>
      </c>
      <c r="C6" s="39">
        <v>9.81</v>
      </c>
      <c r="D6" s="110" t="s">
        <v>97</v>
      </c>
      <c r="E6" s="50">
        <v>2</v>
      </c>
      <c r="F6" s="113">
        <f>'2'!C75</f>
        <v>0.42156304088312835</v>
      </c>
      <c r="G6" s="41"/>
      <c r="H6" s="41"/>
      <c r="I6" s="41"/>
      <c r="J6" s="41"/>
      <c r="K6" s="49"/>
      <c r="L6" s="41"/>
      <c r="M6" s="48"/>
      <c r="N6" s="41"/>
      <c r="O6" s="41"/>
      <c r="P6" s="41"/>
      <c r="Q6" s="49"/>
    </row>
    <row r="7" spans="1:17" ht="15.75" customHeight="1" thickBot="1">
      <c r="A7" s="39" t="s">
        <v>79</v>
      </c>
      <c r="B7" s="39" t="s">
        <v>8</v>
      </c>
      <c r="C7" s="39">
        <v>993.33</v>
      </c>
      <c r="D7" s="110" t="s">
        <v>98</v>
      </c>
      <c r="E7" s="50">
        <v>3</v>
      </c>
      <c r="F7" s="113">
        <f>'2'!C76</f>
        <v>0.79207161149558847</v>
      </c>
      <c r="G7" s="545" t="s">
        <v>92</v>
      </c>
      <c r="H7" s="545"/>
      <c r="I7" s="51"/>
      <c r="J7" s="545" t="s">
        <v>93</v>
      </c>
      <c r="K7" s="560"/>
      <c r="L7" s="107"/>
      <c r="M7" s="48"/>
      <c r="N7" s="41"/>
      <c r="O7" s="41"/>
      <c r="P7" s="41"/>
      <c r="Q7" s="49"/>
    </row>
    <row r="8" spans="1:17" ht="14.25">
      <c r="A8" s="39" t="s">
        <v>80</v>
      </c>
      <c r="B8" s="39" t="s">
        <v>9</v>
      </c>
      <c r="C8" s="39">
        <v>1024</v>
      </c>
      <c r="D8" s="110" t="s">
        <v>98</v>
      </c>
      <c r="E8" s="108">
        <v>4</v>
      </c>
      <c r="F8" s="113">
        <f>'2'!C77</f>
        <v>1.2085213566891468</v>
      </c>
      <c r="M8" s="48"/>
      <c r="N8" s="41"/>
      <c r="O8" s="41"/>
      <c r="P8" s="41"/>
      <c r="Q8" s="49"/>
    </row>
    <row r="9" spans="1:17" ht="13.5" thickBot="1">
      <c r="A9" s="78" t="s">
        <v>81</v>
      </c>
      <c r="B9" s="78" t="s">
        <v>10</v>
      </c>
      <c r="C9" s="78">
        <v>0.05</v>
      </c>
      <c r="D9" s="111" t="s">
        <v>1</v>
      </c>
      <c r="E9" s="78"/>
      <c r="F9" s="111"/>
      <c r="M9" s="52"/>
      <c r="N9" s="51"/>
      <c r="O9" s="51"/>
      <c r="P9" s="51"/>
      <c r="Q9" s="53"/>
    </row>
    <row r="10" spans="1:17" ht="13.5" thickTop="1">
      <c r="L10" s="39" t="s">
        <v>102</v>
      </c>
    </row>
    <row r="11" spans="1:17" ht="15.75" thickBot="1">
      <c r="A11" s="78" t="s">
        <v>85</v>
      </c>
      <c r="B11" s="78"/>
      <c r="C11" s="78"/>
      <c r="D11" s="78"/>
      <c r="E11" s="78"/>
      <c r="L11" t="s">
        <v>19</v>
      </c>
      <c r="M11" s="148">
        <v>0.96507105858775921</v>
      </c>
    </row>
    <row r="12" spans="1:17" ht="15" customHeight="1" thickTop="1" thickBot="1">
      <c r="A12" s="539" t="s">
        <v>4</v>
      </c>
      <c r="B12" s="536" t="s">
        <v>99</v>
      </c>
      <c r="C12" s="536"/>
      <c r="D12" s="536"/>
      <c r="E12" s="536"/>
      <c r="L12" t="s">
        <v>15</v>
      </c>
      <c r="M12" s="148">
        <v>4.7963218882975944E-2</v>
      </c>
    </row>
    <row r="13" spans="1:17" ht="16.5" thickTop="1" thickBot="1">
      <c r="A13" s="540"/>
      <c r="B13" s="87">
        <v>0.25</v>
      </c>
      <c r="C13" s="87">
        <v>0.5</v>
      </c>
      <c r="D13" s="87">
        <v>0.75</v>
      </c>
      <c r="E13" s="88">
        <v>1</v>
      </c>
      <c r="L13" t="s">
        <v>16</v>
      </c>
      <c r="M13" s="148">
        <v>4.6251497496405808E-2</v>
      </c>
    </row>
    <row r="14" spans="1:17" ht="15.75" thickTop="1">
      <c r="A14" s="54">
        <f>F5</f>
        <v>4.0370139142140993E-2</v>
      </c>
      <c r="B14" s="541" t="s">
        <v>84</v>
      </c>
      <c r="C14" s="541"/>
      <c r="D14" s="541"/>
      <c r="E14" s="541"/>
      <c r="I14" s="71"/>
      <c r="L14" t="s">
        <v>17</v>
      </c>
      <c r="M14" s="148">
        <v>9.1613007665099055E-2</v>
      </c>
    </row>
    <row r="15" spans="1:17" ht="15">
      <c r="A15" s="55">
        <f t="shared" ref="A15:A17" si="0">F6</f>
        <v>0.42156304088312835</v>
      </c>
      <c r="B15" s="56">
        <v>7.5</v>
      </c>
      <c r="C15" s="56">
        <v>8.8333300000000001</v>
      </c>
      <c r="D15" s="56">
        <v>11.166700000000001</v>
      </c>
      <c r="E15" s="56">
        <v>12.5</v>
      </c>
      <c r="L15" t="s">
        <v>10</v>
      </c>
      <c r="M15" s="148">
        <v>0.31997898177184619</v>
      </c>
    </row>
    <row r="16" spans="1:17" ht="15">
      <c r="A16" s="55">
        <f t="shared" si="0"/>
        <v>0.79207161149558847</v>
      </c>
      <c r="B16" s="56">
        <v>7.75</v>
      </c>
      <c r="C16" s="56">
        <v>9.3333300000000001</v>
      </c>
      <c r="D16" s="56">
        <v>9.8332999999999995</v>
      </c>
      <c r="E16" s="56">
        <v>9.6667000000000005</v>
      </c>
      <c r="L16" t="s">
        <v>18</v>
      </c>
      <c r="M16" s="148">
        <v>9.8615733995454855E-2</v>
      </c>
    </row>
    <row r="17" spans="1:17" ht="13.5" thickBot="1">
      <c r="A17" s="90">
        <f t="shared" si="0"/>
        <v>1.2085213566891468</v>
      </c>
      <c r="B17" s="79">
        <v>3.6667000000000001</v>
      </c>
      <c r="C17" s="79">
        <v>4</v>
      </c>
      <c r="D17" s="79">
        <v>5.3333000000000004</v>
      </c>
      <c r="E17" s="79">
        <v>7.6666999999999996</v>
      </c>
    </row>
    <row r="18" spans="1:17" ht="13.5" thickTop="1">
      <c r="D18" s="50"/>
      <c r="E18" s="50"/>
      <c r="G18" s="39" t="s">
        <v>547</v>
      </c>
    </row>
    <row r="19" spans="1:17" ht="13.5" thickBot="1">
      <c r="A19" s="80" t="s">
        <v>118</v>
      </c>
      <c r="B19" s="80"/>
      <c r="C19" s="80" t="s">
        <v>88</v>
      </c>
      <c r="D19" s="80"/>
      <c r="E19" s="80"/>
      <c r="F19" s="80"/>
      <c r="G19" s="80">
        <v>4</v>
      </c>
      <c r="H19" s="78"/>
      <c r="I19" s="78"/>
      <c r="J19" s="78"/>
    </row>
    <row r="20" spans="1:17" ht="12.75" customHeight="1" thickTop="1" thickBot="1">
      <c r="A20" s="542" t="s">
        <v>4</v>
      </c>
      <c r="B20" s="536" t="s">
        <v>99</v>
      </c>
      <c r="C20" s="536"/>
      <c r="D20" s="536"/>
      <c r="E20" s="536"/>
      <c r="F20" s="542" t="s">
        <v>86</v>
      </c>
      <c r="G20" s="542" t="s">
        <v>87</v>
      </c>
      <c r="H20" s="542" t="s">
        <v>13</v>
      </c>
      <c r="I20" s="542" t="s">
        <v>89</v>
      </c>
      <c r="J20" s="542" t="s">
        <v>20</v>
      </c>
    </row>
    <row r="21" spans="1:17" ht="14.25" thickTop="1" thickBot="1">
      <c r="A21" s="540"/>
      <c r="B21" s="78">
        <v>0.25</v>
      </c>
      <c r="C21" s="78">
        <v>0.5</v>
      </c>
      <c r="D21" s="78">
        <v>0.75</v>
      </c>
      <c r="E21" s="79">
        <v>1</v>
      </c>
      <c r="F21" s="540"/>
      <c r="G21" s="540"/>
      <c r="H21" s="540"/>
      <c r="I21" s="540"/>
      <c r="J21" s="540"/>
    </row>
    <row r="22" spans="1:17" ht="13.5" thickTop="1">
      <c r="A22" s="54">
        <f>F5</f>
        <v>4.0370139142140993E-2</v>
      </c>
      <c r="B22" s="541" t="s">
        <v>84</v>
      </c>
      <c r="C22" s="541"/>
      <c r="D22" s="541"/>
      <c r="E22" s="541"/>
    </row>
    <row r="23" spans="1:17">
      <c r="A23" s="57">
        <f t="shared" ref="A23:A25" si="1">F6</f>
        <v>0.42156304088312835</v>
      </c>
      <c r="B23" s="58">
        <f>(B15*(($C$9^0.85)))/(($C$4^0.1)*($C$5^0.2)*(($C$6*($C$8-$C$7)/$C$7)^0.45)*($B$21^0.13))</f>
        <v>27.333056195952654</v>
      </c>
      <c r="C23" s="58">
        <f>(C15*(($C$9^0.85)))/(($C$4^0.1)*($C$5^0.2)*(($C$6*($C$8-$C$7)/$C$7)^0.45)*($C$21^0.13))</f>
        <v>29.418294193990565</v>
      </c>
      <c r="D23" s="58">
        <f>(D15*(($C$9^0.85)))/(($C$4^0.1)*($C$5^0.2)*(($C$6*($C$8-$C$7)/$C$7)^0.45)*($D$21^0.13))</f>
        <v>35.27979203904205</v>
      </c>
      <c r="E23" s="58">
        <f>(E15*(($C$9^0.85)))/(($C$4^0.1)*($C$5^0.2)*(($C$6*($C$8-$C$7)/$C$7)^0.45)*($E$21^0.13))</f>
        <v>38.042508383828</v>
      </c>
      <c r="F23" s="58">
        <f>AVERAGE(B23:E23)</f>
        <v>32.518412703203317</v>
      </c>
      <c r="G23" s="58">
        <f>_xlfn.STDEV.S(B23:E23)</f>
        <v>4.9879690524148241</v>
      </c>
      <c r="H23" s="59">
        <f>G23/SQRT($G$19)</f>
        <v>2.4939845262074121</v>
      </c>
      <c r="I23" s="58">
        <f>2*H23</f>
        <v>4.9879690524148241</v>
      </c>
      <c r="J23" s="60">
        <f>I23/F23</f>
        <v>0.15338906907726987</v>
      </c>
    </row>
    <row r="24" spans="1:17">
      <c r="A24" s="57">
        <f t="shared" si="1"/>
        <v>0.79207161149558847</v>
      </c>
      <c r="B24" s="58">
        <f>(B16*(($C$9^0.85)))/(($C$4^0.1)*($C$5^0.2)*(($C$6*($C$8-$C$7)/$C$7)^0.45)*($B$21^0.13))</f>
        <v>28.244158069151073</v>
      </c>
      <c r="C24" s="58">
        <f t="shared" ref="C24:C25" si="2">(C16*(($C$9^0.85)))/(($C$4^0.1)*($C$5^0.2)*(($C$6*($C$8-$C$7)/$C$7)^0.45)*($C$21^0.13))</f>
        <v>31.083481286173839</v>
      </c>
      <c r="D24" s="58">
        <f t="shared" ref="D24:D25" si="3">(D16*(($C$9^0.85)))/(($C$4^0.1)*($C$5^0.2)*(($C$6*($C$8-$C$7)/$C$7)^0.45)*($D$21^0.13))</f>
        <v>31.067081506399571</v>
      </c>
      <c r="E24" s="58">
        <f t="shared" ref="E24:E25" si="4">(E16*(($C$9^0.85)))/(($C$4^0.1)*($C$5^0.2)*(($C$6*($C$8-$C$7)/$C$7)^0.45)*($E$21^0.13))</f>
        <v>29.419641263516013</v>
      </c>
      <c r="F24" s="58">
        <f>AVERAGE(B24:E24)</f>
        <v>29.953590531310123</v>
      </c>
      <c r="G24" s="58">
        <f t="shared" ref="G24:G25" si="5">_xlfn.STDEV.S(B24:E24)</f>
        <v>1.3812767563373105</v>
      </c>
      <c r="H24" s="59">
        <f t="shared" ref="H24:H25" si="6">G24/SQRT($G$19)</f>
        <v>0.69063837816865525</v>
      </c>
      <c r="I24" s="58">
        <f t="shared" ref="I24:I25" si="7">2*H24</f>
        <v>1.3812767563373105</v>
      </c>
      <c r="J24" s="60">
        <f>I24/F24</f>
        <v>4.6113895924880147E-2</v>
      </c>
    </row>
    <row r="25" spans="1:17" ht="13.5" thickBot="1">
      <c r="A25" s="81">
        <f t="shared" si="1"/>
        <v>1.2085213566891468</v>
      </c>
      <c r="B25" s="82">
        <f t="shared" ref="B25" si="8">(B17*(($C$9^0.85)))/(($C$4^0.1)*($C$5^0.2)*(($C$6*($C$8-$C$7)/$C$7)^0.45)*($B$21^0.13))</f>
        <v>13.362948953826612</v>
      </c>
      <c r="C25" s="82">
        <f t="shared" si="2"/>
        <v>13.321496737466196</v>
      </c>
      <c r="D25" s="82">
        <f t="shared" si="3"/>
        <v>16.849894318090659</v>
      </c>
      <c r="E25" s="82">
        <f t="shared" si="4"/>
        <v>23.332839922103528</v>
      </c>
      <c r="F25" s="82">
        <f>AVERAGE(B25:E25)</f>
        <v>16.71679498287175</v>
      </c>
      <c r="G25" s="82">
        <f t="shared" si="5"/>
        <v>4.7104882773362213</v>
      </c>
      <c r="H25" s="83">
        <f t="shared" si="6"/>
        <v>2.3552441386681107</v>
      </c>
      <c r="I25" s="82">
        <f t="shared" si="7"/>
        <v>4.7104882773362213</v>
      </c>
      <c r="J25" s="84">
        <f>I25/F25</f>
        <v>0.2817817818644453</v>
      </c>
    </row>
    <row r="26" spans="1:17" ht="13.5" thickTop="1"/>
    <row r="27" spans="1:17" ht="13.5" thickBot="1">
      <c r="A27" s="80" t="s">
        <v>100</v>
      </c>
      <c r="B27" s="78"/>
      <c r="C27" s="78"/>
      <c r="D27" s="78"/>
      <c r="E27" s="78"/>
      <c r="G27" s="80" t="s">
        <v>101</v>
      </c>
      <c r="H27" s="78"/>
      <c r="I27" s="78"/>
      <c r="J27" s="78"/>
      <c r="K27" s="78"/>
      <c r="M27" s="80" t="s">
        <v>103</v>
      </c>
      <c r="N27" s="78"/>
      <c r="O27" s="86"/>
      <c r="P27" s="86"/>
      <c r="Q27" s="86"/>
    </row>
    <row r="28" spans="1:17" ht="12.75" customHeight="1" thickTop="1" thickBot="1">
      <c r="A28" s="542" t="s">
        <v>4</v>
      </c>
      <c r="B28" s="536" t="s">
        <v>99</v>
      </c>
      <c r="C28" s="536"/>
      <c r="D28" s="536"/>
      <c r="E28" s="536"/>
      <c r="G28" s="542" t="s">
        <v>4</v>
      </c>
      <c r="H28" s="536" t="s">
        <v>99</v>
      </c>
      <c r="I28" s="536"/>
      <c r="J28" s="536"/>
      <c r="K28" s="536"/>
      <c r="M28" s="539" t="s">
        <v>4</v>
      </c>
      <c r="N28" s="536" t="s">
        <v>99</v>
      </c>
      <c r="O28" s="536"/>
      <c r="P28" s="536"/>
      <c r="Q28" s="536"/>
    </row>
    <row r="29" spans="1:17" ht="14.25" thickTop="1" thickBot="1">
      <c r="A29" s="540"/>
      <c r="B29" s="78">
        <v>0.25</v>
      </c>
      <c r="C29" s="78">
        <v>0.5</v>
      </c>
      <c r="D29" s="78">
        <v>0.75</v>
      </c>
      <c r="E29" s="79">
        <v>1</v>
      </c>
      <c r="G29" s="540"/>
      <c r="H29" s="78">
        <v>0.25</v>
      </c>
      <c r="I29" s="78">
        <v>0.5</v>
      </c>
      <c r="J29" s="78">
        <v>0.75</v>
      </c>
      <c r="K29" s="79">
        <v>1</v>
      </c>
      <c r="M29" s="540"/>
      <c r="N29" s="87">
        <v>0.25</v>
      </c>
      <c r="O29" s="87">
        <v>0.5</v>
      </c>
      <c r="P29" s="87">
        <v>0.75</v>
      </c>
      <c r="Q29" s="88">
        <v>1</v>
      </c>
    </row>
    <row r="30" spans="1:17" ht="12.75" customHeight="1" thickTop="1">
      <c r="A30" s="85">
        <f>F5</f>
        <v>4.0370139142140993E-2</v>
      </c>
      <c r="B30" s="544" t="s">
        <v>84</v>
      </c>
      <c r="C30" s="544"/>
      <c r="D30" s="544"/>
      <c r="E30" s="544"/>
      <c r="G30" s="85">
        <f>F5</f>
        <v>4.0370139142140993E-2</v>
      </c>
      <c r="H30" s="544" t="s">
        <v>84</v>
      </c>
      <c r="I30" s="544"/>
      <c r="J30" s="544"/>
      <c r="K30" s="544"/>
      <c r="M30" s="85">
        <f>F5</f>
        <v>4.0370139142140993E-2</v>
      </c>
      <c r="N30" s="544" t="s">
        <v>84</v>
      </c>
      <c r="O30" s="544"/>
      <c r="P30" s="544"/>
      <c r="Q30" s="544"/>
    </row>
    <row r="31" spans="1:17">
      <c r="A31" s="62">
        <f>F6</f>
        <v>0.42156304088312835</v>
      </c>
      <c r="B31" s="63">
        <f>(F23*($C$4^0.1)*($C$5^0.2)*(($C$6*($C$8-$C$7)/$C$7)^0.45)*($B$29^0.13))/($C$9^0.85)</f>
        <v>8.9228256630203937</v>
      </c>
      <c r="C31" s="63">
        <f>(F23*($C$4^0.1)*($C$5^0.2)*(($C$6*($C$8-$C$7)/$C$7)^0.45)*($C$29^0.13))/($C$9^0.85)</f>
        <v>9.764191920490898</v>
      </c>
      <c r="D31" s="63">
        <f>(F23*($C$4^0.1)*($C$5^0.2)*(($C$6*($C$8-$C$7)/$C$7)^0.45)*($D$29^0.13))/($C$9^0.85)</f>
        <v>10.292672891354165</v>
      </c>
      <c r="E31" s="63">
        <f>(F23*($C$4^0.1)*($C$5^0.2)*(($C$6*($C$8-$C$7)/$C$7)^0.45)*($E$29^0.13))/($C$9^0.85)</f>
        <v>10.684893716494194</v>
      </c>
      <c r="G31" s="62">
        <f>F6</f>
        <v>0.42156304088312835</v>
      </c>
      <c r="H31" s="63">
        <f>(F23^$M$11*($C$4^$M$12)*($C$5^$M$13)*(($C$6*($C$8-$C$7)/$C$7)^$M$14)*($H$29^$M$15))/($C$9^$M$16)</f>
        <v>7.601526172069077</v>
      </c>
      <c r="I31" s="63">
        <f>(F23^$M$11*($C$4^$M$12)*($C$5^$M$13)*(($C$6*($C$8-$C$7)/$C$7)^$M$14)*($I$29^$M$15))/($C$9^$M$16)</f>
        <v>9.4890790940725598</v>
      </c>
      <c r="J31" s="63">
        <f>(F23^$M$11*($C$4^$M$12)*($C$5^$M$13)*(($C$6*($C$8-$C$7)/$C$7)^$M$14)*($J$29^$M$15))/($C$9^$M$16)</f>
        <v>10.803626672137231</v>
      </c>
      <c r="K31" s="63">
        <f>(F23^$M$11*($C$4^$M$12)*($C$5^$M$13)*(($C$6*($C$8-$C$7)/$C$7)^$M$14)*($K$29^$M$15))/($C$9^$M$16)</f>
        <v>11.845334741386019</v>
      </c>
      <c r="M31" s="61">
        <f t="shared" ref="M31:M33" si="9">F6</f>
        <v>0.42156304088312835</v>
      </c>
      <c r="N31" s="63">
        <f>(B15-H31)^2</f>
        <v>1.0307563614999829E-2</v>
      </c>
      <c r="O31" s="63">
        <f>(C15-I31)^2</f>
        <v>0.43000687437698271</v>
      </c>
      <c r="P31" s="63">
        <f>(D15-J31)^2</f>
        <v>0.13182224140534635</v>
      </c>
      <c r="Q31" s="63">
        <f>(E15-K31)^2</f>
        <v>0.42858660083611116</v>
      </c>
    </row>
    <row r="32" spans="1:17">
      <c r="A32" s="62">
        <f>F7</f>
        <v>0.79207161149558847</v>
      </c>
      <c r="B32" s="77">
        <f t="shared" ref="B32:B33" si="10">(F24*($C$4^0.1)*($C$5^0.2)*(($C$6*($C$8-$C$7)/$C$7)^0.45)*($B$29^0.13))/($C$9^0.85)</f>
        <v>8.2190563460697561</v>
      </c>
      <c r="C32" s="63">
        <f t="shared" ref="C32:C33" si="11">(F24*($C$4^0.1)*($C$5^0.2)*(($C$6*($C$8-$C$7)/$C$7)^0.45)*($C$29^0.13))/($C$9^0.85)</f>
        <v>8.9940615898112419</v>
      </c>
      <c r="D32" s="63">
        <f t="shared" ref="D32:D33" si="12">(F24*($C$4^0.1)*($C$5^0.2)*(($C$6*($C$8-$C$7)/$C$7)^0.45)*($D$29^0.13))/($C$9^0.85)</f>
        <v>9.4808597232043947</v>
      </c>
      <c r="E32" s="63">
        <f t="shared" ref="E32:E33" si="13">(F24*($C$4^0.1)*($C$5^0.2)*(($C$6*($C$8-$C$7)/$C$7)^0.45)*($E$29^0.13))/($C$9^0.85)</f>
        <v>9.8421449464815964</v>
      </c>
      <c r="G32" s="62">
        <f>F7</f>
        <v>0.79207161149558847</v>
      </c>
      <c r="H32" s="63">
        <f>(F24^$M$11*($C$4^$M$12)*($C$5^$M$13)*(($C$6*($C$8-$C$7)/$C$7)^$M$14)*($H$29^$M$15))/($C$9^$M$16)</f>
        <v>7.0220937863107071</v>
      </c>
      <c r="I32" s="63">
        <f t="shared" ref="I32:I33" si="14">(F24^$M$11*($C$4^$M$12)*($C$5^$M$13)*(($C$6*($C$8-$C$7)/$C$7)^$M$14)*($I$29^$M$15))/($C$9^$M$16)</f>
        <v>8.7657664837271358</v>
      </c>
      <c r="J32" s="63">
        <f t="shared" ref="J32:J33" si="15">(F24^$M$11*($C$4^$M$12)*($C$5^$M$13)*(($C$6*($C$8-$C$7)/$C$7)^$M$14)*($J$29^$M$15))/($C$9^$M$16)</f>
        <v>9.9801116258455025</v>
      </c>
      <c r="K32" s="63">
        <f>(F24^$M$11*($C$4^$M$12)*($C$5^$M$13)*(($C$6*($C$8-$C$7)/$C$7)^$M$14)*($K$29^$M$15))/($C$9^$M$16)</f>
        <v>10.942414667976653</v>
      </c>
      <c r="M32" s="61">
        <f t="shared" si="9"/>
        <v>0.79207161149558847</v>
      </c>
      <c r="N32" s="63">
        <f t="shared" ref="N32:Q33" si="16">(B16-H32)^2</f>
        <v>0.5298474559274825</v>
      </c>
      <c r="O32" s="63">
        <f t="shared" si="16"/>
        <v>0.32212834500401788</v>
      </c>
      <c r="P32" s="63">
        <f t="shared" si="16"/>
        <v>2.1553653483399965E-2</v>
      </c>
      <c r="Q32" s="63">
        <f t="shared" si="16"/>
        <v>1.6274479140907805</v>
      </c>
    </row>
    <row r="33" spans="1:64" ht="13.5" thickBot="1">
      <c r="A33" s="90">
        <f>F8</f>
        <v>1.2085213566891468</v>
      </c>
      <c r="B33" s="79">
        <f t="shared" si="10"/>
        <v>4.5869719607170456</v>
      </c>
      <c r="C33" s="79">
        <f t="shared" si="11"/>
        <v>5.0194945244722868</v>
      </c>
      <c r="D33" s="79">
        <f t="shared" si="12"/>
        <v>5.2911716239329252</v>
      </c>
      <c r="E33" s="79">
        <f t="shared" si="13"/>
        <v>5.4928012416427947</v>
      </c>
      <c r="G33" s="90">
        <f>F8</f>
        <v>1.2085213566891468</v>
      </c>
      <c r="H33" s="79">
        <f t="shared" ref="H33" si="17">(F25^$M$11*($C$4^$M$12)*($C$5^$M$13)*(($C$6*($C$8-$C$7)/$C$7)^$M$14)*($H$29^$M$15))/($C$9^$M$16)</f>
        <v>3.9996142758799236</v>
      </c>
      <c r="I33" s="79">
        <f t="shared" si="14"/>
        <v>4.9927679456079437</v>
      </c>
      <c r="J33" s="79">
        <f t="shared" si="15"/>
        <v>5.6844294804809774</v>
      </c>
      <c r="K33" s="79">
        <f t="shared" ref="K33" si="18">(F25^$M$11*($C$4^$M$12)*($C$5^$M$13)*(($C$6*($C$8-$C$7)/$C$7)^$M$14)*($K$29^$M$15))/($C$9^$M$16)</f>
        <v>6.2325339493409055</v>
      </c>
      <c r="M33" s="89">
        <f t="shared" si="9"/>
        <v>1.2085213566891468</v>
      </c>
      <c r="N33" s="79">
        <f t="shared" si="16"/>
        <v>0.11083191508465381</v>
      </c>
      <c r="O33" s="79">
        <f t="shared" si="16"/>
        <v>0.985588193826617</v>
      </c>
      <c r="P33" s="79">
        <f t="shared" si="16"/>
        <v>0.12329191206284083</v>
      </c>
      <c r="Q33" s="79">
        <f t="shared" si="16"/>
        <v>2.0568322608631031</v>
      </c>
    </row>
    <row r="34" spans="1:64" ht="13.5" thickTop="1">
      <c r="M34" s="117" t="s">
        <v>125</v>
      </c>
      <c r="N34" s="44"/>
    </row>
    <row r="35" spans="1:64" ht="13.5" thickBot="1">
      <c r="A35" s="80" t="s">
        <v>90</v>
      </c>
      <c r="B35" s="78"/>
      <c r="C35" s="78"/>
      <c r="D35" s="78"/>
      <c r="E35" s="78"/>
      <c r="G35" s="78" t="s">
        <v>90</v>
      </c>
      <c r="H35" s="78"/>
      <c r="I35" s="78"/>
      <c r="J35" s="78"/>
      <c r="K35" s="78"/>
      <c r="M35" s="117" t="s">
        <v>131</v>
      </c>
      <c r="N35" s="122"/>
      <c r="R35" s="122" t="s">
        <v>127</v>
      </c>
    </row>
    <row r="36" spans="1:64" ht="14.25" thickTop="1" thickBot="1">
      <c r="A36" s="542" t="s">
        <v>4</v>
      </c>
      <c r="B36" s="543" t="s">
        <v>99</v>
      </c>
      <c r="C36" s="543"/>
      <c r="D36" s="543"/>
      <c r="E36" s="543"/>
      <c r="G36" s="539" t="s">
        <v>4</v>
      </c>
      <c r="H36" s="536" t="s">
        <v>99</v>
      </c>
      <c r="I36" s="536"/>
      <c r="J36" s="536"/>
      <c r="K36" s="536"/>
      <c r="M36" s="134" t="s">
        <v>4</v>
      </c>
      <c r="N36" s="534" t="s">
        <v>126</v>
      </c>
      <c r="O36" s="534"/>
      <c r="P36" s="534"/>
      <c r="Q36" s="534"/>
      <c r="R36" s="135" t="s">
        <v>4</v>
      </c>
      <c r="S36" s="532" t="s">
        <v>126</v>
      </c>
      <c r="T36" s="532"/>
      <c r="U36" s="532"/>
      <c r="V36" s="532"/>
    </row>
    <row r="37" spans="1:64" ht="14.25" customHeight="1" thickTop="1" thickBot="1">
      <c r="A37" s="540"/>
      <c r="B37" s="78">
        <v>0.25</v>
      </c>
      <c r="C37" s="78">
        <v>0.5</v>
      </c>
      <c r="D37" s="78">
        <v>0.75</v>
      </c>
      <c r="E37" s="79">
        <v>1</v>
      </c>
      <c r="G37" s="540"/>
      <c r="H37" s="87">
        <v>0.25</v>
      </c>
      <c r="I37" s="87">
        <v>0.5</v>
      </c>
      <c r="J37" s="87">
        <v>0.75</v>
      </c>
      <c r="K37" s="88">
        <v>1</v>
      </c>
      <c r="M37" s="92"/>
      <c r="N37" s="130">
        <v>0.25</v>
      </c>
      <c r="O37" s="86">
        <v>0.5</v>
      </c>
      <c r="P37" s="86">
        <v>0.75</v>
      </c>
      <c r="Q37" s="86">
        <v>1</v>
      </c>
      <c r="R37" s="132"/>
      <c r="S37" s="86">
        <v>0.25</v>
      </c>
      <c r="T37" s="86">
        <v>0.5</v>
      </c>
      <c r="U37" s="86">
        <v>0.75</v>
      </c>
      <c r="V37" s="86">
        <v>1</v>
      </c>
    </row>
    <row r="38" spans="1:64" ht="13.5" thickTop="1">
      <c r="A38" s="85">
        <f>F5</f>
        <v>4.0370139142140993E-2</v>
      </c>
      <c r="B38" s="544" t="s">
        <v>84</v>
      </c>
      <c r="C38" s="544"/>
      <c r="D38" s="544"/>
      <c r="E38" s="544"/>
      <c r="G38" s="85">
        <f>F5</f>
        <v>4.0370139142140993E-2</v>
      </c>
      <c r="H38" s="544" t="s">
        <v>84</v>
      </c>
      <c r="I38" s="544"/>
      <c r="J38" s="544"/>
      <c r="K38" s="544"/>
      <c r="M38" s="64">
        <v>3.7326660881271539E-2</v>
      </c>
      <c r="N38" s="535" t="s">
        <v>84</v>
      </c>
      <c r="O38" s="535"/>
      <c r="P38" s="535"/>
      <c r="Q38" s="535"/>
      <c r="R38" s="138">
        <v>0.04</v>
      </c>
      <c r="S38" s="44" t="s">
        <v>84</v>
      </c>
    </row>
    <row r="39" spans="1:64" s="65" customFormat="1" ht="13.5" customHeight="1">
      <c r="A39" s="57">
        <f>F6</f>
        <v>0.42156304088312835</v>
      </c>
      <c r="B39" s="64">
        <f>ABS(B31-B15)/B15</f>
        <v>0.18971008840271916</v>
      </c>
      <c r="C39" s="64">
        <f t="shared" ref="C39:E40" si="19">ABS(C31-C15)/C15</f>
        <v>0.10538063453883166</v>
      </c>
      <c r="D39" s="64">
        <f t="shared" si="19"/>
        <v>7.8270850712012979E-2</v>
      </c>
      <c r="E39" s="64">
        <f t="shared" si="19"/>
        <v>0.14520850268046445</v>
      </c>
      <c r="G39" s="61">
        <f t="shared" ref="G39:G41" si="20">F6</f>
        <v>0.42156304088312835</v>
      </c>
      <c r="H39" s="64">
        <f>ABS(H31-B15)/B15</f>
        <v>1.3536822942543599E-2</v>
      </c>
      <c r="I39" s="64">
        <f t="shared" ref="I39:K41" si="21">ABS(I31-C15)/C15</f>
        <v>7.4235774512280153E-2</v>
      </c>
      <c r="J39" s="64">
        <f t="shared" si="21"/>
        <v>3.2513932304330716E-2</v>
      </c>
      <c r="K39" s="64">
        <f t="shared" si="21"/>
        <v>5.237322068911851E-2</v>
      </c>
      <c r="M39" s="64">
        <v>0.41851956262225887</v>
      </c>
      <c r="N39" s="128">
        <f>SQRT(((H31/F23)^2)*(G23^2))</f>
        <v>1.1659910231001787</v>
      </c>
      <c r="O39" s="128">
        <f>SQRT(((I31/F23)^2)*(G23^2))</f>
        <v>1.4555210086403734</v>
      </c>
      <c r="P39" s="128">
        <f>SQRT(((J31/F23)^2)*(G23^2))</f>
        <v>1.6571582378974929</v>
      </c>
      <c r="Q39" s="128">
        <f>SQRT(((K31/F23)^2)*(G23^2))</f>
        <v>1.8169448688898449</v>
      </c>
      <c r="R39" s="136">
        <v>0.42</v>
      </c>
      <c r="S39" s="129">
        <f>N39*60</f>
        <v>69.959461386010716</v>
      </c>
      <c r="T39" s="129">
        <f t="shared" ref="T39:V41" si="22">O39*60</f>
        <v>87.331260518422397</v>
      </c>
      <c r="U39" s="129">
        <f t="shared" si="22"/>
        <v>99.429494273849571</v>
      </c>
      <c r="V39" s="129">
        <f t="shared" si="22"/>
        <v>109.01669213339069</v>
      </c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64" s="66" customFormat="1">
      <c r="A40" s="57">
        <f>F7</f>
        <v>0.79207161149558847</v>
      </c>
      <c r="B40" s="64">
        <f>ABS(B32-B16)/B16</f>
        <v>6.0523399492871756E-2</v>
      </c>
      <c r="C40" s="64">
        <f t="shared" si="19"/>
        <v>3.6350199788152585E-2</v>
      </c>
      <c r="D40" s="64">
        <f t="shared" si="19"/>
        <v>3.5841505577538034E-2</v>
      </c>
      <c r="E40" s="64">
        <f t="shared" si="19"/>
        <v>1.8149414638045654E-2</v>
      </c>
      <c r="G40" s="61">
        <f t="shared" si="20"/>
        <v>0.79207161149558847</v>
      </c>
      <c r="H40" s="64">
        <f t="shared" ref="H40:H41" si="23">ABS(H32-B16)/B16</f>
        <v>9.3923382411521664E-2</v>
      </c>
      <c r="I40" s="64">
        <f t="shared" si="21"/>
        <v>6.0810398461520622E-2</v>
      </c>
      <c r="J40" s="64">
        <f t="shared" si="21"/>
        <v>1.4930046459022201E-2</v>
      </c>
      <c r="K40" s="64">
        <f t="shared" si="21"/>
        <v>0.131970027825075</v>
      </c>
      <c r="M40" s="64">
        <v>0.78902813323471899</v>
      </c>
      <c r="N40" s="128">
        <f t="shared" ref="N40:N41" si="24">SQRT(((H32/F24)^2)*(G24^2))</f>
        <v>0.32381610203667954</v>
      </c>
      <c r="O40" s="128">
        <f t="shared" ref="O40:O41" si="25">SQRT(((I32/F24)^2)*(G24^2))</f>
        <v>0.40422364333239574</v>
      </c>
      <c r="P40" s="128">
        <f t="shared" ref="P40:P41" si="26">SQRT(((J32/F24)^2)*(G24^2))</f>
        <v>0.46022182883292589</v>
      </c>
      <c r="Q40" s="128">
        <f t="shared" ref="Q40:Q41" si="27">SQRT(((K32/F24)^2)*(G24^2))</f>
        <v>0.50459737116595726</v>
      </c>
      <c r="R40" s="136">
        <v>0.79</v>
      </c>
      <c r="S40" s="129">
        <f t="shared" ref="S40:S41" si="28">N40*60</f>
        <v>19.428966122200773</v>
      </c>
      <c r="T40" s="129">
        <f t="shared" si="22"/>
        <v>24.253418599943746</v>
      </c>
      <c r="U40" s="129">
        <f t="shared" si="22"/>
        <v>27.613309729975555</v>
      </c>
      <c r="V40" s="129">
        <f t="shared" si="22"/>
        <v>30.275842269957437</v>
      </c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64" s="66" customFormat="1" ht="13.5" thickBot="1">
      <c r="A41" s="81">
        <f>F8</f>
        <v>1.2085213566891468</v>
      </c>
      <c r="B41" s="91">
        <f t="shared" ref="B41:E41" si="29">ABS(B33-B17)/B17</f>
        <v>0.25098098036846361</v>
      </c>
      <c r="C41" s="91">
        <f t="shared" si="29"/>
        <v>0.25487363111807171</v>
      </c>
      <c r="D41" s="91">
        <f t="shared" si="29"/>
        <v>7.8991198820758633E-3</v>
      </c>
      <c r="E41" s="91">
        <f t="shared" si="29"/>
        <v>0.28355077913016097</v>
      </c>
      <c r="G41" s="89">
        <f t="shared" si="20"/>
        <v>1.2085213566891468</v>
      </c>
      <c r="H41" s="91">
        <f t="shared" si="23"/>
        <v>9.0793977112914467E-2</v>
      </c>
      <c r="I41" s="91">
        <f t="shared" si="21"/>
        <v>0.24819198640198592</v>
      </c>
      <c r="J41" s="91">
        <f t="shared" si="21"/>
        <v>6.5837189072614891E-2</v>
      </c>
      <c r="K41" s="91">
        <f t="shared" si="21"/>
        <v>0.18706432371934392</v>
      </c>
      <c r="M41" s="91">
        <v>1.2054778784282774</v>
      </c>
      <c r="N41" s="128">
        <f t="shared" si="24"/>
        <v>1.127018437427918</v>
      </c>
      <c r="O41" s="128">
        <f t="shared" si="25"/>
        <v>1.4068710481490925</v>
      </c>
      <c r="P41" s="128">
        <f t="shared" si="26"/>
        <v>1.601768667892713</v>
      </c>
      <c r="Q41" s="128">
        <f t="shared" si="27"/>
        <v>1.7562145217759288</v>
      </c>
      <c r="R41" s="137">
        <v>1.21</v>
      </c>
      <c r="S41" s="133">
        <f t="shared" si="28"/>
        <v>67.62110624567508</v>
      </c>
      <c r="T41" s="133">
        <f t="shared" si="22"/>
        <v>84.412262888945548</v>
      </c>
      <c r="U41" s="133">
        <f t="shared" si="22"/>
        <v>96.106120073562778</v>
      </c>
      <c r="V41" s="133">
        <f>Q41*60</f>
        <v>105.37287130655574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</row>
    <row r="42" spans="1:64" s="66" customFormat="1" ht="13.5" thickTop="1">
      <c r="A42" s="57"/>
      <c r="B42" s="64"/>
      <c r="C42" s="64"/>
      <c r="D42" s="64"/>
      <c r="E42" s="64"/>
      <c r="M42" s="117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s="66" customFormat="1" ht="13.5" thickBot="1">
      <c r="A43" s="93" t="s">
        <v>104</v>
      </c>
      <c r="B43" s="92"/>
      <c r="C43" s="93"/>
      <c r="D43" s="92"/>
      <c r="E43" s="92"/>
      <c r="G43" s="92" t="s">
        <v>557</v>
      </c>
      <c r="H43" s="92"/>
      <c r="I43" s="93"/>
      <c r="J43" s="92"/>
      <c r="K43" s="92"/>
      <c r="M43" s="117" t="s">
        <v>128</v>
      </c>
      <c r="N43" s="39"/>
      <c r="O43" s="39"/>
      <c r="P43" s="44"/>
      <c r="Q43" s="44"/>
      <c r="R43" s="122" t="s">
        <v>129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64" s="66" customFormat="1" ht="14.25" thickTop="1" thickBot="1">
      <c r="A44" s="539" t="s">
        <v>4</v>
      </c>
      <c r="B44" s="536" t="s">
        <v>99</v>
      </c>
      <c r="C44" s="536"/>
      <c r="D44" s="536"/>
      <c r="E44" s="536"/>
      <c r="G44" s="539" t="s">
        <v>4</v>
      </c>
      <c r="H44" s="536" t="s">
        <v>99</v>
      </c>
      <c r="I44" s="536"/>
      <c r="J44" s="536"/>
      <c r="K44" s="536"/>
      <c r="M44" s="134" t="s">
        <v>4</v>
      </c>
      <c r="N44" s="536" t="s">
        <v>126</v>
      </c>
      <c r="O44" s="536"/>
      <c r="P44" s="536"/>
      <c r="Q44" s="536"/>
      <c r="R44" s="140" t="s">
        <v>4</v>
      </c>
      <c r="S44" s="532" t="s">
        <v>126</v>
      </c>
      <c r="T44" s="532"/>
      <c r="U44" s="532"/>
      <c r="V44" s="532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s="66" customFormat="1" ht="14.25" customHeight="1" thickTop="1" thickBot="1">
      <c r="A45" s="540"/>
      <c r="B45" s="87">
        <v>0.25</v>
      </c>
      <c r="C45" s="87">
        <v>0.5</v>
      </c>
      <c r="D45" s="87">
        <v>0.75</v>
      </c>
      <c r="E45" s="88">
        <v>1</v>
      </c>
      <c r="G45" s="540"/>
      <c r="H45" s="87">
        <v>0.25</v>
      </c>
      <c r="I45" s="87">
        <v>0.5</v>
      </c>
      <c r="J45" s="87">
        <v>0.75</v>
      </c>
      <c r="K45" s="88">
        <v>1</v>
      </c>
      <c r="M45" s="92"/>
      <c r="N45" s="78">
        <v>0.25</v>
      </c>
      <c r="O45" s="78">
        <v>0.5</v>
      </c>
      <c r="P45" s="86">
        <v>0.75</v>
      </c>
      <c r="Q45" s="86">
        <v>1</v>
      </c>
      <c r="R45" s="86"/>
      <c r="S45" s="86">
        <v>0.25</v>
      </c>
      <c r="T45" s="86">
        <v>0.5</v>
      </c>
      <c r="U45" s="86">
        <v>0.75</v>
      </c>
      <c r="V45" s="86">
        <v>1</v>
      </c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64" s="66" customFormat="1" ht="13.5" thickTop="1">
      <c r="A46" s="85">
        <f>F5</f>
        <v>4.0370139142140993E-2</v>
      </c>
      <c r="B46" s="544" t="s">
        <v>84</v>
      </c>
      <c r="C46" s="544"/>
      <c r="D46" s="544"/>
      <c r="E46" s="544"/>
      <c r="F46" s="70"/>
      <c r="G46" s="85">
        <f>F5</f>
        <v>4.0370139142140993E-2</v>
      </c>
      <c r="H46" s="544" t="s">
        <v>84</v>
      </c>
      <c r="I46" s="544"/>
      <c r="J46" s="544"/>
      <c r="K46" s="544"/>
      <c r="L46" s="70"/>
      <c r="M46" s="64">
        <v>3.7326660881271539E-2</v>
      </c>
      <c r="N46" s="58" t="s">
        <v>84</v>
      </c>
      <c r="O46" s="58"/>
      <c r="P46" s="129"/>
      <c r="Q46" s="129"/>
      <c r="R46" s="136">
        <v>0.04</v>
      </c>
      <c r="S46" s="129" t="s">
        <v>84</v>
      </c>
      <c r="T46" s="129"/>
      <c r="U46" s="129"/>
      <c r="V46" s="129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s="66" customFormat="1">
      <c r="A47" s="61">
        <f t="shared" ref="A47:A49" si="30">F6</f>
        <v>0.42156304088312835</v>
      </c>
      <c r="B47" s="72">
        <f>B15*60</f>
        <v>450</v>
      </c>
      <c r="C47" s="72">
        <f t="shared" ref="C47:E47" si="31">C15*60</f>
        <v>529.99980000000005</v>
      </c>
      <c r="D47" s="72">
        <f t="shared" si="31"/>
        <v>670.00200000000007</v>
      </c>
      <c r="E47" s="72">
        <f t="shared" si="31"/>
        <v>750</v>
      </c>
      <c r="F47" s="70"/>
      <c r="G47" s="61">
        <f t="shared" ref="G47:G49" si="32">F6</f>
        <v>0.42156304088312835</v>
      </c>
      <c r="H47" s="72">
        <f>H31*60</f>
        <v>456.09157032414464</v>
      </c>
      <c r="I47" s="72">
        <f t="shared" ref="I47:K47" si="33">I31*60</f>
        <v>569.34474564435357</v>
      </c>
      <c r="J47" s="72">
        <f t="shared" si="33"/>
        <v>648.21760032823386</v>
      </c>
      <c r="K47" s="72">
        <f t="shared" si="33"/>
        <v>710.72008448316114</v>
      </c>
      <c r="L47" s="70"/>
      <c r="M47" s="64">
        <v>0.41851956262225887</v>
      </c>
      <c r="N47" s="139">
        <f>H31+N39</f>
        <v>8.7675171951692548</v>
      </c>
      <c r="O47" s="139">
        <f t="shared" ref="O47:Q49" si="34">I31+O39</f>
        <v>10.944600102712933</v>
      </c>
      <c r="P47" s="139">
        <f t="shared" si="34"/>
        <v>12.460784910034723</v>
      </c>
      <c r="Q47" s="139">
        <f t="shared" si="34"/>
        <v>13.662279610275863</v>
      </c>
      <c r="R47" s="136">
        <v>0.42</v>
      </c>
      <c r="S47" s="121">
        <f>H31-N39</f>
        <v>6.4355351489688983</v>
      </c>
      <c r="T47" s="121">
        <f t="shared" ref="T47:V49" si="35">I31-O39</f>
        <v>8.0335580854321869</v>
      </c>
      <c r="U47" s="121">
        <f t="shared" si="35"/>
        <v>9.146468434239738</v>
      </c>
      <c r="V47" s="121">
        <f t="shared" si="35"/>
        <v>10.028389872496174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64" s="66" customFormat="1">
      <c r="A48" s="61">
        <f t="shared" si="30"/>
        <v>0.79207161149558847</v>
      </c>
      <c r="B48" s="72">
        <f t="shared" ref="B48:E49" si="36">B16*60</f>
        <v>465</v>
      </c>
      <c r="C48" s="72">
        <f t="shared" si="36"/>
        <v>559.99980000000005</v>
      </c>
      <c r="D48" s="72">
        <f t="shared" si="36"/>
        <v>589.99799999999993</v>
      </c>
      <c r="E48" s="72">
        <f t="shared" si="36"/>
        <v>580.00200000000007</v>
      </c>
      <c r="F48" s="70"/>
      <c r="G48" s="61">
        <f t="shared" si="32"/>
        <v>0.79207161149558847</v>
      </c>
      <c r="H48" s="72">
        <f t="shared" ref="H48:K49" si="37">H32*60</f>
        <v>421.32562717864243</v>
      </c>
      <c r="I48" s="72">
        <f t="shared" si="37"/>
        <v>525.94598902362816</v>
      </c>
      <c r="J48" s="72">
        <f t="shared" si="37"/>
        <v>598.80669755073018</v>
      </c>
      <c r="K48" s="72">
        <f t="shared" si="37"/>
        <v>656.54488007859914</v>
      </c>
      <c r="L48" s="70"/>
      <c r="M48" s="64">
        <v>0.78902813323471899</v>
      </c>
      <c r="N48" s="139">
        <f t="shared" ref="N48:N49" si="38">H32+N40</f>
        <v>7.3459098883473866</v>
      </c>
      <c r="O48" s="139">
        <f t="shared" si="34"/>
        <v>9.1699901270595312</v>
      </c>
      <c r="P48" s="139">
        <f t="shared" si="34"/>
        <v>10.440333454678429</v>
      </c>
      <c r="Q48" s="139">
        <f t="shared" si="34"/>
        <v>11.44701203914261</v>
      </c>
      <c r="R48" s="136">
        <v>0.79</v>
      </c>
      <c r="S48" s="121">
        <f t="shared" ref="S48:S49" si="39">H32-N40</f>
        <v>6.6982776842740277</v>
      </c>
      <c r="T48" s="121">
        <f t="shared" si="35"/>
        <v>8.3615428403947405</v>
      </c>
      <c r="U48" s="121">
        <f t="shared" si="35"/>
        <v>9.519889797012576</v>
      </c>
      <c r="V48" s="121">
        <f t="shared" si="35"/>
        <v>10.437817296810696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66" customFormat="1" ht="13.5" thickBot="1">
      <c r="A49" s="89">
        <f t="shared" si="30"/>
        <v>1.2085213566891468</v>
      </c>
      <c r="B49" s="94">
        <f t="shared" si="36"/>
        <v>220.00200000000001</v>
      </c>
      <c r="C49" s="94">
        <f t="shared" si="36"/>
        <v>240</v>
      </c>
      <c r="D49" s="94">
        <f t="shared" si="36"/>
        <v>319.99800000000005</v>
      </c>
      <c r="E49" s="94">
        <f t="shared" si="36"/>
        <v>460.00199999999995</v>
      </c>
      <c r="F49" s="70"/>
      <c r="G49" s="89">
        <f t="shared" si="32"/>
        <v>1.2085213566891468</v>
      </c>
      <c r="H49" s="94">
        <f t="shared" si="37"/>
        <v>239.97685655279543</v>
      </c>
      <c r="I49" s="94">
        <f t="shared" si="37"/>
        <v>299.56607673647665</v>
      </c>
      <c r="J49" s="94">
        <f t="shared" si="37"/>
        <v>341.06576882885867</v>
      </c>
      <c r="K49" s="94">
        <f t="shared" si="37"/>
        <v>373.95203696045434</v>
      </c>
      <c r="L49" s="70"/>
      <c r="M49" s="91">
        <v>1.2054778784282774</v>
      </c>
      <c r="N49" s="97">
        <f t="shared" si="38"/>
        <v>5.126632713307842</v>
      </c>
      <c r="O49" s="97">
        <f t="shared" si="34"/>
        <v>6.3996389937570362</v>
      </c>
      <c r="P49" s="97">
        <f t="shared" si="34"/>
        <v>7.2861981483736908</v>
      </c>
      <c r="Q49" s="97">
        <f t="shared" si="34"/>
        <v>7.9887484711168346</v>
      </c>
      <c r="R49" s="137">
        <v>1.21</v>
      </c>
      <c r="S49" s="132">
        <f t="shared" si="39"/>
        <v>2.8725958384520056</v>
      </c>
      <c r="T49" s="132">
        <f t="shared" si="35"/>
        <v>3.5858968974588512</v>
      </c>
      <c r="U49" s="132">
        <f t="shared" si="35"/>
        <v>4.082660812588264</v>
      </c>
      <c r="V49" s="132">
        <f t="shared" si="35"/>
        <v>4.4763194275649765</v>
      </c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66" customFormat="1" ht="14.25" thickTop="1" thickBot="1">
      <c r="D50" s="69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66" customFormat="1" ht="15" customHeight="1">
      <c r="A51" s="552" t="s">
        <v>105</v>
      </c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  <c r="Q51" s="55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66" customFormat="1" ht="12.75" customHeight="1" thickBot="1">
      <c r="A52" s="555"/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7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66" customFormat="1" ht="13.5" thickBot="1">
      <c r="A53" s="95" t="s">
        <v>106</v>
      </c>
      <c r="B53" s="95"/>
      <c r="C53" s="95"/>
      <c r="D53" s="96"/>
      <c r="E53" s="96"/>
      <c r="F53" s="70"/>
      <c r="G53" s="99" t="s">
        <v>115</v>
      </c>
      <c r="H53" s="99"/>
      <c r="I53" s="100"/>
      <c r="J53" s="100"/>
      <c r="K53" s="100"/>
      <c r="L53" s="70"/>
      <c r="M53" s="99" t="s">
        <v>116</v>
      </c>
      <c r="N53" s="100"/>
      <c r="O53" s="102"/>
      <c r="P53" s="102"/>
      <c r="Q53" s="102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66" customFormat="1" ht="15" customHeight="1" thickTop="1">
      <c r="A54" s="66" t="s">
        <v>107</v>
      </c>
      <c r="B54" s="66" t="s">
        <v>108</v>
      </c>
      <c r="C54" s="548" t="s">
        <v>110</v>
      </c>
      <c r="D54" s="69"/>
      <c r="E54" s="546" t="s">
        <v>111</v>
      </c>
      <c r="F54" s="70"/>
      <c r="G54" s="550" t="s">
        <v>114</v>
      </c>
      <c r="H54" s="66" t="s">
        <v>107</v>
      </c>
      <c r="I54" s="66" t="s">
        <v>108</v>
      </c>
      <c r="J54" s="70"/>
      <c r="K54" s="70"/>
      <c r="L54" s="70"/>
      <c r="M54" s="558" t="s">
        <v>117</v>
      </c>
      <c r="N54" s="66" t="s">
        <v>107</v>
      </c>
      <c r="O54" s="66" t="s">
        <v>108</v>
      </c>
      <c r="P54" s="70"/>
      <c r="Q54" s="70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66" customFormat="1" ht="13.5" thickBot="1">
      <c r="A55" s="92" t="s">
        <v>14</v>
      </c>
      <c r="B55" s="92" t="s">
        <v>109</v>
      </c>
      <c r="C55" s="549"/>
      <c r="D55" s="97"/>
      <c r="E55" s="547"/>
      <c r="F55" s="70"/>
      <c r="G55" s="551"/>
      <c r="H55" s="101" t="s">
        <v>14</v>
      </c>
      <c r="I55" s="101" t="s">
        <v>109</v>
      </c>
      <c r="J55" s="92" t="s">
        <v>110</v>
      </c>
      <c r="K55" s="97" t="s">
        <v>111</v>
      </c>
      <c r="M55" s="559"/>
      <c r="N55" s="101" t="s">
        <v>14</v>
      </c>
      <c r="O55" s="101" t="s">
        <v>109</v>
      </c>
      <c r="P55" s="92" t="s">
        <v>110</v>
      </c>
      <c r="Q55" s="97" t="s">
        <v>111</v>
      </c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66" customFormat="1" ht="13.5" thickTop="1">
      <c r="A56" s="67">
        <f>B47</f>
        <v>450</v>
      </c>
      <c r="B56" s="67">
        <f>H47</f>
        <v>456.09157032414464</v>
      </c>
      <c r="C56" s="67">
        <f>(A56-B56)^2</f>
        <v>37.107229013999643</v>
      </c>
      <c r="D56" s="69"/>
      <c r="E56" s="67">
        <f>(A56-$A$68)^2</f>
        <v>1314.0842500899987</v>
      </c>
      <c r="F56" s="70"/>
      <c r="G56" s="75">
        <v>0.25</v>
      </c>
      <c r="H56" s="70">
        <v>0</v>
      </c>
      <c r="I56" s="69">
        <v>0</v>
      </c>
      <c r="J56" s="69">
        <f>(H56-I56)^2</f>
        <v>0</v>
      </c>
      <c r="K56" s="69">
        <f>(H56-$G$58)^2</f>
        <v>22.365096180624995</v>
      </c>
      <c r="M56" s="76">
        <f>F6</f>
        <v>0.42156304088312835</v>
      </c>
      <c r="N56" s="69">
        <f>B15</f>
        <v>7.5</v>
      </c>
      <c r="O56" s="69">
        <f>H31</f>
        <v>7.601526172069077</v>
      </c>
      <c r="P56" s="69">
        <f>(N56-O56)^2</f>
        <v>1.0307563614999829E-2</v>
      </c>
      <c r="Q56" s="69">
        <f>(N56-$M$58)^2</f>
        <v>6.2500375000562531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66" customFormat="1">
      <c r="A57" s="67">
        <f t="shared" ref="A57:A58" si="40">B48</f>
        <v>465</v>
      </c>
      <c r="B57" s="67">
        <f t="shared" ref="B57:B58" si="41">H48</f>
        <v>421.32562717864243</v>
      </c>
      <c r="C57" s="67">
        <f t="shared" ref="C57:C66" si="42">(A57-B57)^2</f>
        <v>1907.4508413389362</v>
      </c>
      <c r="D57" s="69"/>
      <c r="E57" s="67">
        <f t="shared" ref="E57:E66" si="43">(A57-$A$68)^2</f>
        <v>451.5752500899992</v>
      </c>
      <c r="F57" s="70"/>
      <c r="G57" s="70" t="s">
        <v>12</v>
      </c>
      <c r="H57" s="69">
        <f>B15</f>
        <v>7.5</v>
      </c>
      <c r="I57" s="69">
        <f>H31</f>
        <v>7.601526172069077</v>
      </c>
      <c r="J57" s="69">
        <f>(H57-I57)^2</f>
        <v>1.0307563614999829E-2</v>
      </c>
      <c r="K57" s="69">
        <f>(H57-$G$58)^2</f>
        <v>7.6774711806250018</v>
      </c>
      <c r="M57" s="70" t="s">
        <v>12</v>
      </c>
      <c r="N57" s="69">
        <f>C15</f>
        <v>8.8333300000000001</v>
      </c>
      <c r="O57" s="69">
        <f>I31</f>
        <v>9.4890790940725598</v>
      </c>
      <c r="P57" s="69">
        <f t="shared" ref="P57:P59" si="44">(N57-O57)^2</f>
        <v>0.43000687437698271</v>
      </c>
      <c r="Q57" s="69">
        <f t="shared" ref="Q57:Q59" si="45">(N57-$M$58)^2</f>
        <v>1.3611363890062511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66" customFormat="1">
      <c r="A58" s="67">
        <f t="shared" si="40"/>
        <v>220.00200000000001</v>
      </c>
      <c r="B58" s="67">
        <f t="shared" si="41"/>
        <v>239.97685655279543</v>
      </c>
      <c r="C58" s="67">
        <f t="shared" si="42"/>
        <v>398.99489430475393</v>
      </c>
      <c r="D58" s="69"/>
      <c r="E58" s="67">
        <f t="shared" si="43"/>
        <v>70888.157252889985</v>
      </c>
      <c r="F58" s="67"/>
      <c r="G58" s="67">
        <f>AVERAGE(H56:H59)</f>
        <v>4.7291749999999997</v>
      </c>
      <c r="H58" s="69">
        <f>B16</f>
        <v>7.75</v>
      </c>
      <c r="I58" s="69">
        <f>H32</f>
        <v>7.0220937863107071</v>
      </c>
      <c r="J58" s="69">
        <f t="shared" ref="J58:J59" si="46">(H58-I58)^2</f>
        <v>0.5298474559274825</v>
      </c>
      <c r="K58" s="69">
        <f>(H58-$G$58)^2</f>
        <v>9.125383680625001</v>
      </c>
      <c r="M58" s="69">
        <f>AVERAGE(N56:N59)</f>
        <v>10.000007500000001</v>
      </c>
      <c r="N58" s="69">
        <f>D15</f>
        <v>11.166700000000001</v>
      </c>
      <c r="O58" s="69">
        <f>J31</f>
        <v>10.803626672137231</v>
      </c>
      <c r="P58" s="69">
        <f t="shared" si="44"/>
        <v>0.13182224140534635</v>
      </c>
      <c r="Q58" s="69">
        <f t="shared" si="45"/>
        <v>1.3611713895562498</v>
      </c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66" customFormat="1" ht="13.5" thickBot="1">
      <c r="A59" s="67">
        <f>C47</f>
        <v>529.99980000000005</v>
      </c>
      <c r="B59" s="67">
        <f>I47</f>
        <v>569.34474564435357</v>
      </c>
      <c r="C59" s="67">
        <f t="shared" si="42"/>
        <v>1548.0247477571327</v>
      </c>
      <c r="E59" s="67">
        <f t="shared" si="43"/>
        <v>1914.018750250006</v>
      </c>
      <c r="G59" s="92"/>
      <c r="H59" s="97">
        <f>B17</f>
        <v>3.6667000000000001</v>
      </c>
      <c r="I59" s="97">
        <f>H33</f>
        <v>3.9996142758799236</v>
      </c>
      <c r="J59" s="97">
        <f t="shared" si="46"/>
        <v>0.11083191508465381</v>
      </c>
      <c r="K59" s="97">
        <f>(H59-$G$58)^2</f>
        <v>1.1288531256249992</v>
      </c>
      <c r="M59" s="92"/>
      <c r="N59" s="97">
        <f>E15</f>
        <v>12.5</v>
      </c>
      <c r="O59" s="97">
        <f>K31</f>
        <v>11.845334741386019</v>
      </c>
      <c r="P59" s="97">
        <f t="shared" si="44"/>
        <v>0.42858660083611116</v>
      </c>
      <c r="Q59" s="97">
        <f t="shared" si="45"/>
        <v>6.2499625000562471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66" customFormat="1" ht="13.5" thickTop="1">
      <c r="A60" s="67">
        <f t="shared" ref="A60:A61" si="47">C48</f>
        <v>559.99980000000005</v>
      </c>
      <c r="B60" s="67">
        <f t="shared" ref="B60:B61" si="48">I48</f>
        <v>525.94598902362816</v>
      </c>
      <c r="C60" s="67">
        <f t="shared" si="42"/>
        <v>1159.6620420144668</v>
      </c>
      <c r="E60" s="67">
        <f t="shared" si="43"/>
        <v>5438.9887502500105</v>
      </c>
      <c r="J60" s="69">
        <f>SUM(J56:J59)</f>
        <v>0.65098693462713619</v>
      </c>
      <c r="K60" s="69">
        <f>SUM(K57:K59)</f>
        <v>17.931707986875004</v>
      </c>
      <c r="P60" s="69">
        <f>SUM(P56:P59)</f>
        <v>1.00072328023344</v>
      </c>
      <c r="Q60" s="69">
        <f>SUM(Q56:Q59)</f>
        <v>15.222307778675001</v>
      </c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66" customFormat="1">
      <c r="A61" s="67">
        <f t="shared" si="47"/>
        <v>240</v>
      </c>
      <c r="B61" s="67">
        <f t="shared" si="48"/>
        <v>299.56607673647665</v>
      </c>
      <c r="C61" s="67">
        <f t="shared" si="42"/>
        <v>3548.1174977758242</v>
      </c>
      <c r="E61" s="67">
        <f t="shared" si="43"/>
        <v>60639.210250089993</v>
      </c>
      <c r="J61" s="66" t="s">
        <v>112</v>
      </c>
      <c r="K61" s="73">
        <f>J60/K60</f>
        <v>3.6303676989588599E-2</v>
      </c>
      <c r="P61" s="66" t="s">
        <v>112</v>
      </c>
      <c r="Q61" s="73">
        <f>P60/Q60</f>
        <v>6.5740575922092301E-2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66" customFormat="1">
      <c r="A62" s="67">
        <f>D47</f>
        <v>670.00200000000007</v>
      </c>
      <c r="B62" s="67">
        <f>J47</f>
        <v>648.21760032823386</v>
      </c>
      <c r="C62" s="67">
        <f t="shared" si="42"/>
        <v>474.56006905924772</v>
      </c>
      <c r="E62" s="67">
        <f t="shared" si="43"/>
        <v>33764.687252890028</v>
      </c>
      <c r="J62" s="66" t="s">
        <v>113</v>
      </c>
      <c r="K62" s="73">
        <f>1-K61</f>
        <v>0.96369632301041142</v>
      </c>
      <c r="P62" s="66" t="s">
        <v>113</v>
      </c>
      <c r="Q62" s="73">
        <f>1-Q61</f>
        <v>0.93425942407790774</v>
      </c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66" customFormat="1" ht="13.5" thickBot="1">
      <c r="A63" s="67">
        <f t="shared" ref="A63:A64" si="49">D48</f>
        <v>589.99799999999993</v>
      </c>
      <c r="B63" s="67">
        <f t="shared" ref="B63:B64" si="50">J48</f>
        <v>598.80669755073018</v>
      </c>
      <c r="C63" s="67">
        <f t="shared" si="42"/>
        <v>77.593152540241007</v>
      </c>
      <c r="E63" s="67">
        <f t="shared" si="43"/>
        <v>10763.585255289991</v>
      </c>
      <c r="G63" s="92"/>
      <c r="H63" s="92"/>
      <c r="I63" s="92"/>
      <c r="J63" s="92"/>
      <c r="K63" s="92"/>
      <c r="M63" s="92"/>
      <c r="N63" s="92"/>
      <c r="O63" s="92"/>
      <c r="P63" s="92"/>
      <c r="Q63" s="92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66" customFormat="1" ht="17.25" customHeight="1" thickTop="1">
      <c r="A64" s="67">
        <f t="shared" si="49"/>
        <v>319.99800000000005</v>
      </c>
      <c r="B64" s="67">
        <f t="shared" si="50"/>
        <v>341.06576882885867</v>
      </c>
      <c r="C64" s="67">
        <f t="shared" si="42"/>
        <v>443.85088342622686</v>
      </c>
      <c r="D64" s="67"/>
      <c r="E64" s="67">
        <f t="shared" si="43"/>
        <v>27639.82725528998</v>
      </c>
      <c r="F64" s="70"/>
      <c r="G64" s="550" t="s">
        <v>114</v>
      </c>
      <c r="H64" s="66" t="s">
        <v>107</v>
      </c>
      <c r="I64" s="66" t="s">
        <v>108</v>
      </c>
      <c r="J64" s="548" t="s">
        <v>110</v>
      </c>
      <c r="K64" s="546" t="s">
        <v>111</v>
      </c>
      <c r="L64" s="70"/>
      <c r="M64" s="558" t="s">
        <v>117</v>
      </c>
      <c r="N64" s="66" t="s">
        <v>107</v>
      </c>
      <c r="O64" s="66" t="s">
        <v>108</v>
      </c>
      <c r="P64" s="548" t="s">
        <v>110</v>
      </c>
      <c r="Q64" s="546" t="s">
        <v>111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66" customFormat="1" ht="12.75" customHeight="1" thickBot="1">
      <c r="A65" s="67">
        <f>E47</f>
        <v>750</v>
      </c>
      <c r="B65" s="67">
        <f>K47</f>
        <v>710.72008448316114</v>
      </c>
      <c r="C65" s="67">
        <f t="shared" si="42"/>
        <v>1542.9117630099979</v>
      </c>
      <c r="D65" s="67"/>
      <c r="E65" s="67">
        <f t="shared" si="43"/>
        <v>69563.90425009001</v>
      </c>
      <c r="F65" s="70"/>
      <c r="G65" s="551"/>
      <c r="H65" s="101" t="s">
        <v>14</v>
      </c>
      <c r="I65" s="101" t="s">
        <v>109</v>
      </c>
      <c r="J65" s="549"/>
      <c r="K65" s="547"/>
      <c r="L65" s="70"/>
      <c r="M65" s="559"/>
      <c r="N65" s="101" t="s">
        <v>14</v>
      </c>
      <c r="O65" s="101" t="s">
        <v>109</v>
      </c>
      <c r="P65" s="549"/>
      <c r="Q65" s="547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66" customFormat="1" ht="12.75" customHeight="1" thickTop="1">
      <c r="A66" s="67">
        <f t="shared" ref="A66:A67" si="51">E48</f>
        <v>580.00200000000007</v>
      </c>
      <c r="B66" s="67">
        <f t="shared" ref="B66:B67" si="52">K48</f>
        <v>656.54488007859914</v>
      </c>
      <c r="C66" s="67">
        <f t="shared" si="42"/>
        <v>5858.8124907267984</v>
      </c>
      <c r="D66" s="67"/>
      <c r="E66" s="67">
        <f t="shared" si="43"/>
        <v>8789.3812528900162</v>
      </c>
      <c r="F66" s="70"/>
      <c r="G66" s="75">
        <v>0.5</v>
      </c>
      <c r="H66" s="70">
        <v>0</v>
      </c>
      <c r="I66" s="69">
        <v>0</v>
      </c>
      <c r="J66" s="69">
        <f>(H66-I66)^2</f>
        <v>0</v>
      </c>
      <c r="K66" s="69">
        <f>(H66-$G$68)^2</f>
        <v>30.710050972225002</v>
      </c>
      <c r="L66" s="70"/>
      <c r="M66" s="76">
        <f>F7</f>
        <v>0.79207161149558847</v>
      </c>
      <c r="N66" s="69">
        <f>B16</f>
        <v>7.75</v>
      </c>
      <c r="O66" s="69">
        <f>H32</f>
        <v>7.0220937863107071</v>
      </c>
      <c r="P66" s="69">
        <f>(N66-O66)^2</f>
        <v>0.5298474559274825</v>
      </c>
      <c r="Q66" s="69">
        <f>(N66-$M$68)^2</f>
        <v>1.9483483680562477</v>
      </c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66" customFormat="1" ht="13.5" thickBot="1">
      <c r="A67" s="98">
        <f t="shared" si="51"/>
        <v>460.00199999999995</v>
      </c>
      <c r="B67" s="98">
        <f t="shared" si="52"/>
        <v>373.95203696045434</v>
      </c>
      <c r="C67" s="98">
        <f>(A67-B67)^2</f>
        <v>7404.5961391071669</v>
      </c>
      <c r="D67" s="98"/>
      <c r="E67" s="98">
        <f>(A67-$A$68)^2</f>
        <v>688.9732528900015</v>
      </c>
      <c r="F67" s="70"/>
      <c r="G67" s="70" t="s">
        <v>12</v>
      </c>
      <c r="H67" s="69">
        <f>C15</f>
        <v>8.8333300000000001</v>
      </c>
      <c r="I67" s="69">
        <f>I31</f>
        <v>9.4890790940725598</v>
      </c>
      <c r="J67" s="69">
        <f>(H67-I67)^2</f>
        <v>0.43000687437698271</v>
      </c>
      <c r="K67" s="69">
        <f>(H67-$G$68)^2</f>
        <v>10.835058472225001</v>
      </c>
      <c r="L67" s="70"/>
      <c r="M67" s="70" t="s">
        <v>12</v>
      </c>
      <c r="N67" s="69">
        <f>C16</f>
        <v>9.3333300000000001</v>
      </c>
      <c r="O67" s="69">
        <f>I32</f>
        <v>8.7657664837271358</v>
      </c>
      <c r="P67" s="69">
        <f t="shared" ref="P67" si="53">(N67-O67)^2</f>
        <v>0.32212834500401788</v>
      </c>
      <c r="Q67" s="69">
        <f>(N67-$M$68)^2</f>
        <v>3.5155312506250369E-2</v>
      </c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66" customFormat="1" ht="13.5" thickTop="1">
      <c r="A68" s="74">
        <f>AVERAGE(A56:A67)</f>
        <v>486.25029999999998</v>
      </c>
      <c r="C68" s="67">
        <f>SUM(C56:C67)</f>
        <v>24401.681750074793</v>
      </c>
      <c r="D68" s="67"/>
      <c r="E68" s="67">
        <f>SUM(E56:E67)</f>
        <v>291856.39302300004</v>
      </c>
      <c r="F68" s="70"/>
      <c r="G68" s="67">
        <f>AVERAGE(H66:H69)</f>
        <v>5.5416650000000001</v>
      </c>
      <c r="H68" s="69">
        <f>C16</f>
        <v>9.3333300000000001</v>
      </c>
      <c r="I68" s="69">
        <f>I32</f>
        <v>8.7657664837271358</v>
      </c>
      <c r="J68" s="69">
        <f t="shared" ref="J68:J69" si="54">(H68-I68)^2</f>
        <v>0.32212834500401788</v>
      </c>
      <c r="K68" s="69">
        <f>(H68-$G$68)^2</f>
        <v>14.376723472225001</v>
      </c>
      <c r="L68" s="70"/>
      <c r="M68" s="69">
        <f>AVERAGE(N66:N69)</f>
        <v>9.1458324999999991</v>
      </c>
      <c r="N68" s="69">
        <f>D16</f>
        <v>9.8332999999999995</v>
      </c>
      <c r="O68" s="69">
        <f>J32</f>
        <v>9.9801116258455025</v>
      </c>
      <c r="P68" s="69">
        <f>(N68-O68)^2</f>
        <v>2.1553653483399965E-2</v>
      </c>
      <c r="Q68" s="69">
        <f t="shared" ref="Q68:Q69" si="55">(N68-$M$68)^2</f>
        <v>0.47261156355625045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66" customFormat="1" ht="13.5" thickBot="1">
      <c r="B69" s="66" t="s">
        <v>112</v>
      </c>
      <c r="D69" s="73">
        <f>C68/E68</f>
        <v>8.360852231923456E-2</v>
      </c>
      <c r="E69" s="67"/>
      <c r="F69" s="70"/>
      <c r="G69" s="92"/>
      <c r="H69" s="97">
        <f>C17</f>
        <v>4</v>
      </c>
      <c r="I69" s="97">
        <f>I33</f>
        <v>4.9927679456079437</v>
      </c>
      <c r="J69" s="97">
        <f t="shared" si="54"/>
        <v>0.985588193826617</v>
      </c>
      <c r="K69" s="97">
        <f>(H69-$G$68)^2</f>
        <v>2.3767309722250003</v>
      </c>
      <c r="L69" s="70"/>
      <c r="M69" s="92"/>
      <c r="N69" s="97">
        <f>E16</f>
        <v>9.6667000000000005</v>
      </c>
      <c r="O69" s="97">
        <f>K32</f>
        <v>10.942414667976653</v>
      </c>
      <c r="P69" s="97">
        <f>(N69-O69)^2</f>
        <v>1.6274479140907805</v>
      </c>
      <c r="Q69" s="97">
        <f t="shared" si="55"/>
        <v>0.27130295255625142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66" customFormat="1" ht="13.5" thickTop="1">
      <c r="B70" s="66" t="s">
        <v>113</v>
      </c>
      <c r="D70" s="68">
        <f>1-D69</f>
        <v>0.91639147768076545</v>
      </c>
      <c r="E70" s="67"/>
      <c r="F70" s="70"/>
      <c r="J70" s="69">
        <f>SUM(J66:J69)</f>
        <v>1.7377234132076176</v>
      </c>
      <c r="K70" s="69">
        <f>SUM(K67:K69)</f>
        <v>27.588512916675004</v>
      </c>
      <c r="L70" s="70"/>
      <c r="P70" s="69">
        <f>SUM(P66:P69)</f>
        <v>2.5009773685056809</v>
      </c>
      <c r="Q70" s="69">
        <f>SUM(Q66:Q69)</f>
        <v>2.7274181966750004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66" customFormat="1">
      <c r="D71" s="67"/>
      <c r="E71" s="67"/>
      <c r="F71" s="70"/>
      <c r="J71" s="66" t="s">
        <v>112</v>
      </c>
      <c r="K71" s="73">
        <f>J70/K70</f>
        <v>6.2987208424608698E-2</v>
      </c>
      <c r="L71" s="70"/>
      <c r="P71" s="66" t="s">
        <v>112</v>
      </c>
      <c r="Q71" s="73">
        <f>P70/Q70</f>
        <v>0.91697612473020318</v>
      </c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6" customFormat="1">
      <c r="D72" s="67"/>
      <c r="E72" s="67"/>
      <c r="F72" s="70"/>
      <c r="J72" s="66" t="s">
        <v>113</v>
      </c>
      <c r="K72" s="73">
        <f>1-K71</f>
        <v>0.9370127915753913</v>
      </c>
      <c r="L72" s="70"/>
      <c r="P72" s="66" t="s">
        <v>113</v>
      </c>
      <c r="Q72" s="73">
        <f>1-Q71</f>
        <v>8.3023875269796821E-2</v>
      </c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66" customFormat="1" ht="13.5" thickBot="1">
      <c r="D73" s="67"/>
      <c r="E73" s="67"/>
      <c r="F73" s="70"/>
      <c r="G73" s="92"/>
      <c r="H73" s="92"/>
      <c r="I73" s="92"/>
      <c r="J73" s="92"/>
      <c r="K73" s="92"/>
      <c r="L73" s="70"/>
      <c r="M73" s="92"/>
      <c r="N73" s="92"/>
      <c r="O73" s="92"/>
      <c r="P73" s="92"/>
      <c r="Q73" s="92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6" customFormat="1" ht="12.75" customHeight="1" thickTop="1">
      <c r="D74" s="67"/>
      <c r="E74" s="67"/>
      <c r="F74" s="70"/>
      <c r="G74" s="550" t="s">
        <v>114</v>
      </c>
      <c r="H74" s="66" t="s">
        <v>107</v>
      </c>
      <c r="I74" s="66" t="s">
        <v>108</v>
      </c>
      <c r="J74" s="548" t="s">
        <v>110</v>
      </c>
      <c r="K74" s="546" t="s">
        <v>111</v>
      </c>
      <c r="L74" s="70"/>
      <c r="M74" s="558" t="s">
        <v>117</v>
      </c>
      <c r="N74" s="66" t="s">
        <v>107</v>
      </c>
      <c r="O74" s="66" t="s">
        <v>108</v>
      </c>
      <c r="P74" s="548" t="s">
        <v>110</v>
      </c>
      <c r="Q74" s="546" t="s">
        <v>111</v>
      </c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64" s="66" customFormat="1" ht="13.5" thickBot="1">
      <c r="D75" s="67"/>
      <c r="E75" s="67"/>
      <c r="F75" s="70"/>
      <c r="G75" s="551"/>
      <c r="H75" s="101" t="s">
        <v>14</v>
      </c>
      <c r="I75" s="101" t="s">
        <v>109</v>
      </c>
      <c r="J75" s="549"/>
      <c r="K75" s="547"/>
      <c r="L75" s="70"/>
      <c r="M75" s="559"/>
      <c r="N75" s="101" t="s">
        <v>14</v>
      </c>
      <c r="O75" s="101" t="s">
        <v>109</v>
      </c>
      <c r="P75" s="549"/>
      <c r="Q75" s="547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64" s="66" customFormat="1" ht="13.5" thickTop="1">
      <c r="D76" s="69"/>
      <c r="E76" s="67"/>
      <c r="F76" s="67"/>
      <c r="G76" s="75">
        <v>0.75</v>
      </c>
      <c r="H76" s="70">
        <v>0</v>
      </c>
      <c r="I76" s="69">
        <v>0</v>
      </c>
      <c r="J76" s="69">
        <f>(H76-I76)^2</f>
        <v>0</v>
      </c>
      <c r="K76" s="69">
        <f>(H76-$G$78)^2</f>
        <v>43.340168055625007</v>
      </c>
      <c r="L76" s="67"/>
      <c r="M76" s="75">
        <f>F8</f>
        <v>1.2085213566891468</v>
      </c>
      <c r="N76" s="69">
        <f>B17</f>
        <v>3.6667000000000001</v>
      </c>
      <c r="O76" s="69">
        <f>H33</f>
        <v>3.9996142758799236</v>
      </c>
      <c r="P76" s="69">
        <f>(N76-O76)^2</f>
        <v>0.11083191508465381</v>
      </c>
      <c r="Q76" s="69">
        <f>(N76-$M$78)^2</f>
        <v>2.2499250006249989</v>
      </c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64" s="66" customFormat="1">
      <c r="E77" s="67"/>
      <c r="G77" s="70" t="s">
        <v>12</v>
      </c>
      <c r="H77" s="69">
        <f>D15</f>
        <v>11.166700000000001</v>
      </c>
      <c r="I77" s="69">
        <f>J31</f>
        <v>10.803626672137231</v>
      </c>
      <c r="J77" s="69">
        <f>(H77-I77)^2</f>
        <v>0.13182224140534635</v>
      </c>
      <c r="K77" s="69">
        <f t="shared" ref="K77:K79" si="56">(H77-$G$78)^2</f>
        <v>21.007326390625003</v>
      </c>
      <c r="M77" s="70" t="s">
        <v>12</v>
      </c>
      <c r="N77" s="69">
        <f>C17</f>
        <v>4</v>
      </c>
      <c r="O77" s="69">
        <f>I33</f>
        <v>4.9927679456079437</v>
      </c>
      <c r="P77" s="69">
        <f>(N77-O77)^2</f>
        <v>0.985588193826617</v>
      </c>
      <c r="Q77" s="69">
        <f t="shared" ref="Q77:Q79" si="57">(N77-$M$78)^2</f>
        <v>1.3611305556249993</v>
      </c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</row>
    <row r="78" spans="1:64" s="66" customFormat="1">
      <c r="E78" s="67"/>
      <c r="G78" s="67">
        <f>AVERAGE(H76:H79)</f>
        <v>6.5833250000000003</v>
      </c>
      <c r="H78" s="69">
        <f t="shared" ref="H78:H79" si="58">D16</f>
        <v>9.8332999999999995</v>
      </c>
      <c r="I78" s="69">
        <f t="shared" ref="I78:I79" si="59">J32</f>
        <v>9.9801116258455025</v>
      </c>
      <c r="J78" s="69">
        <f t="shared" ref="J78:J79" si="60">(H78-I78)^2</f>
        <v>2.1553653483399965E-2</v>
      </c>
      <c r="K78" s="69">
        <f t="shared" si="56"/>
        <v>10.562337500624995</v>
      </c>
      <c r="M78" s="67">
        <f>AVERAGE(N76:N79)</f>
        <v>5.1666749999999997</v>
      </c>
      <c r="N78" s="69">
        <f>D17</f>
        <v>5.3333000000000004</v>
      </c>
      <c r="O78" s="69">
        <f>J33</f>
        <v>5.6844294804809774</v>
      </c>
      <c r="P78" s="69">
        <f t="shared" ref="P78:P79" si="61">(N78-O78)^2</f>
        <v>0.12329191206284083</v>
      </c>
      <c r="Q78" s="69">
        <f t="shared" si="57"/>
        <v>2.7763890625000228E-2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</row>
    <row r="79" spans="1:64" s="66" customFormat="1" ht="13.5" thickBot="1">
      <c r="G79" s="92"/>
      <c r="H79" s="97">
        <f t="shared" si="58"/>
        <v>5.3333000000000004</v>
      </c>
      <c r="I79" s="97">
        <f t="shared" si="59"/>
        <v>5.6844294804809774</v>
      </c>
      <c r="J79" s="97">
        <f t="shared" si="60"/>
        <v>0.12329191206284083</v>
      </c>
      <c r="K79" s="97">
        <f t="shared" si="56"/>
        <v>1.5625625006249999</v>
      </c>
      <c r="M79" s="92"/>
      <c r="N79" s="97">
        <f>E17</f>
        <v>7.6666999999999996</v>
      </c>
      <c r="O79" s="97">
        <f>K33</f>
        <v>6.2325339493409055</v>
      </c>
      <c r="P79" s="97">
        <f t="shared" si="61"/>
        <v>2.0568322608631031</v>
      </c>
      <c r="Q79" s="97">
        <f t="shared" si="57"/>
        <v>6.2501250006249993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</row>
    <row r="80" spans="1:64" s="66" customFormat="1" ht="13.5" thickTop="1">
      <c r="J80" s="69">
        <f>SUM(J76:J79)</f>
        <v>0.27666780695158716</v>
      </c>
      <c r="K80" s="69">
        <f>SUM(K77:K79)</f>
        <v>33.132226391875001</v>
      </c>
      <c r="P80" s="69">
        <f>SUM(P76:P79)</f>
        <v>3.2765442818372148</v>
      </c>
      <c r="Q80" s="69">
        <f>SUM(Q76:Q79)</f>
        <v>9.8889444474999983</v>
      </c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7:64" s="66" customFormat="1">
      <c r="J81" s="66" t="s">
        <v>112</v>
      </c>
      <c r="K81" s="73">
        <f>J80/K80</f>
        <v>8.3504139951015872E-3</v>
      </c>
      <c r="P81" s="66" t="s">
        <v>112</v>
      </c>
      <c r="Q81" s="73">
        <f>P80/Q80</f>
        <v>0.33133407708297424</v>
      </c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7:64" s="65" customFormat="1">
      <c r="G82" s="66"/>
      <c r="H82" s="66"/>
      <c r="I82" s="66"/>
      <c r="J82" s="66" t="s">
        <v>113</v>
      </c>
      <c r="K82" s="73">
        <f>1-K81</f>
        <v>0.99164958600489839</v>
      </c>
      <c r="M82" s="66"/>
      <c r="N82" s="66"/>
      <c r="O82" s="66"/>
      <c r="P82" s="66" t="s">
        <v>113</v>
      </c>
      <c r="Q82" s="73">
        <f>1-Q81</f>
        <v>0.66866592291702576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7:64" s="65" customFormat="1" ht="13.5" thickBot="1">
      <c r="G83" s="92"/>
      <c r="H83" s="92"/>
      <c r="I83" s="92"/>
      <c r="J83" s="92"/>
      <c r="K83" s="92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7:64" s="65" customFormat="1" ht="13.5" thickTop="1">
      <c r="G84" s="550" t="s">
        <v>114</v>
      </c>
      <c r="H84" s="66" t="s">
        <v>107</v>
      </c>
      <c r="I84" s="66" t="s">
        <v>108</v>
      </c>
      <c r="J84" s="548" t="s">
        <v>110</v>
      </c>
      <c r="K84" s="546" t="s">
        <v>111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</row>
    <row r="85" spans="7:64" s="65" customFormat="1" ht="13.5" thickBot="1">
      <c r="G85" s="551"/>
      <c r="H85" s="101" t="s">
        <v>14</v>
      </c>
      <c r="I85" s="101" t="s">
        <v>109</v>
      </c>
      <c r="J85" s="549"/>
      <c r="K85" s="547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7:64" ht="13.5" thickTop="1">
      <c r="G86" s="75">
        <v>1</v>
      </c>
      <c r="H86" s="70">
        <v>0</v>
      </c>
      <c r="I86" s="69">
        <v>0</v>
      </c>
      <c r="J86" s="69">
        <f>(H86-I86)^2</f>
        <v>0</v>
      </c>
      <c r="K86" s="69">
        <f>(H86-$G$78)^2</f>
        <v>43.340168055625007</v>
      </c>
    </row>
    <row r="87" spans="7:64">
      <c r="G87" s="70" t="s">
        <v>12</v>
      </c>
      <c r="H87" s="69">
        <f>E15</f>
        <v>12.5</v>
      </c>
      <c r="I87" s="69">
        <f>K31</f>
        <v>11.845334741386019</v>
      </c>
      <c r="J87" s="69">
        <f>(H87-I87)^2</f>
        <v>0.42858660083611116</v>
      </c>
      <c r="K87" s="69">
        <f>(H87-$G$88)^2</f>
        <v>25.418234722500006</v>
      </c>
    </row>
    <row r="88" spans="7:64">
      <c r="G88" s="67">
        <f>AVERAGE(H86:H89)</f>
        <v>7.4583499999999994</v>
      </c>
      <c r="H88" s="69">
        <f t="shared" ref="H88:H89" si="62">E16</f>
        <v>9.6667000000000005</v>
      </c>
      <c r="I88" s="69">
        <f t="shared" ref="I88:I89" si="63">K32</f>
        <v>10.942414667976653</v>
      </c>
      <c r="J88" s="69">
        <f t="shared" ref="J88:J89" si="64">(H88-I88)^2</f>
        <v>1.6274479140907805</v>
      </c>
      <c r="K88" s="69">
        <f t="shared" ref="K88:K89" si="65">(H88-$G$88)^2</f>
        <v>4.8768097225000053</v>
      </c>
    </row>
    <row r="89" spans="7:64" ht="13.5" thickBot="1">
      <c r="G89" s="92"/>
      <c r="H89" s="97">
        <f t="shared" si="62"/>
        <v>7.6666999999999996</v>
      </c>
      <c r="I89" s="97">
        <f t="shared" si="63"/>
        <v>6.2325339493409055</v>
      </c>
      <c r="J89" s="97">
        <f t="shared" si="64"/>
        <v>2.0568322608631031</v>
      </c>
      <c r="K89" s="97">
        <f t="shared" si="65"/>
        <v>4.3409722500000109E-2</v>
      </c>
    </row>
    <row r="90" spans="7:64" ht="13.5" thickTop="1">
      <c r="G90" s="66"/>
      <c r="H90" s="66"/>
      <c r="I90" s="66"/>
      <c r="J90" s="69">
        <f>SUM(J86:J89)</f>
        <v>4.1128667757899944</v>
      </c>
      <c r="K90" s="69">
        <f>SUM(K87:K89)</f>
        <v>30.338454167500014</v>
      </c>
    </row>
    <row r="91" spans="7:64">
      <c r="G91" s="66"/>
      <c r="H91" s="66"/>
      <c r="I91" s="66"/>
      <c r="J91" s="66" t="s">
        <v>112</v>
      </c>
      <c r="K91" s="73">
        <f>J90/K90</f>
        <v>0.13556612848771615</v>
      </c>
    </row>
    <row r="92" spans="7:64">
      <c r="G92" s="66"/>
      <c r="H92" s="66"/>
      <c r="I92" s="66"/>
      <c r="J92" s="66" t="s">
        <v>113</v>
      </c>
      <c r="K92" s="73">
        <f>1-K91</f>
        <v>0.8644338715122839</v>
      </c>
    </row>
  </sheetData>
  <mergeCells count="60">
    <mergeCell ref="B14:E14"/>
    <mergeCell ref="E3:F3"/>
    <mergeCell ref="G7:H7"/>
    <mergeCell ref="J7:K7"/>
    <mergeCell ref="A12:A13"/>
    <mergeCell ref="B12:E12"/>
    <mergeCell ref="J20:J21"/>
    <mergeCell ref="B22:E22"/>
    <mergeCell ref="A28:A29"/>
    <mergeCell ref="B28:E28"/>
    <mergeCell ref="G28:G29"/>
    <mergeCell ref="H28:K28"/>
    <mergeCell ref="A20:A21"/>
    <mergeCell ref="B20:E20"/>
    <mergeCell ref="F20:F21"/>
    <mergeCell ref="G20:G21"/>
    <mergeCell ref="H20:H21"/>
    <mergeCell ref="I20:I21"/>
    <mergeCell ref="A36:A37"/>
    <mergeCell ref="B36:E36"/>
    <mergeCell ref="G36:G37"/>
    <mergeCell ref="H36:K36"/>
    <mergeCell ref="N36:Q36"/>
    <mergeCell ref="M28:M29"/>
    <mergeCell ref="N28:Q28"/>
    <mergeCell ref="B30:E30"/>
    <mergeCell ref="H30:K30"/>
    <mergeCell ref="N30:Q30"/>
    <mergeCell ref="B38:E38"/>
    <mergeCell ref="H38:K38"/>
    <mergeCell ref="A44:A45"/>
    <mergeCell ref="B44:E44"/>
    <mergeCell ref="G44:G45"/>
    <mergeCell ref="H44:K44"/>
    <mergeCell ref="M64:M65"/>
    <mergeCell ref="P64:P65"/>
    <mergeCell ref="Q64:Q65"/>
    <mergeCell ref="B46:E46"/>
    <mergeCell ref="H46:K46"/>
    <mergeCell ref="A51:Q52"/>
    <mergeCell ref="C54:C55"/>
    <mergeCell ref="E54:E55"/>
    <mergeCell ref="G54:G55"/>
    <mergeCell ref="M54:M55"/>
    <mergeCell ref="S36:V36"/>
    <mergeCell ref="N38:Q38"/>
    <mergeCell ref="N44:Q44"/>
    <mergeCell ref="S44:V44"/>
    <mergeCell ref="G84:G85"/>
    <mergeCell ref="J84:J85"/>
    <mergeCell ref="K84:K85"/>
    <mergeCell ref="G74:G75"/>
    <mergeCell ref="J74:J75"/>
    <mergeCell ref="K74:K75"/>
    <mergeCell ref="M74:M75"/>
    <mergeCell ref="P74:P75"/>
    <mergeCell ref="Q74:Q75"/>
    <mergeCell ref="G64:G65"/>
    <mergeCell ref="J64:J65"/>
    <mergeCell ref="K64:K6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F1409-F9E3-4A43-AB9F-23CC185D76C4}">
  <dimension ref="A1:S223"/>
  <sheetViews>
    <sheetView topLeftCell="A58" workbookViewId="0">
      <selection activeCell="G25" sqref="G25"/>
    </sheetView>
  </sheetViews>
  <sheetFormatPr defaultRowHeight="12"/>
  <cols>
    <col min="1" max="1" width="9.140625" style="218"/>
    <col min="2" max="2" width="12.140625" style="218" bestFit="1" customWidth="1"/>
    <col min="3" max="3" width="16.42578125" style="218" customWidth="1"/>
    <col min="4" max="10" width="9.140625" style="218"/>
    <col min="11" max="19" width="9.140625" style="452"/>
    <col min="20" max="16384" width="9.140625" style="218"/>
  </cols>
  <sheetData>
    <row r="1" spans="1:11">
      <c r="A1" s="312" t="s">
        <v>490</v>
      </c>
      <c r="K1" s="453" t="s">
        <v>558</v>
      </c>
    </row>
    <row r="2" spans="1:11" ht="8.25" customHeight="1">
      <c r="K2" s="454" t="s">
        <v>559</v>
      </c>
    </row>
    <row r="3" spans="1:11">
      <c r="A3" s="218" t="s">
        <v>491</v>
      </c>
      <c r="K3" s="453" t="s">
        <v>560</v>
      </c>
    </row>
    <row r="4" spans="1:11">
      <c r="K4" s="455" t="s">
        <v>561</v>
      </c>
    </row>
    <row r="5" spans="1:11">
      <c r="A5" s="423" t="s">
        <v>82</v>
      </c>
      <c r="B5" s="423" t="s">
        <v>492</v>
      </c>
      <c r="D5" s="423" t="s">
        <v>493</v>
      </c>
      <c r="K5" s="455" t="s">
        <v>562</v>
      </c>
    </row>
    <row r="6" spans="1:11">
      <c r="B6" s="561" t="s">
        <v>494</v>
      </c>
      <c r="C6" s="561"/>
      <c r="D6" s="218" t="s">
        <v>2</v>
      </c>
      <c r="I6" s="452"/>
      <c r="K6" s="455" t="s">
        <v>563</v>
      </c>
    </row>
    <row r="7" spans="1:11">
      <c r="B7" s="561" t="s">
        <v>495</v>
      </c>
      <c r="C7" s="561"/>
      <c r="D7" s="405" t="s">
        <v>2</v>
      </c>
      <c r="K7" s="455" t="s">
        <v>564</v>
      </c>
    </row>
    <row r="8" spans="1:11" ht="13.5">
      <c r="B8" s="561" t="s">
        <v>496</v>
      </c>
      <c r="C8" s="561"/>
      <c r="D8" s="218" t="s">
        <v>508</v>
      </c>
      <c r="K8" s="455" t="s">
        <v>565</v>
      </c>
    </row>
    <row r="9" spans="1:11" ht="13.5">
      <c r="B9" s="561" t="s">
        <v>497</v>
      </c>
      <c r="C9" s="561"/>
      <c r="D9" s="405" t="s">
        <v>509</v>
      </c>
      <c r="K9" s="455" t="s">
        <v>566</v>
      </c>
    </row>
    <row r="10" spans="1:11" ht="13.5">
      <c r="B10" s="561" t="s">
        <v>498</v>
      </c>
      <c r="C10" s="561"/>
      <c r="D10" s="405" t="s">
        <v>510</v>
      </c>
      <c r="K10" s="455" t="s">
        <v>567</v>
      </c>
    </row>
    <row r="11" spans="1:11" ht="13.5">
      <c r="B11" s="561" t="s">
        <v>499</v>
      </c>
      <c r="C11" s="561"/>
      <c r="D11" s="405" t="s">
        <v>511</v>
      </c>
      <c r="E11" s="405"/>
      <c r="K11" s="455" t="s">
        <v>568</v>
      </c>
    </row>
    <row r="12" spans="1:11" ht="13.5">
      <c r="B12" s="561" t="s">
        <v>500</v>
      </c>
      <c r="C12" s="561"/>
      <c r="D12" s="405" t="s">
        <v>512</v>
      </c>
      <c r="K12" s="455" t="s">
        <v>569</v>
      </c>
    </row>
    <row r="13" spans="1:11" ht="13.5">
      <c r="B13" s="561" t="s">
        <v>501</v>
      </c>
      <c r="C13" s="561"/>
      <c r="D13" s="405" t="s">
        <v>513</v>
      </c>
      <c r="K13" s="455" t="s">
        <v>570</v>
      </c>
    </row>
    <row r="14" spans="1:11">
      <c r="A14" s="562" t="s">
        <v>502</v>
      </c>
      <c r="B14" s="562"/>
      <c r="C14" s="562"/>
      <c r="K14" s="455" t="s">
        <v>571</v>
      </c>
    </row>
    <row r="15" spans="1:11" ht="15">
      <c r="B15" s="561" t="s">
        <v>503</v>
      </c>
      <c r="C15" s="561"/>
      <c r="D15" s="218" t="s">
        <v>2</v>
      </c>
      <c r="K15" s="404"/>
    </row>
    <row r="16" spans="1:11">
      <c r="B16" s="561" t="s">
        <v>504</v>
      </c>
      <c r="C16" s="561"/>
      <c r="D16" s="218" t="s">
        <v>2</v>
      </c>
      <c r="E16" s="405"/>
      <c r="K16" s="453" t="s">
        <v>572</v>
      </c>
    </row>
    <row r="17" spans="1:11">
      <c r="B17" s="561" t="s">
        <v>505</v>
      </c>
      <c r="C17" s="561"/>
      <c r="D17" s="218" t="s">
        <v>2</v>
      </c>
      <c r="E17" s="405"/>
      <c r="K17" s="456" t="s">
        <v>573</v>
      </c>
    </row>
    <row r="18" spans="1:11" ht="13.5">
      <c r="A18" s="424" t="s">
        <v>506</v>
      </c>
      <c r="B18" s="561" t="s">
        <v>507</v>
      </c>
      <c r="C18" s="561"/>
      <c r="D18" s="405" t="s">
        <v>512</v>
      </c>
      <c r="K18" s="457" t="s">
        <v>574</v>
      </c>
    </row>
    <row r="19" spans="1:11">
      <c r="K19" s="457" t="s">
        <v>575</v>
      </c>
    </row>
    <row r="20" spans="1:11" ht="13.5">
      <c r="A20" s="218" t="s">
        <v>514</v>
      </c>
      <c r="K20" s="457" t="s">
        <v>576</v>
      </c>
    </row>
    <row r="21" spans="1:11">
      <c r="A21" s="218" t="s">
        <v>515</v>
      </c>
      <c r="K21" s="457" t="s">
        <v>577</v>
      </c>
    </row>
    <row r="22" spans="1:11">
      <c r="K22" s="457" t="s">
        <v>578</v>
      </c>
    </row>
    <row r="23" spans="1:11">
      <c r="K23" s="457" t="s">
        <v>579</v>
      </c>
    </row>
    <row r="24" spans="1:11">
      <c r="K24" s="457" t="s">
        <v>580</v>
      </c>
    </row>
    <row r="25" spans="1:11">
      <c r="K25" s="457" t="s">
        <v>581</v>
      </c>
    </row>
    <row r="26" spans="1:11">
      <c r="K26" s="457" t="s">
        <v>582</v>
      </c>
    </row>
    <row r="27" spans="1:11">
      <c r="K27" s="456" t="s">
        <v>583</v>
      </c>
    </row>
    <row r="28" spans="1:11" ht="15.75">
      <c r="A28" s="32" t="s">
        <v>516</v>
      </c>
      <c r="K28" s="404"/>
    </row>
    <row r="29" spans="1:11" ht="15.75">
      <c r="A29" s="32"/>
      <c r="K29" s="455" t="s">
        <v>584</v>
      </c>
    </row>
    <row r="30" spans="1:11" ht="15.75">
      <c r="A30" s="32"/>
      <c r="K30" s="455" t="s">
        <v>585</v>
      </c>
    </row>
    <row r="31" spans="1:11" ht="15">
      <c r="A31" t="s">
        <v>517</v>
      </c>
      <c r="K31" s="455" t="s">
        <v>586</v>
      </c>
    </row>
    <row r="32" spans="1:11" ht="15.75">
      <c r="A32" s="32"/>
      <c r="K32" s="453" t="s">
        <v>587</v>
      </c>
    </row>
    <row r="33" spans="1:11">
      <c r="K33" s="455" t="s">
        <v>588</v>
      </c>
    </row>
    <row r="34" spans="1:11">
      <c r="K34" s="458" t="s">
        <v>589</v>
      </c>
    </row>
    <row r="35" spans="1:11">
      <c r="D35" s="290"/>
      <c r="K35" s="457" t="s">
        <v>590</v>
      </c>
    </row>
    <row r="36" spans="1:11">
      <c r="K36" s="457" t="s">
        <v>591</v>
      </c>
    </row>
    <row r="37" spans="1:11">
      <c r="K37" s="457" t="s">
        <v>592</v>
      </c>
    </row>
    <row r="38" spans="1:11">
      <c r="K38" s="457" t="s">
        <v>593</v>
      </c>
    </row>
    <row r="39" spans="1:11">
      <c r="K39" s="457" t="s">
        <v>594</v>
      </c>
    </row>
    <row r="40" spans="1:11">
      <c r="K40" s="457" t="s">
        <v>581</v>
      </c>
    </row>
    <row r="41" spans="1:11">
      <c r="A41" s="218" t="s">
        <v>520</v>
      </c>
      <c r="B41" s="218" t="s">
        <v>521</v>
      </c>
      <c r="K41" s="458" t="s">
        <v>595</v>
      </c>
    </row>
    <row r="42" spans="1:11">
      <c r="B42" s="218" t="s">
        <v>518</v>
      </c>
      <c r="C42" s="340"/>
      <c r="K42" s="453" t="s">
        <v>596</v>
      </c>
    </row>
    <row r="43" spans="1:11">
      <c r="A43" s="218" t="s">
        <v>2</v>
      </c>
      <c r="B43" s="218" t="s">
        <v>519</v>
      </c>
      <c r="K43" s="455" t="s">
        <v>597</v>
      </c>
    </row>
    <row r="44" spans="1:11">
      <c r="B44" s="218" t="s">
        <v>522</v>
      </c>
      <c r="K44" s="455" t="s">
        <v>598</v>
      </c>
    </row>
    <row r="45" spans="1:11" ht="15">
      <c r="A45" s="218" t="s">
        <v>367</v>
      </c>
      <c r="K45" s="404"/>
    </row>
    <row r="46" spans="1:11">
      <c r="B46" s="218" t="s">
        <v>523</v>
      </c>
      <c r="K46" s="453" t="s">
        <v>599</v>
      </c>
    </row>
    <row r="47" spans="1:11">
      <c r="K47" s="453" t="s">
        <v>600</v>
      </c>
    </row>
    <row r="48" spans="1:11">
      <c r="K48" s="455" t="s">
        <v>601</v>
      </c>
    </row>
    <row r="49" spans="11:11">
      <c r="K49" s="455" t="s">
        <v>602</v>
      </c>
    </row>
    <row r="50" spans="11:11">
      <c r="K50" s="453" t="s">
        <v>603</v>
      </c>
    </row>
    <row r="51" spans="11:11">
      <c r="K51" s="455" t="s">
        <v>604</v>
      </c>
    </row>
    <row r="52" spans="11:11">
      <c r="K52" s="455" t="s">
        <v>605</v>
      </c>
    </row>
    <row r="53" spans="11:11">
      <c r="K53" s="455" t="s">
        <v>606</v>
      </c>
    </row>
    <row r="54" spans="11:11">
      <c r="K54" s="455" t="s">
        <v>607</v>
      </c>
    </row>
    <row r="55" spans="11:11">
      <c r="K55" s="455" t="s">
        <v>608</v>
      </c>
    </row>
    <row r="56" spans="11:11" ht="15">
      <c r="K56" s="404"/>
    </row>
    <row r="57" spans="11:11">
      <c r="K57" s="453" t="s">
        <v>609</v>
      </c>
    </row>
    <row r="58" spans="11:11">
      <c r="K58" s="453" t="s">
        <v>610</v>
      </c>
    </row>
    <row r="59" spans="11:11">
      <c r="K59" s="456" t="s">
        <v>611</v>
      </c>
    </row>
    <row r="60" spans="11:11">
      <c r="K60" s="457" t="s">
        <v>612</v>
      </c>
    </row>
    <row r="61" spans="11:11">
      <c r="K61" s="456" t="s">
        <v>583</v>
      </c>
    </row>
    <row r="62" spans="11:11" ht="15">
      <c r="K62" s="404"/>
    </row>
    <row r="63" spans="11:11">
      <c r="K63" s="453" t="s">
        <v>613</v>
      </c>
    </row>
    <row r="64" spans="11:11">
      <c r="K64" s="456" t="s">
        <v>614</v>
      </c>
    </row>
    <row r="65" spans="1:11">
      <c r="K65" s="457" t="s">
        <v>615</v>
      </c>
    </row>
    <row r="66" spans="1:11">
      <c r="K66" s="456" t="s">
        <v>583</v>
      </c>
    </row>
    <row r="67" spans="1:11" ht="15">
      <c r="K67" s="404"/>
    </row>
    <row r="68" spans="1:11">
      <c r="K68" s="455" t="s">
        <v>616</v>
      </c>
    </row>
    <row r="69" spans="1:11">
      <c r="K69" s="459" t="s">
        <v>617</v>
      </c>
    </row>
    <row r="70" spans="1:11">
      <c r="K70" s="459" t="s">
        <v>618</v>
      </c>
    </row>
    <row r="71" spans="1:11">
      <c r="K71" s="459" t="s">
        <v>619</v>
      </c>
    </row>
    <row r="72" spans="1:11" ht="15">
      <c r="K72" s="404"/>
    </row>
    <row r="73" spans="1:11">
      <c r="K73" s="453" t="s">
        <v>620</v>
      </c>
    </row>
    <row r="74" spans="1:11">
      <c r="K74" s="455" t="s">
        <v>621</v>
      </c>
    </row>
    <row r="75" spans="1:11">
      <c r="K75" s="455" t="s">
        <v>622</v>
      </c>
    </row>
    <row r="76" spans="1:11">
      <c r="K76" s="455" t="s">
        <v>623</v>
      </c>
    </row>
    <row r="77" spans="1:11">
      <c r="K77" s="455" t="s">
        <v>624</v>
      </c>
    </row>
    <row r="78" spans="1:11" ht="15">
      <c r="K78" s="404"/>
    </row>
    <row r="79" spans="1:11">
      <c r="K79" s="455" t="s">
        <v>625</v>
      </c>
    </row>
    <row r="80" spans="1:11">
      <c r="A80" s="218" t="s">
        <v>524</v>
      </c>
      <c r="K80" s="455" t="s">
        <v>626</v>
      </c>
    </row>
    <row r="81" spans="1:11">
      <c r="K81" s="455" t="s">
        <v>627</v>
      </c>
    </row>
    <row r="82" spans="1:11" ht="15">
      <c r="K82" s="404"/>
    </row>
    <row r="83" spans="1:11">
      <c r="K83" s="453" t="s">
        <v>628</v>
      </c>
    </row>
    <row r="84" spans="1:11">
      <c r="K84" s="453" t="s">
        <v>629</v>
      </c>
    </row>
    <row r="85" spans="1:11">
      <c r="K85" s="456" t="s">
        <v>630</v>
      </c>
    </row>
    <row r="86" spans="1:11">
      <c r="K86" s="457" t="s">
        <v>631</v>
      </c>
    </row>
    <row r="87" spans="1:11">
      <c r="A87" s="501" t="s">
        <v>553</v>
      </c>
      <c r="B87" s="501"/>
      <c r="C87" s="501"/>
      <c r="D87" s="501"/>
      <c r="E87" s="501"/>
      <c r="F87" s="501"/>
      <c r="K87" s="457" t="s">
        <v>632</v>
      </c>
    </row>
    <row r="88" spans="1:11">
      <c r="A88" s="501"/>
      <c r="B88" s="501"/>
      <c r="C88" s="501"/>
      <c r="D88" s="501"/>
      <c r="E88" s="501"/>
      <c r="F88" s="501"/>
      <c r="K88" s="457" t="s">
        <v>633</v>
      </c>
    </row>
    <row r="89" spans="1:11">
      <c r="K89" s="457" t="s">
        <v>634</v>
      </c>
    </row>
    <row r="90" spans="1:11">
      <c r="K90" s="457" t="s">
        <v>635</v>
      </c>
    </row>
    <row r="91" spans="1:11">
      <c r="K91" s="457" t="s">
        <v>636</v>
      </c>
    </row>
    <row r="92" spans="1:11">
      <c r="A92" s="218" t="s">
        <v>525</v>
      </c>
      <c r="K92" s="456" t="s">
        <v>583</v>
      </c>
    </row>
    <row r="93" spans="1:11" ht="15">
      <c r="K93" s="404"/>
    </row>
    <row r="94" spans="1:11">
      <c r="A94" s="218" t="s">
        <v>554</v>
      </c>
      <c r="K94" s="453" t="s">
        <v>637</v>
      </c>
    </row>
    <row r="95" spans="1:11">
      <c r="K95" s="456" t="s">
        <v>638</v>
      </c>
    </row>
    <row r="96" spans="1:11">
      <c r="K96" s="457" t="s">
        <v>631</v>
      </c>
    </row>
    <row r="97" spans="1:11">
      <c r="K97" s="457" t="s">
        <v>632</v>
      </c>
    </row>
    <row r="98" spans="1:11">
      <c r="A98" s="218" t="s">
        <v>555</v>
      </c>
      <c r="K98" s="457" t="s">
        <v>633</v>
      </c>
    </row>
    <row r="99" spans="1:11">
      <c r="K99" s="457" t="s">
        <v>634</v>
      </c>
    </row>
    <row r="100" spans="1:11">
      <c r="K100" s="457" t="s">
        <v>635</v>
      </c>
    </row>
    <row r="101" spans="1:11">
      <c r="K101" s="457" t="s">
        <v>639</v>
      </c>
    </row>
    <row r="102" spans="1:11">
      <c r="A102" s="218" t="s">
        <v>556</v>
      </c>
      <c r="C102" s="444"/>
      <c r="K102" s="456" t="s">
        <v>583</v>
      </c>
    </row>
    <row r="103" spans="1:11" ht="15">
      <c r="K103" s="404"/>
    </row>
    <row r="104" spans="1:11">
      <c r="K104" s="453" t="s">
        <v>640</v>
      </c>
    </row>
    <row r="105" spans="1:11">
      <c r="K105" s="456" t="s">
        <v>641</v>
      </c>
    </row>
    <row r="106" spans="1:11">
      <c r="K106" s="457" t="s">
        <v>631</v>
      </c>
    </row>
    <row r="107" spans="1:11">
      <c r="K107" s="457" t="s">
        <v>642</v>
      </c>
    </row>
    <row r="108" spans="1:11">
      <c r="K108" s="457" t="s">
        <v>633</v>
      </c>
    </row>
    <row r="109" spans="1:11">
      <c r="K109" s="457" t="s">
        <v>634</v>
      </c>
    </row>
    <row r="110" spans="1:11">
      <c r="K110" s="457" t="s">
        <v>635</v>
      </c>
    </row>
    <row r="111" spans="1:11">
      <c r="K111" s="457" t="s">
        <v>643</v>
      </c>
    </row>
    <row r="112" spans="1:11">
      <c r="K112" s="456" t="s">
        <v>583</v>
      </c>
    </row>
    <row r="113" spans="11:11" ht="15">
      <c r="K113" s="404"/>
    </row>
    <row r="114" spans="11:11">
      <c r="K114" s="453" t="s">
        <v>644</v>
      </c>
    </row>
    <row r="115" spans="11:11">
      <c r="K115" s="456" t="s">
        <v>645</v>
      </c>
    </row>
    <row r="116" spans="11:11">
      <c r="K116" s="457" t="s">
        <v>631</v>
      </c>
    </row>
    <row r="117" spans="11:11">
      <c r="K117" s="457" t="s">
        <v>642</v>
      </c>
    </row>
    <row r="118" spans="11:11">
      <c r="K118" s="457" t="s">
        <v>633</v>
      </c>
    </row>
    <row r="119" spans="11:11">
      <c r="K119" s="457" t="s">
        <v>634</v>
      </c>
    </row>
    <row r="120" spans="11:11">
      <c r="K120" s="457" t="s">
        <v>635</v>
      </c>
    </row>
    <row r="121" spans="11:11">
      <c r="K121" s="457" t="s">
        <v>646</v>
      </c>
    </row>
    <row r="122" spans="11:11">
      <c r="K122" s="456" t="s">
        <v>583</v>
      </c>
    </row>
    <row r="123" spans="11:11" ht="15">
      <c r="K123" s="404"/>
    </row>
    <row r="124" spans="11:11">
      <c r="K124" s="453" t="s">
        <v>647</v>
      </c>
    </row>
    <row r="125" spans="11:11">
      <c r="K125" s="453" t="s">
        <v>648</v>
      </c>
    </row>
    <row r="126" spans="11:11">
      <c r="K126" s="455" t="s">
        <v>649</v>
      </c>
    </row>
    <row r="127" spans="11:11">
      <c r="K127" s="458" t="s">
        <v>650</v>
      </c>
    </row>
    <row r="128" spans="11:11">
      <c r="K128" s="457" t="s">
        <v>651</v>
      </c>
    </row>
    <row r="129" spans="11:11">
      <c r="K129" s="458" t="s">
        <v>595</v>
      </c>
    </row>
    <row r="130" spans="11:11">
      <c r="K130" s="455" t="s">
        <v>652</v>
      </c>
    </row>
    <row r="131" spans="11:11" ht="15">
      <c r="K131" s="404"/>
    </row>
    <row r="132" spans="11:11">
      <c r="K132" s="453" t="s">
        <v>653</v>
      </c>
    </row>
    <row r="133" spans="11:11">
      <c r="K133" s="455" t="s">
        <v>654</v>
      </c>
    </row>
    <row r="134" spans="11:11">
      <c r="K134" s="458" t="s">
        <v>655</v>
      </c>
    </row>
    <row r="135" spans="11:11">
      <c r="K135" s="457" t="s">
        <v>656</v>
      </c>
    </row>
    <row r="136" spans="11:11">
      <c r="K136" s="458" t="s">
        <v>595</v>
      </c>
    </row>
    <row r="137" spans="11:11">
      <c r="K137" s="455" t="s">
        <v>657</v>
      </c>
    </row>
    <row r="138" spans="11:11" ht="15">
      <c r="K138" s="404"/>
    </row>
    <row r="139" spans="11:11">
      <c r="K139" s="455" t="s">
        <v>658</v>
      </c>
    </row>
    <row r="140" spans="11:11">
      <c r="K140" s="458" t="s">
        <v>659</v>
      </c>
    </row>
    <row r="141" spans="11:11">
      <c r="K141" s="457" t="s">
        <v>660</v>
      </c>
    </row>
    <row r="142" spans="11:11">
      <c r="K142" s="458" t="s">
        <v>595</v>
      </c>
    </row>
    <row r="143" spans="11:11">
      <c r="K143" s="455" t="s">
        <v>661</v>
      </c>
    </row>
    <row r="144" spans="11:11" ht="15">
      <c r="K144" s="404"/>
    </row>
    <row r="145" spans="11:11">
      <c r="K145" s="453" t="s">
        <v>662</v>
      </c>
    </row>
    <row r="146" spans="11:11">
      <c r="K146" s="453" t="s">
        <v>663</v>
      </c>
    </row>
    <row r="147" spans="11:11">
      <c r="K147" s="460" t="s">
        <v>664</v>
      </c>
    </row>
    <row r="148" spans="11:11">
      <c r="K148" s="455" t="s">
        <v>665</v>
      </c>
    </row>
    <row r="149" spans="11:11">
      <c r="K149" s="453" t="s">
        <v>666</v>
      </c>
    </row>
    <row r="150" spans="11:11">
      <c r="K150" s="455" t="s">
        <v>667</v>
      </c>
    </row>
    <row r="151" spans="11:11">
      <c r="K151" s="454" t="s">
        <v>668</v>
      </c>
    </row>
    <row r="152" spans="11:11">
      <c r="K152" s="460" t="s">
        <v>669</v>
      </c>
    </row>
    <row r="153" spans="11:11">
      <c r="K153" s="460" t="s">
        <v>670</v>
      </c>
    </row>
    <row r="154" spans="11:11">
      <c r="K154" s="460" t="s">
        <v>671</v>
      </c>
    </row>
    <row r="155" spans="11:11">
      <c r="K155" s="460" t="s">
        <v>672</v>
      </c>
    </row>
    <row r="156" spans="11:11">
      <c r="K156" s="454" t="s">
        <v>673</v>
      </c>
    </row>
    <row r="157" spans="11:11">
      <c r="K157" s="455" t="s">
        <v>674</v>
      </c>
    </row>
    <row r="158" spans="11:11">
      <c r="K158" s="455" t="s">
        <v>675</v>
      </c>
    </row>
    <row r="159" spans="11:11">
      <c r="K159" s="453" t="s">
        <v>676</v>
      </c>
    </row>
    <row r="160" spans="11:11">
      <c r="K160" s="453" t="s">
        <v>677</v>
      </c>
    </row>
    <row r="161" spans="11:11">
      <c r="K161" s="455" t="s">
        <v>678</v>
      </c>
    </row>
    <row r="162" spans="11:11">
      <c r="K162" s="455" t="s">
        <v>679</v>
      </c>
    </row>
    <row r="163" spans="11:11">
      <c r="K163" s="454" t="s">
        <v>680</v>
      </c>
    </row>
    <row r="164" spans="11:11">
      <c r="K164" s="455" t="s">
        <v>681</v>
      </c>
    </row>
    <row r="165" spans="11:11">
      <c r="K165" s="455" t="s">
        <v>682</v>
      </c>
    </row>
    <row r="166" spans="11:11">
      <c r="K166" s="455" t="s">
        <v>683</v>
      </c>
    </row>
    <row r="167" spans="11:11">
      <c r="K167" s="455" t="s">
        <v>684</v>
      </c>
    </row>
    <row r="168" spans="11:11">
      <c r="K168" s="453" t="s">
        <v>685</v>
      </c>
    </row>
    <row r="169" spans="11:11">
      <c r="K169" s="460" t="s">
        <v>686</v>
      </c>
    </row>
    <row r="170" spans="11:11">
      <c r="K170" s="458" t="s">
        <v>687</v>
      </c>
    </row>
    <row r="171" spans="11:11">
      <c r="K171" s="457" t="s">
        <v>688</v>
      </c>
    </row>
    <row r="172" spans="11:11">
      <c r="K172" s="457" t="s">
        <v>689</v>
      </c>
    </row>
    <row r="173" spans="11:11">
      <c r="K173" s="457" t="s">
        <v>581</v>
      </c>
    </row>
    <row r="174" spans="11:11">
      <c r="K174" s="458" t="s">
        <v>595</v>
      </c>
    </row>
    <row r="175" spans="11:11" ht="15">
      <c r="K175" s="404"/>
    </row>
    <row r="176" spans="11:11">
      <c r="K176" s="453" t="s">
        <v>690</v>
      </c>
    </row>
    <row r="177" spans="11:11">
      <c r="K177" s="460" t="s">
        <v>691</v>
      </c>
    </row>
    <row r="178" spans="11:11">
      <c r="K178" s="453" t="s">
        <v>666</v>
      </c>
    </row>
    <row r="179" spans="11:11">
      <c r="K179" s="455" t="s">
        <v>692</v>
      </c>
    </row>
    <row r="180" spans="11:11">
      <c r="K180" s="454" t="s">
        <v>693</v>
      </c>
    </row>
    <row r="181" spans="11:11">
      <c r="K181" s="460" t="s">
        <v>694</v>
      </c>
    </row>
    <row r="182" spans="11:11">
      <c r="K182" s="460" t="s">
        <v>670</v>
      </c>
    </row>
    <row r="183" spans="11:11">
      <c r="K183" s="460" t="s">
        <v>671</v>
      </c>
    </row>
    <row r="184" spans="11:11">
      <c r="K184" s="460" t="s">
        <v>672</v>
      </c>
    </row>
    <row r="185" spans="11:11">
      <c r="K185" s="454" t="s">
        <v>673</v>
      </c>
    </row>
    <row r="186" spans="11:11">
      <c r="K186" s="455" t="s">
        <v>674</v>
      </c>
    </row>
    <row r="187" spans="11:11">
      <c r="K187" s="455" t="s">
        <v>675</v>
      </c>
    </row>
    <row r="188" spans="11:11">
      <c r="K188" s="453" t="s">
        <v>676</v>
      </c>
    </row>
    <row r="189" spans="11:11">
      <c r="K189" s="453" t="s">
        <v>695</v>
      </c>
    </row>
    <row r="190" spans="11:11">
      <c r="K190" s="455" t="s">
        <v>696</v>
      </c>
    </row>
    <row r="191" spans="11:11">
      <c r="K191" s="455" t="s">
        <v>697</v>
      </c>
    </row>
    <row r="192" spans="11:11">
      <c r="K192" s="454" t="s">
        <v>698</v>
      </c>
    </row>
    <row r="193" spans="11:11">
      <c r="K193" s="455" t="s">
        <v>681</v>
      </c>
    </row>
    <row r="194" spans="11:11">
      <c r="K194" s="455" t="s">
        <v>682</v>
      </c>
    </row>
    <row r="195" spans="11:11">
      <c r="K195" s="455" t="s">
        <v>683</v>
      </c>
    </row>
    <row r="196" spans="11:11">
      <c r="K196" s="455" t="s">
        <v>684</v>
      </c>
    </row>
    <row r="197" spans="11:11">
      <c r="K197" s="460" t="s">
        <v>699</v>
      </c>
    </row>
    <row r="198" spans="11:11">
      <c r="K198" s="458" t="s">
        <v>687</v>
      </c>
    </row>
    <row r="199" spans="11:11">
      <c r="K199" s="457" t="s">
        <v>688</v>
      </c>
    </row>
    <row r="200" spans="11:11">
      <c r="K200" s="457" t="s">
        <v>700</v>
      </c>
    </row>
    <row r="201" spans="11:11">
      <c r="K201" s="457" t="s">
        <v>581</v>
      </c>
    </row>
    <row r="202" spans="11:11">
      <c r="K202" s="458" t="s">
        <v>595</v>
      </c>
    </row>
    <row r="203" spans="11:11" ht="15">
      <c r="K203" s="404"/>
    </row>
    <row r="204" spans="11:11">
      <c r="K204" s="453" t="s">
        <v>701</v>
      </c>
    </row>
    <row r="205" spans="11:11">
      <c r="K205" s="453" t="s">
        <v>702</v>
      </c>
    </row>
    <row r="206" spans="11:11">
      <c r="K206" s="454" t="s">
        <v>703</v>
      </c>
    </row>
    <row r="207" spans="11:11">
      <c r="K207" s="454" t="s">
        <v>704</v>
      </c>
    </row>
    <row r="208" spans="11:11">
      <c r="K208" s="454" t="s">
        <v>705</v>
      </c>
    </row>
    <row r="209" spans="11:11">
      <c r="K209" s="454" t="s">
        <v>706</v>
      </c>
    </row>
    <row r="210" spans="11:11">
      <c r="K210" s="454" t="s">
        <v>707</v>
      </c>
    </row>
    <row r="211" spans="11:11">
      <c r="K211" s="453" t="s">
        <v>653</v>
      </c>
    </row>
    <row r="212" spans="11:11">
      <c r="K212" s="454" t="s">
        <v>708</v>
      </c>
    </row>
    <row r="213" spans="11:11">
      <c r="K213" s="454" t="s">
        <v>704</v>
      </c>
    </row>
    <row r="214" spans="11:11">
      <c r="K214" s="454" t="s">
        <v>709</v>
      </c>
    </row>
    <row r="215" spans="11:11">
      <c r="K215" s="454" t="s">
        <v>710</v>
      </c>
    </row>
    <row r="216" spans="11:11">
      <c r="K216" s="454" t="s">
        <v>707</v>
      </c>
    </row>
    <row r="217" spans="11:11">
      <c r="K217" s="454" t="s">
        <v>711</v>
      </c>
    </row>
    <row r="218" spans="11:11">
      <c r="K218" s="454" t="s">
        <v>704</v>
      </c>
    </row>
    <row r="219" spans="11:11">
      <c r="K219" s="454" t="s">
        <v>712</v>
      </c>
    </row>
    <row r="220" spans="11:11">
      <c r="K220" s="454" t="s">
        <v>713</v>
      </c>
    </row>
    <row r="221" spans="11:11">
      <c r="K221" s="454" t="s">
        <v>714</v>
      </c>
    </row>
    <row r="222" spans="11:11" ht="15">
      <c r="K222" s="404"/>
    </row>
    <row r="223" spans="11:11">
      <c r="K223" s="455" t="s">
        <v>715</v>
      </c>
    </row>
  </sheetData>
  <mergeCells count="14">
    <mergeCell ref="A87:F88"/>
    <mergeCell ref="B18:C18"/>
    <mergeCell ref="A14:C14"/>
    <mergeCell ref="B12:C12"/>
    <mergeCell ref="B13:C13"/>
    <mergeCell ref="B15:C15"/>
    <mergeCell ref="B16:C16"/>
    <mergeCell ref="B17:C17"/>
    <mergeCell ref="B11:C11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2B7E-CE19-45CA-96A2-3CDDC5DD1E33}">
  <dimension ref="A1:Z144"/>
  <sheetViews>
    <sheetView topLeftCell="A34" zoomScale="85" zoomScaleNormal="85" workbookViewId="0">
      <selection activeCell="J22" sqref="J22"/>
    </sheetView>
  </sheetViews>
  <sheetFormatPr defaultRowHeight="12"/>
  <cols>
    <col min="1" max="1" width="17.5703125" style="218" customWidth="1"/>
    <col min="2" max="2" width="13.7109375" style="218" customWidth="1"/>
    <col min="3" max="3" width="11.85546875" style="218" customWidth="1"/>
    <col min="4" max="4" width="9.140625" style="218"/>
    <col min="5" max="5" width="11.28515625" style="218" customWidth="1"/>
    <col min="6" max="6" width="12" style="218" customWidth="1"/>
    <col min="7" max="7" width="8.85546875" style="218" customWidth="1"/>
    <col min="8" max="8" width="11.5703125" style="218" customWidth="1"/>
    <col min="9" max="9" width="9.140625" style="218"/>
    <col min="10" max="10" width="10.7109375" style="218" bestFit="1" customWidth="1"/>
    <col min="11" max="11" width="12.28515625" style="218" customWidth="1"/>
    <col min="12" max="12" width="13.28515625" style="218" customWidth="1"/>
    <col min="13" max="13" width="11.42578125" style="218" bestFit="1" customWidth="1"/>
    <col min="14" max="14" width="10.5703125" style="218" bestFit="1" customWidth="1"/>
    <col min="15" max="15" width="10.42578125" style="218" customWidth="1"/>
    <col min="16" max="17" width="9.42578125" style="218" bestFit="1" customWidth="1"/>
    <col min="18" max="21" width="9.140625" style="218"/>
    <col min="22" max="22" width="10.140625" style="218" bestFit="1" customWidth="1"/>
    <col min="23" max="16384" width="9.140625" style="218"/>
  </cols>
  <sheetData>
    <row r="1" spans="1:19" ht="15">
      <c r="A1" s="345" t="s">
        <v>552</v>
      </c>
      <c r="M1" s="218" t="s">
        <v>449</v>
      </c>
      <c r="O1" s="218" t="s">
        <v>463</v>
      </c>
      <c r="Q1" s="337" t="s">
        <v>450</v>
      </c>
      <c r="R1" s="337"/>
      <c r="S1" s="337"/>
    </row>
    <row r="2" spans="1:19" ht="12.75" thickBot="1">
      <c r="Q2" s="337"/>
      <c r="R2" s="337"/>
      <c r="S2" s="337"/>
    </row>
    <row r="3" spans="1:19" ht="14.25" thickBot="1">
      <c r="A3" s="312" t="s">
        <v>487</v>
      </c>
      <c r="C3" s="312"/>
      <c r="D3" s="312"/>
      <c r="E3" s="312"/>
      <c r="F3" s="564" t="s">
        <v>481</v>
      </c>
      <c r="G3" s="396">
        <f>SLOPE(H30:H47,B30:B47)</f>
        <v>8.9212626709769635E-2</v>
      </c>
      <c r="H3" s="397" t="s">
        <v>479</v>
      </c>
      <c r="I3" s="398" t="s">
        <v>224</v>
      </c>
      <c r="J3" s="398"/>
      <c r="L3" s="218" t="s">
        <v>451</v>
      </c>
      <c r="M3" s="383">
        <v>0.3</v>
      </c>
      <c r="N3" s="384">
        <f>M3^2</f>
        <v>0.09</v>
      </c>
      <c r="O3" s="218" t="s">
        <v>19</v>
      </c>
      <c r="P3" s="337" t="s">
        <v>452</v>
      </c>
      <c r="Q3" s="386">
        <f>-1500*(EXP(LN(0.000013)+(1500*((1/N10)-(1/298.15))))/(N10^2))</f>
        <v>-1.6686043881412659E-7</v>
      </c>
      <c r="R3" s="337"/>
      <c r="S3" s="337"/>
    </row>
    <row r="4" spans="1:19" ht="14.25" thickBot="1">
      <c r="A4" s="312"/>
      <c r="B4" s="312"/>
      <c r="C4" s="312">
        <f>1.3/100000</f>
        <v>1.3000000000000001E-5</v>
      </c>
      <c r="D4" s="312"/>
      <c r="E4" s="312"/>
      <c r="F4" s="564"/>
      <c r="G4" s="396">
        <f>G3*60</f>
        <v>5.3527576025861778</v>
      </c>
      <c r="H4" s="397" t="s">
        <v>480</v>
      </c>
      <c r="I4" s="399">
        <f>(AVERAGE(M31:M47)*3600)</f>
        <v>0.19299771475146377</v>
      </c>
      <c r="J4" s="397" t="s">
        <v>480</v>
      </c>
      <c r="L4" s="218" t="s">
        <v>453</v>
      </c>
      <c r="M4" s="376">
        <f>SQRT((Q3^2)*(M3^2))</f>
        <v>5.0058131644237976E-8</v>
      </c>
      <c r="N4" s="385">
        <f>M4^2</f>
        <v>2.5058165437118596E-15</v>
      </c>
      <c r="O4" s="218" t="s">
        <v>485</v>
      </c>
      <c r="P4" s="337" t="s">
        <v>454</v>
      </c>
      <c r="Q4" s="337">
        <f>0.21*101325</f>
        <v>21278.25</v>
      </c>
      <c r="R4" s="337"/>
      <c r="S4" s="337"/>
    </row>
    <row r="5" spans="1:19" ht="15.75" thickBot="1">
      <c r="A5" s="312"/>
      <c r="B5" s="377"/>
      <c r="C5" s="312">
        <f>1500</f>
        <v>1500</v>
      </c>
      <c r="D5" s="312"/>
      <c r="E5" s="312"/>
      <c r="F5" s="397" t="s">
        <v>482</v>
      </c>
      <c r="G5" s="396">
        <f>G22*60</f>
        <v>4.7457599999999998</v>
      </c>
      <c r="H5" s="397" t="s">
        <v>480</v>
      </c>
      <c r="L5" s="218" t="s">
        <v>455</v>
      </c>
      <c r="M5" s="218">
        <f>0.01*C16</f>
        <v>2.2768876447773604E-3</v>
      </c>
      <c r="N5" s="385">
        <f>M5^2</f>
        <v>5.1842173469397952E-6</v>
      </c>
      <c r="O5" s="218" t="s">
        <v>437</v>
      </c>
      <c r="P5" s="337"/>
      <c r="Q5" s="337"/>
      <c r="R5" s="337"/>
      <c r="S5" s="337"/>
    </row>
    <row r="6" spans="1:19">
      <c r="A6" s="312"/>
      <c r="B6" s="312"/>
      <c r="C6" s="312"/>
      <c r="D6" s="312"/>
      <c r="E6" s="312"/>
      <c r="F6" s="312"/>
      <c r="L6" s="218" t="s">
        <v>456</v>
      </c>
      <c r="M6" s="383">
        <v>1E-3</v>
      </c>
      <c r="N6" s="385">
        <f t="shared" ref="N6:N8" si="0">M6^2</f>
        <v>9.9999999999999995E-7</v>
      </c>
      <c r="O6" s="218" t="s">
        <v>457</v>
      </c>
      <c r="P6" s="337"/>
      <c r="Q6" s="337"/>
      <c r="R6" s="337"/>
      <c r="S6" s="337"/>
    </row>
    <row r="7" spans="1:19" ht="13.5">
      <c r="A7" s="312"/>
      <c r="B7" s="312"/>
      <c r="C7" s="312"/>
      <c r="D7" s="312"/>
      <c r="E7" s="312"/>
      <c r="F7" s="312"/>
      <c r="G7" s="218" t="s">
        <v>462</v>
      </c>
      <c r="H7" s="312"/>
      <c r="L7" s="218" t="s">
        <v>458</v>
      </c>
      <c r="M7" s="383">
        <f>SQRT((Q4^2)*(Q3^2))</f>
        <v>3.5504981321966894E-3</v>
      </c>
      <c r="N7" s="385">
        <f t="shared" si="0"/>
        <v>1.260603698673218E-5</v>
      </c>
      <c r="O7" s="218" t="s">
        <v>437</v>
      </c>
      <c r="P7" s="380"/>
      <c r="Q7" s="337"/>
      <c r="R7" s="337"/>
      <c r="S7" s="337"/>
    </row>
    <row r="8" spans="1:19" ht="13.5">
      <c r="A8" s="312"/>
      <c r="B8" s="312"/>
      <c r="C8" s="312"/>
      <c r="D8" s="312"/>
      <c r="E8" s="312"/>
      <c r="F8" s="312"/>
      <c r="L8" s="218" t="s">
        <v>459</v>
      </c>
      <c r="M8" s="218">
        <f>0.01*N12</f>
        <v>0</v>
      </c>
      <c r="N8" s="385">
        <f t="shared" si="0"/>
        <v>0</v>
      </c>
      <c r="O8" s="218" t="s">
        <v>437</v>
      </c>
      <c r="P8" s="381"/>
      <c r="Q8" s="337"/>
      <c r="R8" s="337"/>
      <c r="S8" s="337"/>
    </row>
    <row r="9" spans="1:19">
      <c r="A9" s="312"/>
      <c r="B9" s="312"/>
      <c r="C9" s="312"/>
      <c r="D9" s="312"/>
      <c r="E9" s="312"/>
      <c r="F9" s="312"/>
      <c r="M9" s="337" t="s">
        <v>460</v>
      </c>
      <c r="N9" s="337"/>
      <c r="O9" s="337"/>
      <c r="P9" s="337"/>
      <c r="Q9" s="337"/>
      <c r="R9" s="337"/>
      <c r="S9" s="337"/>
    </row>
    <row r="10" spans="1:19">
      <c r="A10" s="312"/>
      <c r="B10" s="312"/>
      <c r="C10" s="312">
        <f>(LN(C4)+C5*(1/310.15-1/298.15))</f>
        <v>-11.445216353893837</v>
      </c>
      <c r="D10" s="312"/>
      <c r="E10" s="312"/>
      <c r="F10" s="312"/>
      <c r="M10" s="337" t="s">
        <v>367</v>
      </c>
      <c r="N10" s="337">
        <f>273.15+37</f>
        <v>310.14999999999998</v>
      </c>
      <c r="O10" s="337"/>
      <c r="P10" s="337" t="s">
        <v>19</v>
      </c>
      <c r="Q10" s="337"/>
      <c r="R10" s="337"/>
      <c r="S10" s="337"/>
    </row>
    <row r="11" spans="1:19" ht="13.5">
      <c r="A11" s="312"/>
      <c r="B11" s="312"/>
      <c r="C11" s="385">
        <f>EXP(C10)</f>
        <v>1.0700539963471434E-5</v>
      </c>
      <c r="D11" s="312"/>
      <c r="E11" s="312"/>
      <c r="F11" s="312"/>
      <c r="G11" s="379" t="s">
        <v>464</v>
      </c>
      <c r="M11" s="337" t="s">
        <v>461</v>
      </c>
      <c r="N11" s="382">
        <f>C16</f>
        <v>0.22768876447773603</v>
      </c>
      <c r="O11" s="337"/>
      <c r="P11" s="218" t="s">
        <v>437</v>
      </c>
      <c r="Q11" s="337"/>
      <c r="R11" s="337"/>
      <c r="S11" s="337"/>
    </row>
    <row r="12" spans="1:19" ht="13.5">
      <c r="A12" s="312"/>
      <c r="B12" s="312"/>
      <c r="C12" s="312"/>
      <c r="D12" s="312"/>
      <c r="E12" s="312"/>
      <c r="F12" s="312"/>
      <c r="M12" s="337" t="s">
        <v>335</v>
      </c>
      <c r="N12" s="337">
        <v>0</v>
      </c>
      <c r="O12" s="337"/>
      <c r="P12" s="218" t="s">
        <v>437</v>
      </c>
      <c r="Q12" s="337"/>
      <c r="R12" s="337"/>
      <c r="S12" s="337"/>
    </row>
    <row r="13" spans="1:19">
      <c r="A13" s="312" t="s">
        <v>488</v>
      </c>
      <c r="B13" s="312"/>
      <c r="C13" s="312"/>
      <c r="D13" s="312"/>
      <c r="E13" s="312"/>
      <c r="F13" s="312"/>
      <c r="Q13" s="337"/>
      <c r="R13" s="337"/>
      <c r="S13" s="337"/>
    </row>
    <row r="14" spans="1:19">
      <c r="A14" s="312"/>
      <c r="B14" s="312"/>
      <c r="C14" s="312"/>
      <c r="D14" s="312"/>
      <c r="E14" s="312"/>
      <c r="F14" s="312"/>
      <c r="Q14" s="337"/>
      <c r="R14" s="337"/>
      <c r="S14" s="337"/>
    </row>
    <row r="15" spans="1:19">
      <c r="A15" s="312"/>
      <c r="B15" s="312"/>
      <c r="C15" s="312"/>
      <c r="D15" s="312"/>
      <c r="E15" s="312"/>
      <c r="F15" s="312"/>
      <c r="Q15" s="337"/>
      <c r="R15" s="337"/>
      <c r="S15" s="337"/>
    </row>
    <row r="16" spans="1:19">
      <c r="A16" s="312"/>
      <c r="B16" s="312"/>
      <c r="C16" s="395">
        <f>C11*0.21*101325</f>
        <v>0.22768876447773603</v>
      </c>
      <c r="D16" s="312"/>
      <c r="E16" s="385">
        <f>C16/1000</f>
        <v>2.2768876447773603E-4</v>
      </c>
      <c r="F16" s="312"/>
      <c r="Q16" s="337"/>
      <c r="R16" s="337"/>
      <c r="S16" s="337"/>
    </row>
    <row r="17" spans="1:26">
      <c r="A17" s="312"/>
      <c r="B17" s="312"/>
      <c r="C17" s="312"/>
      <c r="D17" s="312"/>
      <c r="E17" s="395">
        <f>E16*32*1000</f>
        <v>7.2860404632875531</v>
      </c>
      <c r="F17" s="312"/>
      <c r="Q17" s="337"/>
      <c r="R17" s="337"/>
      <c r="S17" s="337"/>
    </row>
    <row r="18" spans="1:26">
      <c r="A18" s="312"/>
      <c r="B18" s="312"/>
      <c r="C18" s="312"/>
      <c r="D18" s="312"/>
      <c r="E18" s="312"/>
      <c r="F18" s="312"/>
      <c r="Q18" s="337"/>
      <c r="R18" s="337"/>
      <c r="S18" s="337"/>
    </row>
    <row r="19" spans="1:26" ht="15">
      <c r="A19" s="406" t="s">
        <v>34</v>
      </c>
      <c r="F19" s="218" t="s">
        <v>431</v>
      </c>
      <c r="J19" s="312"/>
      <c r="K19" s="312"/>
      <c r="L19" s="312"/>
      <c r="T19" s="337"/>
      <c r="U19" s="337"/>
      <c r="V19" s="337"/>
      <c r="W19"/>
    </row>
    <row r="20" spans="1:26" ht="15">
      <c r="A20" s="450" t="s">
        <v>435</v>
      </c>
      <c r="B20" s="228">
        <v>0.2</v>
      </c>
      <c r="F20" s="218" t="s">
        <v>432</v>
      </c>
      <c r="G20" s="218">
        <v>3.2000000000000002E-3</v>
      </c>
      <c r="H20" s="218" t="s">
        <v>1</v>
      </c>
      <c r="T20" s="337"/>
      <c r="U20" s="337"/>
      <c r="V20" s="337"/>
      <c r="W20"/>
    </row>
    <row r="21" spans="1:26" ht="15">
      <c r="A21" s="451" t="s">
        <v>436</v>
      </c>
      <c r="B21" s="228">
        <v>100</v>
      </c>
      <c r="F21" s="218" t="s">
        <v>433</v>
      </c>
      <c r="G21" s="376">
        <f>PI()*(G20^2)/4</f>
        <v>8.0424771931898703E-6</v>
      </c>
      <c r="H21" s="218" t="s">
        <v>434</v>
      </c>
      <c r="S21" s="337"/>
      <c r="T21" s="337"/>
      <c r="U21" s="337"/>
      <c r="V21" s="337"/>
      <c r="W21"/>
    </row>
    <row r="22" spans="1:26" ht="15">
      <c r="A22" s="218" t="s">
        <v>489</v>
      </c>
      <c r="B22" s="273">
        <f>C16</f>
        <v>0.22768876447773603</v>
      </c>
      <c r="E22" s="273"/>
      <c r="F22" s="218" t="s">
        <v>467</v>
      </c>
      <c r="G22" s="383">
        <f>0.079096</f>
        <v>7.9096E-2</v>
      </c>
      <c r="J22" s="312"/>
      <c r="S22" s="337"/>
      <c r="W22"/>
    </row>
    <row r="23" spans="1:26" ht="13.5" customHeight="1">
      <c r="A23" s="506" t="s">
        <v>438</v>
      </c>
      <c r="B23" s="218" t="s">
        <v>439</v>
      </c>
      <c r="C23" s="273">
        <v>0.50266699999999997</v>
      </c>
      <c r="D23" s="273"/>
      <c r="F23" s="218" t="s">
        <v>468</v>
      </c>
      <c r="G23" s="273">
        <v>0.78</v>
      </c>
      <c r="S23" s="337"/>
      <c r="W23"/>
    </row>
    <row r="24" spans="1:26" ht="15">
      <c r="A24" s="506"/>
      <c r="B24" s="218" t="s">
        <v>440</v>
      </c>
      <c r="C24" s="273">
        <v>0.51453899999999997</v>
      </c>
      <c r="F24" s="218" t="s">
        <v>224</v>
      </c>
      <c r="G24" s="273">
        <f>(AVERAGE(M31:M47)*3600)</f>
        <v>0.19299771475146377</v>
      </c>
      <c r="S24" s="337"/>
      <c r="W24"/>
    </row>
    <row r="25" spans="1:26" ht="15.75" thickBot="1">
      <c r="A25" s="218" t="s">
        <v>278</v>
      </c>
      <c r="C25" s="273">
        <f>AVERAGE(C23:C24)</f>
        <v>0.50860299999999992</v>
      </c>
      <c r="G25" s="376"/>
      <c r="S25" s="337"/>
      <c r="T25" s="337"/>
      <c r="U25" s="337"/>
      <c r="V25" s="337"/>
      <c r="W25"/>
    </row>
    <row r="26" spans="1:26" ht="15" customHeight="1" thickBot="1">
      <c r="B26" s="578" t="s">
        <v>483</v>
      </c>
      <c r="C26" s="580">
        <f>(B20/(60*1000))/G21</f>
        <v>0.41446599763514413</v>
      </c>
      <c r="D26" s="574" t="s">
        <v>422</v>
      </c>
      <c r="E26" s="576"/>
      <c r="F26" s="576"/>
      <c r="G26" s="576"/>
      <c r="H26" s="413" t="s">
        <v>442</v>
      </c>
      <c r="S26" s="337"/>
      <c r="T26" s="337"/>
      <c r="U26" s="337"/>
      <c r="V26" s="337"/>
      <c r="W26"/>
    </row>
    <row r="27" spans="1:26" ht="15.75" thickBot="1">
      <c r="B27" s="579"/>
      <c r="C27" s="581"/>
      <c r="D27" s="582"/>
      <c r="E27" s="577"/>
      <c r="F27" s="577"/>
      <c r="G27" s="577"/>
      <c r="H27" s="414">
        <f>G30</f>
        <v>0.22768876447773603</v>
      </c>
      <c r="S27" s="337"/>
      <c r="T27" s="337"/>
      <c r="U27" s="337"/>
      <c r="V27" s="337"/>
      <c r="W27"/>
    </row>
    <row r="28" spans="1:26" ht="15.75" thickBot="1">
      <c r="B28" s="410" t="s">
        <v>398</v>
      </c>
      <c r="C28" s="411">
        <f>B21/60</f>
        <v>1.6666666666666667</v>
      </c>
      <c r="D28" s="410" t="s">
        <v>423</v>
      </c>
      <c r="E28" s="574" t="s">
        <v>427</v>
      </c>
      <c r="F28" s="574" t="s">
        <v>448</v>
      </c>
      <c r="G28" s="574" t="s">
        <v>441</v>
      </c>
      <c r="H28" s="574" t="s">
        <v>484</v>
      </c>
      <c r="I28" s="407" t="s">
        <v>443</v>
      </c>
      <c r="J28" s="407" t="s">
        <v>444</v>
      </c>
      <c r="K28" s="407" t="s">
        <v>445</v>
      </c>
      <c r="L28" s="407" t="s">
        <v>446</v>
      </c>
      <c r="M28" s="407" t="s">
        <v>447</v>
      </c>
      <c r="N28" s="563" t="s">
        <v>465</v>
      </c>
      <c r="O28" s="563" t="s">
        <v>466</v>
      </c>
      <c r="S28" s="337"/>
      <c r="T28" s="337"/>
      <c r="U28" s="337"/>
      <c r="V28" s="337"/>
      <c r="W28"/>
    </row>
    <row r="29" spans="1:26" ht="15.75" thickBot="1">
      <c r="B29" s="408" t="s">
        <v>424</v>
      </c>
      <c r="C29" s="412" t="s">
        <v>425</v>
      </c>
      <c r="D29" s="412" t="s">
        <v>426</v>
      </c>
      <c r="E29" s="575"/>
      <c r="F29" s="575"/>
      <c r="G29" s="575"/>
      <c r="H29" s="575"/>
      <c r="I29" s="409"/>
      <c r="J29" s="409"/>
      <c r="K29" s="409"/>
      <c r="L29" s="409"/>
      <c r="M29" s="409"/>
      <c r="N29" s="563"/>
      <c r="O29" s="563"/>
      <c r="P29" s="337"/>
      <c r="Q29" s="337"/>
      <c r="R29" s="312"/>
      <c r="S29" s="312"/>
      <c r="T29" s="400" t="s">
        <v>477</v>
      </c>
      <c r="U29" s="312"/>
      <c r="V29" s="312"/>
      <c r="W29"/>
    </row>
    <row r="30" spans="1:26" ht="15.75" thickBot="1">
      <c r="A30" s="218">
        <v>0</v>
      </c>
      <c r="B30" s="333">
        <f>A30*2*$C$25</f>
        <v>0</v>
      </c>
      <c r="C30" s="290">
        <v>0</v>
      </c>
      <c r="D30" s="290">
        <v>0</v>
      </c>
      <c r="E30" s="290">
        <f>AVERAGE(C30:D30)</f>
        <v>0</v>
      </c>
      <c r="F30" s="333">
        <f>(E30/100)*$C$16</f>
        <v>0</v>
      </c>
      <c r="G30" s="333">
        <f>$C$16-F30</f>
        <v>0.22768876447773603</v>
      </c>
      <c r="H30" s="333">
        <f>LN($H$27/G30)</f>
        <v>0</v>
      </c>
      <c r="I30" s="218" t="e">
        <f>(1/(B30*60))*(1/($C$16-F30))</f>
        <v>#DIV/0!</v>
      </c>
      <c r="J30" s="218" t="e">
        <f>(1/(B30*60))*((F30-$F$30)/(($F$30-$C$16)*($C$16-F30)))</f>
        <v>#DIV/0!</v>
      </c>
      <c r="K30" s="218" t="e">
        <f>-LN(($C$16-$F$30)/($C$16-F30))/((B30*60)^2)</f>
        <v>#DIV/0!</v>
      </c>
      <c r="L30" s="218" t="e">
        <f>(1/(B30*60))*(1/($F$30-$C$16))</f>
        <v>#DIV/0!</v>
      </c>
      <c r="M30" s="218" t="e">
        <f>SQRT((I30^2)*($M$5^2)+(J30^2)*($M$7^2)+(L30^2)*($M$8^2)+(K30^2)*($M$6^2))</f>
        <v>#DIV/0!</v>
      </c>
      <c r="N30" s="351">
        <f>$C$16+(($C$16-$F$30)/(1-($G$22*$G$23)))*($G$22*$G$23*EXP(-(B30-$B$30)/$G$23)-EXP(-$G$22*(B30-$B$30)))</f>
        <v>0</v>
      </c>
      <c r="O30" s="148">
        <f>(F30-N30)^2</f>
        <v>0</v>
      </c>
      <c r="Q30" s="565" t="s">
        <v>234</v>
      </c>
      <c r="R30" s="566"/>
      <c r="S30" s="565" t="s">
        <v>473</v>
      </c>
      <c r="T30" s="567"/>
      <c r="U30" s="567"/>
      <c r="V30" s="566"/>
      <c r="W30" s="565" t="s">
        <v>474</v>
      </c>
      <c r="X30" s="567"/>
      <c r="Y30" s="567"/>
      <c r="Z30" s="566"/>
    </row>
    <row r="31" spans="1:26" ht="15.75" thickBot="1">
      <c r="A31" s="218">
        <v>1</v>
      </c>
      <c r="B31" s="333">
        <f>A31*2*$C$25</f>
        <v>1.0172059999999998</v>
      </c>
      <c r="C31" s="290">
        <v>0.2</v>
      </c>
      <c r="D31" s="290">
        <v>0.4</v>
      </c>
      <c r="E31" s="290">
        <f>AVERAGE(C31:D31)</f>
        <v>0.30000000000000004</v>
      </c>
      <c r="F31" s="333">
        <f t="shared" ref="F31:F55" si="1">(E31/100)*$C$16</f>
        <v>6.8306629343320826E-4</v>
      </c>
      <c r="G31" s="333">
        <f t="shared" ref="G31:G55" si="2">$C$16-F31</f>
        <v>0.22700569818430283</v>
      </c>
      <c r="H31" s="333">
        <f>LN($H$27/G31)</f>
        <v>3.0045090202987222E-3</v>
      </c>
      <c r="I31" s="250">
        <f t="shared" ref="I31:I55" si="3">(1/(B31*60))*(1/($C$16-F31))</f>
        <v>7.2177706454448778E-2</v>
      </c>
      <c r="J31" s="218">
        <f t="shared" ref="J31:J55" si="4">(1/(B31*60))*((F31-$F$30)/(($F$30-$C$16)*($C$16-F31)))</f>
        <v>-2.1653311936334636E-4</v>
      </c>
      <c r="K31" s="218">
        <f t="shared" ref="K31:K55" si="5">-LN(($C$16-$F$30)/($C$16-F31))/((B31*60)^2)</f>
        <v>-8.0659065312824874E-7</v>
      </c>
      <c r="L31" s="218">
        <f t="shared" ref="L31:L55" si="6">(1/(B31*60))*(1/($F$30-$C$16))</f>
        <v>-7.1961173335085435E-2</v>
      </c>
      <c r="M31" s="218">
        <f t="shared" ref="M31:M55" si="7">SQRT((I31^2)*($M$5^2)+(J31^2)*($M$7^2)+(L31^2)*($M$8^2)+(K31^2)*($M$6^2))</f>
        <v>1.6434232630698999E-4</v>
      </c>
      <c r="N31" s="351">
        <f t="shared" ref="N31:N55" si="8">$C$16+(($C$16-$F$30)/(1-($G$22*$G$23)))*($G$22*$G$23*EXP(-(B31-$B$30)/$G$23)-EXP(-$G$22*(B31-$B$30)))</f>
        <v>7.8513301435853833E-3</v>
      </c>
      <c r="O31" s="148">
        <f t="shared" ref="O31:O55" si="9">(F31-N31)^2</f>
        <v>5.1384006625398487E-5</v>
      </c>
      <c r="Q31" s="565" t="s">
        <v>475</v>
      </c>
      <c r="R31" s="566"/>
      <c r="S31" s="387">
        <v>0.2</v>
      </c>
      <c r="T31" s="387">
        <v>0.3</v>
      </c>
      <c r="U31" s="387">
        <v>0.4</v>
      </c>
      <c r="V31" s="387">
        <v>0.5</v>
      </c>
      <c r="W31" s="387">
        <v>0.2</v>
      </c>
      <c r="X31" s="387">
        <v>0.3</v>
      </c>
      <c r="Y31" s="387">
        <v>0.4</v>
      </c>
      <c r="Z31" s="387">
        <v>0.5</v>
      </c>
    </row>
    <row r="32" spans="1:26" ht="15.75" thickBot="1">
      <c r="A32" s="218">
        <v>2</v>
      </c>
      <c r="B32" s="333">
        <f t="shared" ref="B32:B55" si="10">A32*2*$C$25</f>
        <v>2.0344119999999997</v>
      </c>
      <c r="C32" s="290">
        <v>0.9</v>
      </c>
      <c r="D32" s="290">
        <v>2.2999999999999998</v>
      </c>
      <c r="E32" s="290">
        <f>AVERAGE(C32:D32)</f>
        <v>1.5999999999999999</v>
      </c>
      <c r="F32" s="333">
        <f t="shared" si="1"/>
        <v>3.6430202316437765E-3</v>
      </c>
      <c r="G32" s="333">
        <f t="shared" si="2"/>
        <v>0.22404574424609225</v>
      </c>
      <c r="H32" s="333">
        <f t="shared" ref="H32:H54" si="11">LN($H$27/G32)</f>
        <v>1.6129381929883717E-2</v>
      </c>
      <c r="I32" s="250">
        <f t="shared" si="3"/>
        <v>3.656563685725886E-2</v>
      </c>
      <c r="J32" s="218">
        <f t="shared" si="4"/>
        <v>-5.8505018971614171E-4</v>
      </c>
      <c r="K32" s="218">
        <f t="shared" si="5"/>
        <v>-1.0825236850251148E-6</v>
      </c>
      <c r="L32" s="218">
        <f t="shared" si="6"/>
        <v>-3.5980586667542717E-2</v>
      </c>
      <c r="M32" s="218">
        <f t="shared" si="7"/>
        <v>8.3281755902088296E-5</v>
      </c>
      <c r="N32" s="351">
        <f t="shared" si="8"/>
        <v>2.219959243796632E-2</v>
      </c>
      <c r="O32" s="148">
        <f t="shared" si="9"/>
        <v>3.4434637204846228E-4</v>
      </c>
      <c r="Q32" s="568" t="s">
        <v>476</v>
      </c>
      <c r="R32" s="387">
        <v>100</v>
      </c>
      <c r="S32" s="388" t="s">
        <v>288</v>
      </c>
      <c r="T32" s="387" t="s">
        <v>241</v>
      </c>
      <c r="U32" s="387" t="s">
        <v>241</v>
      </c>
      <c r="V32" s="387" t="s">
        <v>241</v>
      </c>
      <c r="W32" s="387" t="s">
        <v>241</v>
      </c>
      <c r="X32" s="387" t="s">
        <v>241</v>
      </c>
      <c r="Y32" s="387" t="s">
        <v>241</v>
      </c>
      <c r="Z32" s="387" t="s">
        <v>241</v>
      </c>
    </row>
    <row r="33" spans="1:26" ht="15.75" thickBot="1">
      <c r="A33" s="218">
        <v>3</v>
      </c>
      <c r="B33" s="333">
        <f t="shared" si="10"/>
        <v>3.0516179999999995</v>
      </c>
      <c r="C33" s="378">
        <v>3</v>
      </c>
      <c r="D33" s="378">
        <v>5.9</v>
      </c>
      <c r="E33" s="290">
        <f t="shared" ref="E33:E55" si="12">AVERAGE(C33:D33)</f>
        <v>4.45</v>
      </c>
      <c r="F33" s="333">
        <f t="shared" si="1"/>
        <v>1.0132150019259255E-2</v>
      </c>
      <c r="G33" s="333">
        <f t="shared" si="2"/>
        <v>0.21755661445847677</v>
      </c>
      <c r="H33" s="333">
        <f t="shared" si="11"/>
        <v>4.5520515301809436E-2</v>
      </c>
      <c r="I33" s="250">
        <f t="shared" si="3"/>
        <v>2.5104194430519949E-2</v>
      </c>
      <c r="J33" s="218">
        <f t="shared" si="4"/>
        <v>-1.1171366521581379E-3</v>
      </c>
      <c r="K33" s="218">
        <f t="shared" si="5"/>
        <v>-1.3578266650395416E-6</v>
      </c>
      <c r="L33" s="218">
        <f t="shared" si="6"/>
        <v>-2.3987057778361812E-2</v>
      </c>
      <c r="M33" s="218">
        <f t="shared" si="7"/>
        <v>5.7296882262801819E-5</v>
      </c>
      <c r="N33" s="351">
        <f t="shared" si="8"/>
        <v>3.7366749687047313E-2</v>
      </c>
      <c r="O33" s="148">
        <f t="shared" si="9"/>
        <v>7.4172341906468152E-4</v>
      </c>
      <c r="Q33" s="569"/>
      <c r="R33" s="387">
        <v>200</v>
      </c>
      <c r="S33" s="387" t="s">
        <v>241</v>
      </c>
      <c r="T33" s="387" t="s">
        <v>241</v>
      </c>
      <c r="U33" s="387" t="s">
        <v>241</v>
      </c>
      <c r="V33" s="387" t="s">
        <v>241</v>
      </c>
      <c r="W33" s="387" t="s">
        <v>241</v>
      </c>
      <c r="X33" s="387" t="s">
        <v>241</v>
      </c>
      <c r="Y33" s="387" t="s">
        <v>241</v>
      </c>
      <c r="Z33" s="387" t="s">
        <v>241</v>
      </c>
    </row>
    <row r="34" spans="1:26" ht="15.75" thickBot="1">
      <c r="A34" s="218">
        <v>4</v>
      </c>
      <c r="B34" s="333">
        <f t="shared" si="10"/>
        <v>4.0688239999999993</v>
      </c>
      <c r="C34" s="378">
        <v>7.1</v>
      </c>
      <c r="D34" s="378">
        <v>10.4</v>
      </c>
      <c r="E34" s="290">
        <f t="shared" si="12"/>
        <v>8.75</v>
      </c>
      <c r="F34" s="333">
        <f t="shared" si="1"/>
        <v>1.9922766891801901E-2</v>
      </c>
      <c r="G34" s="333">
        <f t="shared" si="2"/>
        <v>0.20776599758593414</v>
      </c>
      <c r="H34" s="333">
        <f t="shared" si="11"/>
        <v>9.1567193525490434E-2</v>
      </c>
      <c r="I34" s="250">
        <f t="shared" si="3"/>
        <v>1.9715389954817926E-2</v>
      </c>
      <c r="J34" s="218">
        <f t="shared" si="4"/>
        <v>-1.7250966210465685E-3</v>
      </c>
      <c r="K34" s="218">
        <f t="shared" si="5"/>
        <v>-1.5363833560629244E-6</v>
      </c>
      <c r="L34" s="218">
        <f t="shared" si="6"/>
        <v>-1.7990293333771359E-2</v>
      </c>
      <c r="M34" s="218">
        <f t="shared" si="7"/>
        <v>4.530565864638203E-5</v>
      </c>
      <c r="N34" s="351">
        <f t="shared" si="8"/>
        <v>5.1884715611317328E-2</v>
      </c>
      <c r="O34" s="148">
        <f t="shared" si="9"/>
        <v>1.0215661659489336E-3</v>
      </c>
      <c r="Q34" s="569"/>
      <c r="R34" s="387">
        <v>300</v>
      </c>
      <c r="S34" s="387" t="s">
        <v>241</v>
      </c>
      <c r="T34" s="387" t="s">
        <v>241</v>
      </c>
      <c r="U34" s="387" t="s">
        <v>241</v>
      </c>
      <c r="V34" s="387" t="s">
        <v>241</v>
      </c>
      <c r="W34" s="387" t="s">
        <v>241</v>
      </c>
      <c r="X34" s="387" t="s">
        <v>241</v>
      </c>
      <c r="Y34" s="387" t="s">
        <v>241</v>
      </c>
      <c r="Z34" s="387" t="s">
        <v>241</v>
      </c>
    </row>
    <row r="35" spans="1:26" ht="15.75" thickBot="1">
      <c r="A35" s="218">
        <v>5</v>
      </c>
      <c r="B35" s="333">
        <f t="shared" si="10"/>
        <v>5.0860299999999992</v>
      </c>
      <c r="C35" s="378">
        <v>11.6</v>
      </c>
      <c r="D35" s="378">
        <v>15.6</v>
      </c>
      <c r="E35" s="290">
        <f t="shared" si="12"/>
        <v>13.6</v>
      </c>
      <c r="F35" s="333">
        <f t="shared" si="1"/>
        <v>3.0965671968972104E-2</v>
      </c>
      <c r="G35" s="333">
        <f t="shared" si="2"/>
        <v>0.19672309250876394</v>
      </c>
      <c r="H35" s="333">
        <f>LN($H$27/G35)</f>
        <v>0.14618251017808145</v>
      </c>
      <c r="I35" s="250">
        <f t="shared" si="3"/>
        <v>1.6657679012751257E-2</v>
      </c>
      <c r="J35" s="218">
        <f t="shared" si="4"/>
        <v>-2.2654443457341706E-3</v>
      </c>
      <c r="K35" s="218">
        <f t="shared" si="5"/>
        <v>-1.5697665816791919E-6</v>
      </c>
      <c r="L35" s="218">
        <f t="shared" si="6"/>
        <v>-1.4392234667017084E-2</v>
      </c>
      <c r="M35" s="218">
        <f t="shared" si="7"/>
        <v>3.8771185779906397E-5</v>
      </c>
      <c r="N35" s="351">
        <f t="shared" si="8"/>
        <v>6.5422398976526269E-2</v>
      </c>
      <c r="O35" s="148">
        <f t="shared" si="9"/>
        <v>1.1872660360731126E-3</v>
      </c>
      <c r="Q35" s="569"/>
      <c r="R35" s="387">
        <v>400</v>
      </c>
      <c r="S35" s="387" t="s">
        <v>241</v>
      </c>
      <c r="T35" s="387" t="s">
        <v>241</v>
      </c>
      <c r="U35" s="387" t="s">
        <v>241</v>
      </c>
      <c r="V35" s="387" t="s">
        <v>241</v>
      </c>
      <c r="W35" s="387" t="s">
        <v>241</v>
      </c>
      <c r="X35" s="387" t="s">
        <v>241</v>
      </c>
      <c r="Y35" s="387" t="s">
        <v>241</v>
      </c>
      <c r="Z35" s="387" t="s">
        <v>241</v>
      </c>
    </row>
    <row r="36" spans="1:26" ht="15.75" thickBot="1">
      <c r="A36" s="218">
        <v>6</v>
      </c>
      <c r="B36" s="333">
        <f t="shared" si="10"/>
        <v>6.103235999999999</v>
      </c>
      <c r="C36" s="378">
        <v>16.8</v>
      </c>
      <c r="D36" s="378">
        <v>21.3</v>
      </c>
      <c r="E36" s="290">
        <f t="shared" si="12"/>
        <v>19.05</v>
      </c>
      <c r="F36" s="333">
        <f t="shared" si="1"/>
        <v>4.3374709633008712E-2</v>
      </c>
      <c r="G36" s="333">
        <f t="shared" si="2"/>
        <v>0.18431405484472732</v>
      </c>
      <c r="H36" s="333">
        <f t="shared" si="11"/>
        <v>0.2113385058644473</v>
      </c>
      <c r="I36" s="250">
        <f t="shared" si="3"/>
        <v>1.4815971450501429E-2</v>
      </c>
      <c r="J36" s="218">
        <f t="shared" si="4"/>
        <v>-2.8224425613205218E-3</v>
      </c>
      <c r="K36" s="218">
        <f t="shared" si="5"/>
        <v>-1.5759985179745724E-6</v>
      </c>
      <c r="L36" s="218">
        <f t="shared" si="6"/>
        <v>-1.1993528889180906E-2</v>
      </c>
      <c r="M36" s="218">
        <f t="shared" si="7"/>
        <v>3.5191265137884713E-5</v>
      </c>
      <c r="N36" s="351">
        <f t="shared" si="8"/>
        <v>7.7952096934105569E-2</v>
      </c>
      <c r="O36" s="148">
        <f t="shared" si="9"/>
        <v>1.1955957125700542E-3</v>
      </c>
      <c r="Q36" s="570"/>
      <c r="R36" s="387">
        <v>500</v>
      </c>
      <c r="S36" s="387" t="s">
        <v>241</v>
      </c>
      <c r="T36" s="387" t="s">
        <v>241</v>
      </c>
      <c r="U36" s="387" t="s">
        <v>241</v>
      </c>
      <c r="V36" s="387" t="s">
        <v>241</v>
      </c>
      <c r="W36" s="387" t="s">
        <v>241</v>
      </c>
      <c r="X36" s="387" t="s">
        <v>241</v>
      </c>
      <c r="Y36" s="387" t="s">
        <v>241</v>
      </c>
      <c r="Z36" s="387" t="s">
        <v>241</v>
      </c>
    </row>
    <row r="37" spans="1:26" ht="15">
      <c r="A37" s="218">
        <v>7</v>
      </c>
      <c r="B37" s="333">
        <f t="shared" si="10"/>
        <v>7.1204419999999988</v>
      </c>
      <c r="C37" s="378">
        <v>22.9</v>
      </c>
      <c r="D37" s="378">
        <v>27.2</v>
      </c>
      <c r="E37" s="290">
        <f t="shared" si="12"/>
        <v>25.049999999999997</v>
      </c>
      <c r="F37" s="333">
        <f t="shared" si="1"/>
        <v>5.7036035501672862E-2</v>
      </c>
      <c r="G37" s="333">
        <f t="shared" si="2"/>
        <v>0.17065272897606318</v>
      </c>
      <c r="H37" s="333">
        <f t="shared" si="11"/>
        <v>0.28834896143948446</v>
      </c>
      <c r="I37" s="250">
        <f t="shared" si="3"/>
        <v>1.3716034181851791E-2</v>
      </c>
      <c r="J37" s="218">
        <f t="shared" si="4"/>
        <v>-3.4358665625538725E-3</v>
      </c>
      <c r="K37" s="218">
        <f t="shared" si="5"/>
        <v>-1.5797995447196487E-6</v>
      </c>
      <c r="L37" s="218">
        <f t="shared" si="6"/>
        <v>-1.0280167619297918E-2</v>
      </c>
      <c r="M37" s="218">
        <f t="shared" si="7"/>
        <v>3.3527917159753552E-5</v>
      </c>
      <c r="N37" s="351">
        <f t="shared" si="8"/>
        <v>8.9523645170892119E-2</v>
      </c>
      <c r="O37" s="148">
        <f t="shared" si="9"/>
        <v>1.0554447820195485E-3</v>
      </c>
      <c r="Q37" s="312" t="s">
        <v>478</v>
      </c>
      <c r="R37" s="312"/>
    </row>
    <row r="38" spans="1:26" ht="15" customHeight="1" thickBot="1">
      <c r="A38" s="218">
        <v>8</v>
      </c>
      <c r="B38" s="333">
        <f t="shared" si="10"/>
        <v>8.1376479999999987</v>
      </c>
      <c r="C38" s="378">
        <v>29.1</v>
      </c>
      <c r="D38" s="378">
        <v>33.4</v>
      </c>
      <c r="E38" s="290">
        <f t="shared" si="12"/>
        <v>31.25</v>
      </c>
      <c r="F38" s="333">
        <f t="shared" si="1"/>
        <v>7.1152738899292509E-2</v>
      </c>
      <c r="G38" s="333">
        <f t="shared" si="2"/>
        <v>0.15653602557844354</v>
      </c>
      <c r="H38" s="333">
        <f t="shared" si="11"/>
        <v>0.37469344944141059</v>
      </c>
      <c r="I38" s="250">
        <f t="shared" si="3"/>
        <v>1.308384969728826E-2</v>
      </c>
      <c r="J38" s="218">
        <f t="shared" si="4"/>
        <v>-4.0887030304025806E-3</v>
      </c>
      <c r="K38" s="218">
        <f t="shared" si="5"/>
        <v>-1.5717222434783168E-6</v>
      </c>
      <c r="L38" s="218">
        <f t="shared" si="6"/>
        <v>-8.9951466668856794E-3</v>
      </c>
      <c r="M38" s="218">
        <f t="shared" si="7"/>
        <v>3.3139290623068521E-5</v>
      </c>
      <c r="N38" s="351">
        <f t="shared" si="8"/>
        <v>0.10020349059172931</v>
      </c>
      <c r="O38" s="148">
        <f t="shared" si="9"/>
        <v>8.4394617389561973E-4</v>
      </c>
    </row>
    <row r="39" spans="1:26" ht="15.75" thickBot="1">
      <c r="A39" s="218">
        <v>9</v>
      </c>
      <c r="B39" s="333">
        <f t="shared" si="10"/>
        <v>9.1548539999999985</v>
      </c>
      <c r="C39" s="378">
        <v>35.299999999999997</v>
      </c>
      <c r="D39" s="378">
        <v>39.5</v>
      </c>
      <c r="E39" s="290">
        <f t="shared" si="12"/>
        <v>37.4</v>
      </c>
      <c r="F39" s="333">
        <f t="shared" si="1"/>
        <v>8.5155597914673281E-2</v>
      </c>
      <c r="G39" s="333">
        <f t="shared" si="2"/>
        <v>0.14253316656306275</v>
      </c>
      <c r="H39" s="333">
        <f t="shared" si="11"/>
        <v>0.46840490788203859</v>
      </c>
      <c r="I39" s="250">
        <f t="shared" si="3"/>
        <v>1.2772661223834832E-2</v>
      </c>
      <c r="J39" s="218">
        <f t="shared" si="4"/>
        <v>-4.7769752977142267E-3</v>
      </c>
      <c r="K39" s="218">
        <f t="shared" si="5"/>
        <v>-1.5524445278274606E-6</v>
      </c>
      <c r="L39" s="218">
        <f t="shared" si="6"/>
        <v>-7.9956859261206045E-3</v>
      </c>
      <c r="M39" s="218">
        <f t="shared" si="7"/>
        <v>3.3666320380155517E-5</v>
      </c>
      <c r="N39" s="351">
        <f t="shared" si="8"/>
        <v>0.11005849755561962</v>
      </c>
      <c r="O39" s="148">
        <f t="shared" si="9"/>
        <v>6.2015441052704556E-4</v>
      </c>
      <c r="Q39" s="564" t="s">
        <v>234</v>
      </c>
      <c r="R39" s="564"/>
      <c r="S39" s="564" t="s">
        <v>473</v>
      </c>
      <c r="T39" s="564"/>
      <c r="U39" s="564"/>
      <c r="V39" s="564"/>
      <c r="W39" s="564" t="s">
        <v>474</v>
      </c>
      <c r="X39" s="564"/>
      <c r="Y39" s="564"/>
      <c r="Z39" s="564"/>
    </row>
    <row r="40" spans="1:26" ht="15.75" thickBot="1">
      <c r="A40" s="218">
        <v>10</v>
      </c>
      <c r="B40" s="333">
        <f t="shared" si="10"/>
        <v>10.172059999999998</v>
      </c>
      <c r="C40" s="378">
        <v>41.4</v>
      </c>
      <c r="D40" s="378">
        <v>45.2</v>
      </c>
      <c r="E40" s="290">
        <f t="shared" si="12"/>
        <v>43.3</v>
      </c>
      <c r="F40" s="333">
        <f t="shared" si="1"/>
        <v>9.8589235018859703E-2</v>
      </c>
      <c r="G40" s="333">
        <f t="shared" si="2"/>
        <v>0.12909952945887632</v>
      </c>
      <c r="H40" s="333">
        <f t="shared" si="11"/>
        <v>0.56739597525438501</v>
      </c>
      <c r="I40" s="250">
        <f t="shared" si="3"/>
        <v>1.2691564962096197E-2</v>
      </c>
      <c r="J40" s="218">
        <f t="shared" si="4"/>
        <v>-5.4954476285876529E-3</v>
      </c>
      <c r="K40" s="218">
        <f t="shared" si="5"/>
        <v>-1.5232315402310614E-6</v>
      </c>
      <c r="L40" s="218">
        <f t="shared" si="6"/>
        <v>-7.1961173335085421E-3</v>
      </c>
      <c r="M40" s="218">
        <f t="shared" si="7"/>
        <v>3.486765962610385E-5</v>
      </c>
      <c r="N40" s="351">
        <f t="shared" si="8"/>
        <v>0.11915186892381613</v>
      </c>
      <c r="O40" s="148">
        <f t="shared" si="9"/>
        <v>4.2282191310926358E-4</v>
      </c>
      <c r="Q40" s="564" t="s">
        <v>475</v>
      </c>
      <c r="R40" s="564"/>
      <c r="S40" s="401">
        <v>0.2</v>
      </c>
      <c r="T40" s="401">
        <v>0.3</v>
      </c>
      <c r="U40" s="401">
        <v>0.4</v>
      </c>
      <c r="V40" s="401">
        <v>0.5</v>
      </c>
      <c r="W40" s="401">
        <v>0.2</v>
      </c>
      <c r="X40" s="401">
        <v>0.3</v>
      </c>
      <c r="Y40" s="401">
        <v>0.4</v>
      </c>
      <c r="Z40" s="401">
        <v>0.5</v>
      </c>
    </row>
    <row r="41" spans="1:26" ht="15.75" thickBot="1">
      <c r="A41" s="218">
        <v>11</v>
      </c>
      <c r="B41" s="333">
        <f t="shared" si="10"/>
        <v>11.189265999999998</v>
      </c>
      <c r="C41" s="378">
        <v>47.3</v>
      </c>
      <c r="D41" s="378">
        <v>51.1</v>
      </c>
      <c r="E41" s="290">
        <f t="shared" si="12"/>
        <v>49.2</v>
      </c>
      <c r="F41" s="333">
        <f t="shared" si="1"/>
        <v>0.11202287212304614</v>
      </c>
      <c r="G41" s="333">
        <f t="shared" si="2"/>
        <v>0.11566589235468989</v>
      </c>
      <c r="H41" s="333">
        <f t="shared" si="11"/>
        <v>0.67727383140365527</v>
      </c>
      <c r="I41" s="250">
        <f t="shared" si="3"/>
        <v>1.287780482016561E-2</v>
      </c>
      <c r="J41" s="218">
        <f t="shared" si="4"/>
        <v>-6.3358799715214822E-3</v>
      </c>
      <c r="K41" s="218">
        <f t="shared" si="5"/>
        <v>-1.5026526379551602E-6</v>
      </c>
      <c r="L41" s="218">
        <f t="shared" si="6"/>
        <v>-6.54192484864413E-3</v>
      </c>
      <c r="M41" s="218">
        <f t="shared" si="7"/>
        <v>3.6956574075776347E-5</v>
      </c>
      <c r="N41" s="351">
        <f t="shared" si="8"/>
        <v>0.12754233078780383</v>
      </c>
      <c r="O41" s="148">
        <f t="shared" si="9"/>
        <v>2.4085359724712265E-4</v>
      </c>
      <c r="Q41" s="564" t="s">
        <v>476</v>
      </c>
      <c r="R41" s="401">
        <v>100</v>
      </c>
      <c r="S41" s="402">
        <v>5.35</v>
      </c>
      <c r="T41" s="402">
        <v>6.64</v>
      </c>
      <c r="U41" s="402">
        <v>7.42</v>
      </c>
      <c r="V41" s="402">
        <v>8.2200000000000006</v>
      </c>
      <c r="W41" s="402">
        <v>5.34</v>
      </c>
      <c r="X41" s="402">
        <v>5.91</v>
      </c>
      <c r="Y41" s="402">
        <v>6.04</v>
      </c>
      <c r="Z41" s="402">
        <v>6.78</v>
      </c>
    </row>
    <row r="42" spans="1:26" ht="15.75" thickBot="1">
      <c r="A42" s="218">
        <v>12</v>
      </c>
      <c r="B42" s="333">
        <f t="shared" si="10"/>
        <v>12.206471999999998</v>
      </c>
      <c r="C42" s="378">
        <v>53.3</v>
      </c>
      <c r="D42" s="378">
        <v>56.1</v>
      </c>
      <c r="E42" s="290">
        <f t="shared" si="12"/>
        <v>54.7</v>
      </c>
      <c r="F42" s="333">
        <f t="shared" si="1"/>
        <v>0.12454575416932162</v>
      </c>
      <c r="G42" s="333">
        <f t="shared" si="2"/>
        <v>0.10314301030841441</v>
      </c>
      <c r="H42" s="333">
        <f t="shared" si="11"/>
        <v>0.79186315349910308</v>
      </c>
      <c r="I42" s="250">
        <f t="shared" si="3"/>
        <v>1.323789060615994E-2</v>
      </c>
      <c r="J42" s="218">
        <f t="shared" si="4"/>
        <v>-7.2411261615694883E-3</v>
      </c>
      <c r="K42" s="218">
        <f t="shared" si="5"/>
        <v>-1.4762751719671356E-6</v>
      </c>
      <c r="L42" s="218">
        <f t="shared" si="6"/>
        <v>-5.9967644445904529E-3</v>
      </c>
      <c r="M42" s="218">
        <f t="shared" si="7"/>
        <v>3.9616601257938309E-5</v>
      </c>
      <c r="N42" s="351">
        <f t="shared" si="8"/>
        <v>0.13528418044676976</v>
      </c>
      <c r="O42" s="148">
        <f t="shared" si="9"/>
        <v>1.1531379891618879E-4</v>
      </c>
      <c r="Q42" s="564"/>
      <c r="R42" s="401">
        <v>200</v>
      </c>
      <c r="S42" s="402">
        <v>6.92</v>
      </c>
      <c r="T42" s="402">
        <v>8.75</v>
      </c>
      <c r="U42" s="402">
        <v>10.029999999999999</v>
      </c>
      <c r="V42" s="402">
        <v>9.9700000000000006</v>
      </c>
      <c r="W42" s="402">
        <v>6.89</v>
      </c>
      <c r="X42" s="402">
        <v>8.2200000000000006</v>
      </c>
      <c r="Y42" s="402">
        <v>8.5399999999999991</v>
      </c>
      <c r="Z42" s="402">
        <v>9.68</v>
      </c>
    </row>
    <row r="43" spans="1:26" ht="15.75" thickBot="1">
      <c r="A43" s="218">
        <v>13</v>
      </c>
      <c r="B43" s="333">
        <f t="shared" si="10"/>
        <v>13.223677999999998</v>
      </c>
      <c r="C43" s="378">
        <v>58.7</v>
      </c>
      <c r="D43" s="378">
        <v>61.3</v>
      </c>
      <c r="E43" s="290">
        <f t="shared" si="12"/>
        <v>60</v>
      </c>
      <c r="F43" s="333">
        <f t="shared" si="1"/>
        <v>0.13661325868664162</v>
      </c>
      <c r="G43" s="333">
        <f t="shared" si="2"/>
        <v>9.1075505791094413E-2</v>
      </c>
      <c r="H43" s="333">
        <f t="shared" si="11"/>
        <v>0.91629073187415511</v>
      </c>
      <c r="I43" s="250">
        <f t="shared" si="3"/>
        <v>1.3838687179824123E-2</v>
      </c>
      <c r="J43" s="218">
        <f t="shared" si="4"/>
        <v>-8.3032123078944729E-3</v>
      </c>
      <c r="K43" s="218">
        <f t="shared" si="5"/>
        <v>-1.4555470955251E-6</v>
      </c>
      <c r="L43" s="218">
        <f t="shared" si="6"/>
        <v>-5.5354748719296494E-3</v>
      </c>
      <c r="M43" s="218">
        <f t="shared" si="7"/>
        <v>4.3150062237225951E-5</v>
      </c>
      <c r="N43" s="351">
        <f t="shared" si="8"/>
        <v>0.14242754786824977</v>
      </c>
      <c r="O43" s="148">
        <f t="shared" si="9"/>
        <v>3.3805958687365515E-5</v>
      </c>
      <c r="Q43" s="564"/>
      <c r="R43" s="401">
        <v>300</v>
      </c>
      <c r="S43" s="402">
        <v>7.16</v>
      </c>
      <c r="T43" s="402">
        <v>10.07</v>
      </c>
      <c r="U43" s="402">
        <v>10.62</v>
      </c>
      <c r="V43" s="402">
        <v>12.77</v>
      </c>
      <c r="W43" s="402">
        <v>7.84</v>
      </c>
      <c r="X43" s="402">
        <v>10.19</v>
      </c>
      <c r="Y43" s="402">
        <v>10.5</v>
      </c>
      <c r="Z43" s="402">
        <v>10.01</v>
      </c>
    </row>
    <row r="44" spans="1:26" ht="15.75" thickBot="1">
      <c r="A44" s="218">
        <v>14</v>
      </c>
      <c r="B44" s="333">
        <f t="shared" si="10"/>
        <v>14.240883999999998</v>
      </c>
      <c r="C44" s="378">
        <v>63.9</v>
      </c>
      <c r="D44" s="378">
        <v>66.3</v>
      </c>
      <c r="E44" s="290">
        <f t="shared" si="12"/>
        <v>65.099999999999994</v>
      </c>
      <c r="F44" s="333">
        <f t="shared" si="1"/>
        <v>0.14822538567500615</v>
      </c>
      <c r="G44" s="333">
        <f t="shared" si="2"/>
        <v>7.9463378802729884E-2</v>
      </c>
      <c r="H44" s="333">
        <f t="shared" si="11"/>
        <v>1.0526833567797098</v>
      </c>
      <c r="I44" s="250">
        <f t="shared" si="3"/>
        <v>1.4728033838535697E-2</v>
      </c>
      <c r="J44" s="218">
        <f t="shared" si="4"/>
        <v>-9.5879500288867398E-3</v>
      </c>
      <c r="K44" s="218">
        <f t="shared" si="5"/>
        <v>-1.4418542375464352E-6</v>
      </c>
      <c r="L44" s="218">
        <f t="shared" si="6"/>
        <v>-5.1400838096489591E-3</v>
      </c>
      <c r="M44" s="218">
        <f t="shared" si="7"/>
        <v>4.7784852008562493E-5</v>
      </c>
      <c r="N44" s="351">
        <f t="shared" si="8"/>
        <v>0.14901869588542421</v>
      </c>
      <c r="O44" s="148">
        <f t="shared" si="9"/>
        <v>6.2934108995355203E-7</v>
      </c>
      <c r="Q44" s="564"/>
      <c r="R44" s="401">
        <v>400</v>
      </c>
      <c r="S44" s="402">
        <v>7.64</v>
      </c>
      <c r="T44" s="402">
        <v>10.85</v>
      </c>
      <c r="U44" s="402">
        <v>12.97</v>
      </c>
      <c r="V44" s="402">
        <v>12.54</v>
      </c>
      <c r="W44" s="402">
        <v>8.94</v>
      </c>
      <c r="X44" s="402">
        <v>10.85</v>
      </c>
      <c r="Y44" s="402">
        <v>12.06</v>
      </c>
      <c r="Z44" s="402">
        <v>13.17</v>
      </c>
    </row>
    <row r="45" spans="1:26" ht="15.75" thickBot="1">
      <c r="A45" s="218">
        <v>15</v>
      </c>
      <c r="B45" s="333">
        <f t="shared" si="10"/>
        <v>15.258089999999997</v>
      </c>
      <c r="C45" s="378">
        <v>68.7</v>
      </c>
      <c r="D45" s="378">
        <v>70.8</v>
      </c>
      <c r="E45" s="290">
        <f t="shared" si="12"/>
        <v>69.75</v>
      </c>
      <c r="F45" s="333">
        <f t="shared" si="1"/>
        <v>0.15881291322322089</v>
      </c>
      <c r="G45" s="333">
        <f t="shared" si="2"/>
        <v>6.8875851254515147E-2</v>
      </c>
      <c r="H45" s="333">
        <f t="shared" si="11"/>
        <v>1.195674001511241</v>
      </c>
      <c r="I45" s="250">
        <f t="shared" si="3"/>
        <v>1.58592117542888E-2</v>
      </c>
      <c r="J45" s="218">
        <f t="shared" si="4"/>
        <v>-1.1061800198616439E-2</v>
      </c>
      <c r="K45" s="218">
        <f t="shared" si="5"/>
        <v>-1.4266253632519472E-6</v>
      </c>
      <c r="L45" s="218">
        <f t="shared" si="6"/>
        <v>-4.797411555672362E-3</v>
      </c>
      <c r="M45" s="218">
        <f t="shared" si="7"/>
        <v>5.3351890176346784E-5</v>
      </c>
      <c r="N45" s="351">
        <f t="shared" si="8"/>
        <v>0.1551003131871227</v>
      </c>
      <c r="O45" s="148">
        <f t="shared" si="9"/>
        <v>1.3783399028036284E-5</v>
      </c>
      <c r="Q45" s="564"/>
      <c r="R45" s="401">
        <v>500</v>
      </c>
      <c r="S45" s="402">
        <v>8.4499999999999993</v>
      </c>
      <c r="T45" s="402">
        <v>11.43</v>
      </c>
      <c r="U45" s="402">
        <v>13.7</v>
      </c>
      <c r="V45" s="402">
        <v>15.97</v>
      </c>
      <c r="W45" s="402">
        <v>9.2899999999999991</v>
      </c>
      <c r="X45" s="402">
        <v>11.6</v>
      </c>
      <c r="Y45" s="402">
        <v>14.25</v>
      </c>
      <c r="Z45" s="402">
        <v>15.666</v>
      </c>
    </row>
    <row r="46" spans="1:26" ht="15">
      <c r="A46" s="218">
        <v>16</v>
      </c>
      <c r="B46" s="333">
        <f t="shared" si="10"/>
        <v>16.275295999999997</v>
      </c>
      <c r="C46" s="378">
        <v>73.2</v>
      </c>
      <c r="D46" s="378">
        <v>75.3</v>
      </c>
      <c r="E46" s="290">
        <f t="shared" si="12"/>
        <v>74.25</v>
      </c>
      <c r="F46" s="333">
        <f t="shared" si="1"/>
        <v>0.16905890762471901</v>
      </c>
      <c r="G46" s="333">
        <f t="shared" si="2"/>
        <v>5.8629856853017026E-2</v>
      </c>
      <c r="H46" s="333">
        <f t="shared" si="11"/>
        <v>1.3567355588783463</v>
      </c>
      <c r="I46" s="250">
        <f t="shared" si="3"/>
        <v>1.7466304207545007E-2</v>
      </c>
      <c r="J46" s="218">
        <f t="shared" si="4"/>
        <v>-1.2968730874102169E-2</v>
      </c>
      <c r="K46" s="218">
        <f t="shared" si="5"/>
        <v>-1.4227707073516103E-6</v>
      </c>
      <c r="L46" s="218">
        <f t="shared" si="6"/>
        <v>-4.4975733334428397E-3</v>
      </c>
      <c r="M46" s="218">
        <f t="shared" si="7"/>
        <v>6.0841945502448195E-5</v>
      </c>
      <c r="N46" s="351">
        <f t="shared" si="8"/>
        <v>0.16071178900063829</v>
      </c>
      <c r="O46" s="148">
        <f t="shared" si="9"/>
        <v>6.9674389324475189E-5</v>
      </c>
    </row>
    <row r="47" spans="1:26" ht="15">
      <c r="A47" s="218">
        <v>17</v>
      </c>
      <c r="B47" s="333">
        <f t="shared" si="10"/>
        <v>17.292501999999999</v>
      </c>
      <c r="C47" s="378">
        <v>77.400000000000006</v>
      </c>
      <c r="D47" s="378">
        <v>79.3</v>
      </c>
      <c r="E47" s="290">
        <f t="shared" si="12"/>
        <v>78.349999999999994</v>
      </c>
      <c r="F47" s="333">
        <f t="shared" si="1"/>
        <v>0.17839414696830619</v>
      </c>
      <c r="G47" s="333">
        <f t="shared" si="2"/>
        <v>4.9294617509429844E-2</v>
      </c>
      <c r="H47" s="333">
        <f t="shared" si="11"/>
        <v>1.5301647315395925</v>
      </c>
      <c r="I47" s="250">
        <f t="shared" si="3"/>
        <v>1.9552010144025387E-2</v>
      </c>
      <c r="J47" s="218">
        <f t="shared" si="4"/>
        <v>-1.5318999947843893E-2</v>
      </c>
      <c r="K47" s="218">
        <f t="shared" si="5"/>
        <v>-1.4214121318309765E-6</v>
      </c>
      <c r="L47" s="218">
        <f t="shared" si="6"/>
        <v>-4.2330101961814953E-3</v>
      </c>
      <c r="M47" s="218">
        <f t="shared" si="7"/>
        <v>7.0285910354035043E-5</v>
      </c>
      <c r="N47" s="351">
        <f t="shared" si="8"/>
        <v>0.16588946771870627</v>
      </c>
      <c r="O47" s="148">
        <f t="shared" si="9"/>
        <v>1.5636700313537469E-4</v>
      </c>
      <c r="Q47" s="377" t="s">
        <v>472</v>
      </c>
      <c r="R47" s="390"/>
      <c r="S47" s="390"/>
      <c r="T47" s="390"/>
      <c r="U47" s="390"/>
    </row>
    <row r="48" spans="1:26" ht="15.75" thickBot="1">
      <c r="A48" s="218">
        <v>18</v>
      </c>
      <c r="B48" s="333">
        <f t="shared" si="10"/>
        <v>18.309707999999997</v>
      </c>
      <c r="C48" s="290">
        <v>81.5</v>
      </c>
      <c r="D48" s="290">
        <v>83.6</v>
      </c>
      <c r="E48" s="290">
        <f t="shared" si="12"/>
        <v>82.55</v>
      </c>
      <c r="F48" s="333">
        <f t="shared" si="1"/>
        <v>0.18795707507637111</v>
      </c>
      <c r="G48" s="333">
        <f t="shared" si="2"/>
        <v>3.9731689401364928E-2</v>
      </c>
      <c r="H48" s="333">
        <f t="shared" si="11"/>
        <v>1.7458305373396554</v>
      </c>
      <c r="I48" s="250">
        <f t="shared" si="3"/>
        <v>2.2910274859944429E-2</v>
      </c>
      <c r="J48" s="218">
        <f t="shared" si="4"/>
        <v>-1.8912431896884126E-2</v>
      </c>
      <c r="K48" s="218">
        <f t="shared" si="5"/>
        <v>-1.4465609874062083E-6</v>
      </c>
      <c r="L48" s="218">
        <f t="shared" si="6"/>
        <v>-3.9978429630603022E-3</v>
      </c>
      <c r="M48" s="218">
        <f t="shared" si="7"/>
        <v>8.5029547352223863E-5</v>
      </c>
      <c r="N48" s="351">
        <f t="shared" si="8"/>
        <v>0.17066688416234715</v>
      </c>
      <c r="O48" s="148">
        <f t="shared" si="9"/>
        <v>2.9895070184339636E-4</v>
      </c>
      <c r="Q48" s="389"/>
      <c r="R48" s="391"/>
      <c r="S48" s="391"/>
      <c r="T48" s="391"/>
      <c r="U48" s="391"/>
    </row>
    <row r="49" spans="1:26" ht="15.75" thickBot="1">
      <c r="A49" s="218">
        <v>19</v>
      </c>
      <c r="B49" s="333">
        <f t="shared" si="10"/>
        <v>19.326913999999995</v>
      </c>
      <c r="C49" s="290">
        <v>85</v>
      </c>
      <c r="D49" s="290">
        <v>86.4</v>
      </c>
      <c r="E49" s="290">
        <f t="shared" si="12"/>
        <v>85.7</v>
      </c>
      <c r="F49" s="333">
        <f t="shared" si="1"/>
        <v>0.19512927115741976</v>
      </c>
      <c r="G49" s="333">
        <f t="shared" si="2"/>
        <v>3.2559493320316268E-2</v>
      </c>
      <c r="H49" s="333">
        <f t="shared" si="11"/>
        <v>1.9449106487222294</v>
      </c>
      <c r="I49" s="250">
        <f t="shared" si="3"/>
        <v>2.6485525703012665E-2</v>
      </c>
      <c r="J49" s="218">
        <f t="shared" si="4"/>
        <v>-2.2698095527481851E-2</v>
      </c>
      <c r="K49" s="218">
        <f t="shared" si="5"/>
        <v>-1.4463457543629199E-6</v>
      </c>
      <c r="L49" s="218">
        <f t="shared" si="6"/>
        <v>-3.7874301755308126E-3</v>
      </c>
      <c r="M49" s="218">
        <f t="shared" si="7"/>
        <v>1.0065443656143673E-4</v>
      </c>
      <c r="N49" s="351">
        <f t="shared" si="8"/>
        <v>0.17507498074345634</v>
      </c>
      <c r="O49" s="148">
        <f t="shared" si="9"/>
        <v>4.021745640075852E-4</v>
      </c>
      <c r="Q49" s="564" t="s">
        <v>234</v>
      </c>
      <c r="R49" s="564"/>
      <c r="S49" s="564" t="s">
        <v>473</v>
      </c>
      <c r="T49" s="564"/>
      <c r="U49" s="564"/>
      <c r="V49" s="564"/>
      <c r="W49" s="564" t="s">
        <v>474</v>
      </c>
      <c r="X49" s="564"/>
      <c r="Y49" s="564"/>
      <c r="Z49" s="564"/>
    </row>
    <row r="50" spans="1:26" ht="15.75" thickBot="1">
      <c r="A50" s="218">
        <v>20</v>
      </c>
      <c r="B50" s="333">
        <f t="shared" si="10"/>
        <v>20.344119999999997</v>
      </c>
      <c r="C50" s="290">
        <v>89</v>
      </c>
      <c r="D50" s="290">
        <v>90</v>
      </c>
      <c r="E50" s="290">
        <f t="shared" si="12"/>
        <v>89.5</v>
      </c>
      <c r="F50" s="333">
        <f t="shared" si="1"/>
        <v>0.20378144420757374</v>
      </c>
      <c r="G50" s="333">
        <f t="shared" si="2"/>
        <v>2.3907320270162291E-2</v>
      </c>
      <c r="H50" s="333">
        <f t="shared" si="11"/>
        <v>2.2537949288246133</v>
      </c>
      <c r="I50" s="250">
        <f t="shared" si="3"/>
        <v>3.4267225397659716E-2</v>
      </c>
      <c r="J50" s="218">
        <f t="shared" si="4"/>
        <v>-3.0669166730905445E-2</v>
      </c>
      <c r="K50" s="218">
        <f t="shared" si="5"/>
        <v>-1.5126347694215246E-6</v>
      </c>
      <c r="L50" s="218">
        <f t="shared" si="6"/>
        <v>-3.5980586667542711E-3</v>
      </c>
      <c r="M50" s="218">
        <f t="shared" si="7"/>
        <v>1.3395797875040918E-4</v>
      </c>
      <c r="N50" s="351">
        <f t="shared" si="8"/>
        <v>0.17914230786312754</v>
      </c>
      <c r="O50" s="148">
        <f t="shared" si="9"/>
        <v>6.0708703980020965E-4</v>
      </c>
      <c r="Q50" s="564" t="s">
        <v>475</v>
      </c>
      <c r="R50" s="564"/>
      <c r="S50" s="401">
        <v>0.2</v>
      </c>
      <c r="T50" s="401">
        <v>0.3</v>
      </c>
      <c r="U50" s="401">
        <v>0.4</v>
      </c>
      <c r="V50" s="401">
        <v>0.5</v>
      </c>
      <c r="W50" s="401">
        <v>0.2</v>
      </c>
      <c r="X50" s="401">
        <v>0.3</v>
      </c>
      <c r="Y50" s="401">
        <v>0.4</v>
      </c>
      <c r="Z50" s="401">
        <v>0.5</v>
      </c>
    </row>
    <row r="51" spans="1:26" ht="15.75" thickBot="1">
      <c r="A51" s="218">
        <v>21</v>
      </c>
      <c r="B51" s="333">
        <f t="shared" si="10"/>
        <v>21.361325999999998</v>
      </c>
      <c r="C51" s="290">
        <v>91.7</v>
      </c>
      <c r="D51" s="290">
        <v>93.1</v>
      </c>
      <c r="E51" s="290">
        <f t="shared" si="12"/>
        <v>92.4</v>
      </c>
      <c r="F51" s="333">
        <f t="shared" si="1"/>
        <v>0.21038441837742811</v>
      </c>
      <c r="G51" s="333">
        <f t="shared" si="2"/>
        <v>1.7304346100307927E-2</v>
      </c>
      <c r="H51" s="333">
        <f t="shared" si="11"/>
        <v>2.5770219386958066</v>
      </c>
      <c r="I51" s="250">
        <f t="shared" si="3"/>
        <v>4.5088454470604937E-2</v>
      </c>
      <c r="J51" s="218">
        <f t="shared" si="4"/>
        <v>-4.1661731930838962E-2</v>
      </c>
      <c r="K51" s="218">
        <f t="shared" si="5"/>
        <v>-1.5687697238482631E-6</v>
      </c>
      <c r="L51" s="218">
        <f t="shared" si="6"/>
        <v>-3.4267225397659729E-3</v>
      </c>
      <c r="M51" s="218">
        <f t="shared" si="7"/>
        <v>1.8005457220504037E-4</v>
      </c>
      <c r="N51" s="351">
        <f t="shared" si="8"/>
        <v>0.18289520882450971</v>
      </c>
      <c r="O51" s="148">
        <f t="shared" si="9"/>
        <v>7.5565664184425976E-4</v>
      </c>
      <c r="Q51" s="564" t="s">
        <v>476</v>
      </c>
      <c r="R51" s="401">
        <v>100</v>
      </c>
      <c r="S51" s="399">
        <v>4.7457498374849036</v>
      </c>
      <c r="T51" s="399">
        <v>6.0381976059788585</v>
      </c>
      <c r="U51" s="399">
        <v>6.492125606379874</v>
      </c>
      <c r="V51" s="399">
        <v>6.492125606379874</v>
      </c>
      <c r="W51" s="399">
        <v>5.4021013641014441</v>
      </c>
      <c r="X51" s="399">
        <v>4.8391856394628858</v>
      </c>
      <c r="Y51" s="399">
        <v>4.2437914641877823</v>
      </c>
      <c r="Z51" s="399">
        <v>5.9956925180705856</v>
      </c>
    </row>
    <row r="52" spans="1:26" ht="15.75" thickBot="1">
      <c r="A52" s="218">
        <v>22</v>
      </c>
      <c r="B52" s="333">
        <f t="shared" si="10"/>
        <v>22.378531999999996</v>
      </c>
      <c r="C52" s="290">
        <v>94.7</v>
      </c>
      <c r="D52" s="290">
        <v>95.9</v>
      </c>
      <c r="E52" s="290">
        <f t="shared" si="12"/>
        <v>95.300000000000011</v>
      </c>
      <c r="F52" s="333">
        <f t="shared" si="1"/>
        <v>0.21698739254728244</v>
      </c>
      <c r="G52" s="333">
        <f t="shared" si="2"/>
        <v>1.070137193045359E-2</v>
      </c>
      <c r="H52" s="333">
        <f t="shared" si="11"/>
        <v>3.0576076772720788</v>
      </c>
      <c r="I52" s="250">
        <f t="shared" si="3"/>
        <v>6.9594945198341834E-2</v>
      </c>
      <c r="J52" s="218">
        <f t="shared" si="4"/>
        <v>-6.6323982774019755E-2</v>
      </c>
      <c r="K52" s="218">
        <f t="shared" si="5"/>
        <v>-1.695961821145022E-6</v>
      </c>
      <c r="L52" s="218">
        <f t="shared" si="6"/>
        <v>-3.270962424322065E-3</v>
      </c>
      <c r="M52" s="218">
        <f t="shared" si="7"/>
        <v>2.8383420742906525E-4</v>
      </c>
      <c r="N52" s="351">
        <f t="shared" si="8"/>
        <v>0.18635799045264573</v>
      </c>
      <c r="O52" s="148">
        <f t="shared" si="9"/>
        <v>9.3816027267493596E-4</v>
      </c>
      <c r="Q52" s="564"/>
      <c r="R52" s="401">
        <v>200</v>
      </c>
      <c r="S52" s="399">
        <v>6.3953683691867882</v>
      </c>
      <c r="T52" s="399">
        <v>7.9986544915467137</v>
      </c>
      <c r="U52" s="399">
        <v>9.3700224158333025</v>
      </c>
      <c r="V52" s="399">
        <v>9.3700224158333025</v>
      </c>
      <c r="W52" s="399">
        <v>7.0342397922343665</v>
      </c>
      <c r="X52" s="399">
        <v>7.4384008940009156</v>
      </c>
      <c r="Y52" s="399">
        <v>7.2659123058405024</v>
      </c>
      <c r="Z52" s="399">
        <v>10.37270308486632</v>
      </c>
    </row>
    <row r="53" spans="1:26" ht="15.75" thickBot="1">
      <c r="A53" s="218">
        <v>23</v>
      </c>
      <c r="B53" s="333">
        <f t="shared" si="10"/>
        <v>23.395737999999994</v>
      </c>
      <c r="C53" s="290">
        <v>97.3</v>
      </c>
      <c r="D53" s="290">
        <v>98.5</v>
      </c>
      <c r="E53" s="290">
        <f t="shared" si="12"/>
        <v>97.9</v>
      </c>
      <c r="F53" s="333">
        <f t="shared" si="1"/>
        <v>0.2229073004237036</v>
      </c>
      <c r="G53" s="333">
        <f t="shared" si="2"/>
        <v>4.7814640540324305E-3</v>
      </c>
      <c r="H53" s="333">
        <f t="shared" si="11"/>
        <v>3.8632328412587196</v>
      </c>
      <c r="I53" s="250">
        <f t="shared" si="3"/>
        <v>0.14898793651156486</v>
      </c>
      <c r="J53" s="218">
        <f t="shared" si="4"/>
        <v>-0.14585918984482202</v>
      </c>
      <c r="K53" s="218">
        <f t="shared" si="5"/>
        <v>-1.9605362878504039E-6</v>
      </c>
      <c r="L53" s="218">
        <f t="shared" si="6"/>
        <v>-3.1287466667428449E-3</v>
      </c>
      <c r="M53" s="218">
        <f t="shared" si="7"/>
        <v>6.1908673919385438E-4</v>
      </c>
      <c r="N53" s="351">
        <f t="shared" si="8"/>
        <v>0.1895530805249557</v>
      </c>
      <c r="O53" s="148">
        <f t="shared" si="9"/>
        <v>1.1125039850540305E-3</v>
      </c>
      <c r="Q53" s="564"/>
      <c r="R53" s="401">
        <v>300</v>
      </c>
      <c r="S53" s="399">
        <v>6.9351453921683746</v>
      </c>
      <c r="T53" s="399">
        <v>9.6448484452670158</v>
      </c>
      <c r="U53" s="399">
        <v>10.687460679131698</v>
      </c>
      <c r="V53" s="399">
        <v>10.687460679131698</v>
      </c>
      <c r="W53" s="399">
        <v>7.8193960690727273</v>
      </c>
      <c r="X53" s="399">
        <v>9.8700448993568131</v>
      </c>
      <c r="Y53" s="399">
        <v>11.368285941141329</v>
      </c>
      <c r="Z53" s="399">
        <v>7.6253752540732691</v>
      </c>
    </row>
    <row r="54" spans="1:26" ht="15.75" thickBot="1">
      <c r="A54" s="218">
        <v>24</v>
      </c>
      <c r="B54" s="333">
        <f t="shared" si="10"/>
        <v>24.412943999999996</v>
      </c>
      <c r="C54" s="290">
        <v>99.7</v>
      </c>
      <c r="D54" s="290">
        <v>100</v>
      </c>
      <c r="E54" s="290">
        <f t="shared" si="12"/>
        <v>99.85</v>
      </c>
      <c r="F54" s="333">
        <f t="shared" si="1"/>
        <v>0.22734723133101942</v>
      </c>
      <c r="G54" s="333">
        <f t="shared" si="2"/>
        <v>3.4153314671661605E-4</v>
      </c>
      <c r="H54" s="333">
        <f t="shared" si="11"/>
        <v>6.5022901708739376</v>
      </c>
      <c r="I54" s="250">
        <f t="shared" si="3"/>
        <v>1.9989214815300806</v>
      </c>
      <c r="J54" s="218">
        <f t="shared" si="4"/>
        <v>-1.9959230993077852</v>
      </c>
      <c r="K54" s="218">
        <f t="shared" si="5"/>
        <v>-3.0305645292908591E-6</v>
      </c>
      <c r="L54" s="218">
        <f t="shared" si="6"/>
        <v>-2.9983822222952265E-3</v>
      </c>
      <c r="M54" s="218">
        <f t="shared" si="7"/>
        <v>8.4221905435059741E-3</v>
      </c>
      <c r="N54" s="351">
        <f t="shared" si="8"/>
        <v>0.19250117303162886</v>
      </c>
      <c r="O54" s="148">
        <f t="shared" si="9"/>
        <v>1.2142477790045253E-3</v>
      </c>
      <c r="Q54" s="564"/>
      <c r="R54" s="401">
        <v>400</v>
      </c>
      <c r="S54" s="399">
        <v>6.8736324449926389</v>
      </c>
      <c r="T54" s="399">
        <v>10.354312530334079</v>
      </c>
      <c r="U54" s="399">
        <v>12.934107341703552</v>
      </c>
      <c r="V54" s="399">
        <v>12.934107341703552</v>
      </c>
      <c r="W54" s="399">
        <v>8.1886582569802808</v>
      </c>
      <c r="X54" s="399">
        <v>12.962765104977588</v>
      </c>
      <c r="Y54" s="399">
        <v>11.625085341753639</v>
      </c>
      <c r="Z54" s="399">
        <v>10.389144954951368</v>
      </c>
    </row>
    <row r="55" spans="1:26" ht="15.75" thickBot="1">
      <c r="A55" s="218">
        <v>25</v>
      </c>
      <c r="B55" s="333">
        <f t="shared" si="10"/>
        <v>25.430149999999998</v>
      </c>
      <c r="C55" s="290">
        <v>100</v>
      </c>
      <c r="D55" s="290"/>
      <c r="E55" s="290">
        <f t="shared" si="12"/>
        <v>100</v>
      </c>
      <c r="F55" s="333">
        <f t="shared" si="1"/>
        <v>0.22768876447773603</v>
      </c>
      <c r="G55" s="333">
        <f t="shared" si="2"/>
        <v>0</v>
      </c>
      <c r="H55" s="333" t="e">
        <f>LN($H$27/G55)</f>
        <v>#DIV/0!</v>
      </c>
      <c r="I55" s="250" t="e">
        <f t="shared" si="3"/>
        <v>#DIV/0!</v>
      </c>
      <c r="J55" s="218" t="e">
        <f t="shared" si="4"/>
        <v>#DIV/0!</v>
      </c>
      <c r="K55" s="218" t="e">
        <f t="shared" si="5"/>
        <v>#DIV/0!</v>
      </c>
      <c r="L55" s="218">
        <f t="shared" si="6"/>
        <v>-2.8784469334034173E-3</v>
      </c>
      <c r="M55" s="218" t="e">
        <f t="shared" si="7"/>
        <v>#DIV/0!</v>
      </c>
      <c r="N55" s="351">
        <f t="shared" si="8"/>
        <v>0.19522136220664443</v>
      </c>
      <c r="O55" s="148">
        <f t="shared" si="9"/>
        <v>1.054132210232884E-3</v>
      </c>
      <c r="Q55" s="564"/>
      <c r="R55" s="401">
        <v>500</v>
      </c>
      <c r="S55" s="399">
        <v>8.0101793839041928</v>
      </c>
      <c r="T55" s="399">
        <v>11.100337094262185</v>
      </c>
      <c r="U55" s="399">
        <v>13.299329582594753</v>
      </c>
      <c r="V55" s="399">
        <v>13.299329582594753</v>
      </c>
      <c r="W55" s="399">
        <v>8.4648935068554856</v>
      </c>
      <c r="X55" s="399">
        <v>12.81649499356662</v>
      </c>
      <c r="Y55" s="399">
        <v>12.233725438855775</v>
      </c>
      <c r="Z55" s="399">
        <v>12.244806426526219</v>
      </c>
    </row>
    <row r="57" spans="1:26">
      <c r="Q57" s="394"/>
      <c r="R57" s="393"/>
      <c r="S57" s="393"/>
      <c r="T57" s="393"/>
      <c r="U57" s="393"/>
      <c r="V57" s="392"/>
    </row>
    <row r="59" spans="1:26" ht="15.75" thickBot="1">
      <c r="Q59" s="319"/>
      <c r="R59" s="319"/>
      <c r="S59" s="319"/>
      <c r="T59" s="319"/>
      <c r="U59" s="319"/>
      <c r="V59" s="319"/>
      <c r="W59" s="319"/>
      <c r="X59" s="319"/>
      <c r="Y59" s="290"/>
      <c r="Z59" s="290"/>
    </row>
    <row r="60" spans="1:26" ht="15.75" thickBot="1">
      <c r="J60" s="421">
        <f>0.0892*60</f>
        <v>5.3520000000000003</v>
      </c>
      <c r="K60" s="422" t="s">
        <v>421</v>
      </c>
      <c r="Q60" s="319"/>
      <c r="R60" s="319"/>
      <c r="S60" s="319"/>
      <c r="T60" s="319"/>
      <c r="U60" s="319"/>
      <c r="V60" s="319"/>
      <c r="W60" s="319"/>
      <c r="X60" s="319"/>
      <c r="Y60" s="290"/>
      <c r="Z60" s="290"/>
    </row>
    <row r="61" spans="1:26" ht="15">
      <c r="Q61" s="319"/>
      <c r="R61" s="319"/>
      <c r="S61" s="319"/>
      <c r="T61" s="319"/>
      <c r="U61" s="319"/>
      <c r="V61" s="319"/>
      <c r="W61" s="319"/>
      <c r="X61" s="319"/>
      <c r="Y61" s="290"/>
      <c r="Z61" s="290"/>
    </row>
    <row r="62" spans="1:26" ht="12.75">
      <c r="Q62" s="320"/>
      <c r="R62" s="320"/>
      <c r="S62" s="320"/>
      <c r="T62" s="320"/>
      <c r="U62" s="320"/>
      <c r="V62" s="320"/>
      <c r="W62" s="320"/>
      <c r="X62" s="320"/>
      <c r="Y62" s="320"/>
      <c r="Z62" s="320"/>
    </row>
    <row r="63" spans="1:26" ht="15">
      <c r="Q63" s="315"/>
      <c r="R63" s="315"/>
      <c r="S63" s="315"/>
      <c r="T63" s="315"/>
      <c r="U63" s="315"/>
      <c r="V63" s="315"/>
      <c r="W63" s="315"/>
      <c r="X63" s="315"/>
      <c r="Y63" s="315"/>
      <c r="Z63" s="315"/>
    </row>
    <row r="64" spans="1:26" ht="15">
      <c r="Q64" s="315"/>
      <c r="R64" s="315"/>
      <c r="S64" s="315"/>
      <c r="T64" s="315"/>
      <c r="U64" s="315"/>
      <c r="V64" s="315"/>
      <c r="W64" s="315"/>
      <c r="X64" s="315"/>
      <c r="Y64" s="315"/>
      <c r="Z64" s="315"/>
    </row>
    <row r="65" spans="1:26" ht="15">
      <c r="Q65" s="315"/>
      <c r="R65" s="315"/>
      <c r="S65" s="315"/>
      <c r="T65" s="315"/>
      <c r="U65" s="315"/>
      <c r="V65" s="315"/>
      <c r="W65" s="315"/>
      <c r="X65" s="315"/>
      <c r="Y65" s="315"/>
      <c r="Z65" s="315"/>
    </row>
    <row r="66" spans="1:26" ht="15">
      <c r="Q66" s="315"/>
      <c r="R66" s="315"/>
      <c r="S66" s="315"/>
      <c r="T66" s="315"/>
      <c r="U66" s="315"/>
      <c r="V66" s="315"/>
      <c r="W66" s="315"/>
      <c r="X66" s="315"/>
      <c r="Y66" s="315"/>
      <c r="Z66" s="315"/>
    </row>
    <row r="67" spans="1:26" ht="15">
      <c r="Q67" s="315"/>
      <c r="R67" s="315"/>
      <c r="S67" s="315"/>
      <c r="T67" s="315"/>
      <c r="U67" s="315"/>
      <c r="V67" s="315"/>
      <c r="W67" s="315"/>
      <c r="X67" s="315"/>
      <c r="Y67" s="315"/>
      <c r="Z67" s="315"/>
    </row>
    <row r="68" spans="1:26" ht="12.75">
      <c r="Q68" s="320"/>
      <c r="R68" s="320"/>
      <c r="S68" s="320"/>
      <c r="T68" s="320"/>
      <c r="U68" s="320"/>
      <c r="V68" s="320"/>
      <c r="W68" s="320"/>
      <c r="X68" s="320"/>
      <c r="Y68" s="320"/>
      <c r="Z68" s="320"/>
    </row>
    <row r="69" spans="1:26" ht="15">
      <c r="Q69" s="315"/>
      <c r="R69" s="315"/>
      <c r="S69" s="315"/>
      <c r="T69" s="315"/>
      <c r="U69" s="315"/>
      <c r="V69" s="315"/>
      <c r="W69" s="315"/>
      <c r="X69" s="315"/>
      <c r="Y69" s="315"/>
      <c r="Z69" s="315"/>
    </row>
    <row r="70" spans="1:26" ht="15">
      <c r="Q70" s="315"/>
      <c r="R70" s="315"/>
      <c r="S70" s="315"/>
      <c r="T70" s="315"/>
      <c r="U70" s="315"/>
      <c r="V70" s="315"/>
      <c r="W70" s="315"/>
      <c r="X70" s="315"/>
      <c r="Y70" s="315"/>
      <c r="Z70" s="315"/>
    </row>
    <row r="71" spans="1:26" ht="15">
      <c r="Q71" s="315"/>
      <c r="R71" s="315"/>
      <c r="S71" s="315"/>
      <c r="T71" s="315"/>
      <c r="U71" s="315"/>
      <c r="V71" s="315"/>
      <c r="W71" s="315"/>
      <c r="X71" s="315"/>
      <c r="Y71" s="315"/>
      <c r="Z71" s="315"/>
    </row>
    <row r="72" spans="1:26" ht="15">
      <c r="Q72" s="315"/>
      <c r="R72" s="315"/>
      <c r="S72" s="315"/>
      <c r="T72" s="315"/>
      <c r="U72" s="315"/>
      <c r="V72" s="315"/>
      <c r="W72" s="315"/>
      <c r="X72" s="315"/>
      <c r="Y72" s="315"/>
      <c r="Z72" s="315"/>
    </row>
    <row r="73" spans="1:26" ht="15">
      <c r="Q73" s="315"/>
      <c r="R73" s="315"/>
      <c r="S73" s="315"/>
      <c r="T73" s="315"/>
      <c r="U73" s="315"/>
      <c r="V73" s="315"/>
      <c r="W73" s="315"/>
      <c r="X73" s="315"/>
      <c r="Y73" s="315"/>
      <c r="Z73" s="315"/>
    </row>
    <row r="74" spans="1:26" ht="12.75">
      <c r="Q74" s="320"/>
      <c r="R74" s="320"/>
      <c r="S74" s="320"/>
      <c r="T74" s="320"/>
      <c r="U74" s="320"/>
      <c r="V74" s="320"/>
      <c r="W74" s="320"/>
      <c r="X74" s="320"/>
      <c r="Y74" s="320"/>
      <c r="Z74" s="320"/>
    </row>
    <row r="75" spans="1:26" ht="15">
      <c r="Q75" s="315"/>
      <c r="R75" s="315"/>
      <c r="S75" s="315"/>
      <c r="T75" s="315"/>
      <c r="U75" s="315"/>
      <c r="V75" s="315"/>
      <c r="W75" s="315"/>
      <c r="X75" s="315"/>
      <c r="Y75" s="315"/>
      <c r="Z75" s="315"/>
    </row>
    <row r="76" spans="1:26" ht="15">
      <c r="Q76" s="315"/>
      <c r="R76" s="315"/>
      <c r="S76" s="315"/>
      <c r="T76" s="315"/>
      <c r="U76" s="315"/>
      <c r="V76" s="315"/>
      <c r="W76" s="315"/>
      <c r="X76" s="315"/>
      <c r="Y76" s="315"/>
      <c r="Z76" s="315"/>
    </row>
    <row r="77" spans="1:26" ht="15">
      <c r="A77" s="218" t="s">
        <v>280</v>
      </c>
      <c r="Q77" s="315"/>
      <c r="R77" s="315"/>
      <c r="S77" s="315"/>
      <c r="T77" s="315"/>
      <c r="U77" s="315"/>
      <c r="V77" s="315"/>
      <c r="W77" s="315"/>
      <c r="X77" s="315"/>
      <c r="Y77" s="315"/>
      <c r="Z77" s="315"/>
    </row>
    <row r="78" spans="1:26" ht="2.25" customHeight="1">
      <c r="Q78" s="315"/>
      <c r="R78" s="315"/>
      <c r="S78" s="315"/>
      <c r="T78" s="315"/>
      <c r="U78" s="315"/>
      <c r="V78" s="315"/>
      <c r="W78" s="315"/>
      <c r="X78" s="315"/>
      <c r="Y78" s="315"/>
      <c r="Z78" s="315"/>
    </row>
    <row r="79" spans="1:26" ht="31.5" customHeight="1" thickBot="1">
      <c r="B79" s="571" t="s">
        <v>469</v>
      </c>
      <c r="C79" s="572"/>
      <c r="D79" s="572"/>
      <c r="E79" s="572"/>
      <c r="F79" s="572"/>
      <c r="G79" s="572"/>
      <c r="H79" s="573"/>
      <c r="J79" s="403"/>
      <c r="K79" s="404"/>
      <c r="L79" s="404"/>
      <c r="M79" s="405"/>
      <c r="N79" s="405"/>
      <c r="O79" s="405"/>
      <c r="P79" s="405"/>
      <c r="Q79" s="315"/>
      <c r="R79" s="315"/>
      <c r="S79" s="315"/>
      <c r="T79" s="315"/>
      <c r="U79" s="315"/>
      <c r="V79" s="315"/>
      <c r="W79" s="315"/>
      <c r="X79" s="315"/>
      <c r="Y79" s="315"/>
      <c r="Z79" s="315"/>
    </row>
    <row r="80" spans="1:26" ht="15.75" customHeight="1" thickBot="1">
      <c r="B80" s="415" t="s">
        <v>470</v>
      </c>
      <c r="C80" s="228"/>
      <c r="D80" s="415">
        <f>B20</f>
        <v>0.2</v>
      </c>
      <c r="E80" s="415" t="s">
        <v>419</v>
      </c>
      <c r="F80" s="416" t="s">
        <v>418</v>
      </c>
      <c r="G80" s="419">
        <f>SLOPE(H85:H102,B85:B102)</f>
        <v>8.8095737479730332E-2</v>
      </c>
      <c r="H80" s="397" t="s">
        <v>479</v>
      </c>
      <c r="J80" s="405"/>
      <c r="K80" s="405"/>
      <c r="L80" s="405"/>
      <c r="M80" s="405"/>
      <c r="N80" s="405"/>
      <c r="O80" s="405"/>
      <c r="P80" s="405"/>
      <c r="Q80" s="320"/>
      <c r="R80" s="320"/>
      <c r="S80" s="320"/>
      <c r="T80" s="320"/>
      <c r="U80" s="320"/>
      <c r="V80" s="320"/>
      <c r="W80" s="320"/>
      <c r="X80" s="320"/>
      <c r="Y80" s="320"/>
      <c r="Z80" s="320"/>
    </row>
    <row r="81" spans="2:26" ht="14.25" customHeight="1" thickBot="1">
      <c r="B81" s="415" t="s">
        <v>398</v>
      </c>
      <c r="C81" s="228"/>
      <c r="D81" s="417">
        <v>100</v>
      </c>
      <c r="E81" s="415" t="s">
        <v>420</v>
      </c>
      <c r="F81" s="416" t="s">
        <v>418</v>
      </c>
      <c r="G81" s="420">
        <f>G80*60</f>
        <v>5.2857442487838195</v>
      </c>
      <c r="H81" s="397" t="s">
        <v>480</v>
      </c>
      <c r="J81" s="405"/>
      <c r="K81" s="405"/>
      <c r="L81" s="405"/>
      <c r="M81" s="405"/>
      <c r="N81" s="405"/>
      <c r="O81" s="405"/>
      <c r="P81" s="405"/>
      <c r="Q81" s="315"/>
      <c r="R81" s="315"/>
      <c r="S81" s="315"/>
      <c r="T81" s="315"/>
      <c r="U81" s="315"/>
      <c r="V81" s="315"/>
      <c r="W81" s="315"/>
      <c r="X81" s="315"/>
      <c r="Y81" s="315"/>
      <c r="Z81" s="315"/>
    </row>
    <row r="82" spans="2:26" ht="13.5" customHeight="1">
      <c r="B82" s="415"/>
      <c r="C82" s="228"/>
      <c r="D82" s="415"/>
      <c r="E82" s="415"/>
      <c r="F82" s="416"/>
      <c r="G82" s="415"/>
      <c r="H82" s="415" t="s">
        <v>442</v>
      </c>
      <c r="J82" s="405"/>
      <c r="K82" s="405"/>
      <c r="L82" s="405"/>
      <c r="M82" s="405"/>
      <c r="N82" s="405"/>
      <c r="O82" s="405"/>
      <c r="P82" s="405"/>
      <c r="Q82" s="315"/>
      <c r="R82" s="315"/>
      <c r="S82" s="315"/>
      <c r="T82" s="315"/>
      <c r="U82" s="315"/>
      <c r="V82" s="315"/>
      <c r="W82" s="315"/>
      <c r="X82" s="315"/>
      <c r="Y82" s="315"/>
      <c r="Z82" s="315"/>
    </row>
    <row r="83" spans="2:26" ht="12" customHeight="1">
      <c r="B83" s="228"/>
      <c r="C83" s="228"/>
      <c r="D83" s="228"/>
      <c r="E83" s="228"/>
      <c r="F83" s="228"/>
      <c r="G83" s="228"/>
      <c r="H83" s="254">
        <f>$C$16-F85</f>
        <v>0.22768876447773603</v>
      </c>
      <c r="J83" s="405"/>
      <c r="K83" s="405"/>
      <c r="L83" s="405"/>
      <c r="M83" s="405"/>
      <c r="N83" s="405"/>
      <c r="O83" s="405"/>
      <c r="P83" s="405"/>
      <c r="Q83" s="315"/>
      <c r="R83" s="315"/>
      <c r="S83" s="315"/>
      <c r="T83" s="315"/>
      <c r="U83" s="315"/>
      <c r="V83" s="315"/>
      <c r="W83" s="315"/>
      <c r="X83" s="315"/>
      <c r="Y83" s="315"/>
      <c r="Z83" s="315"/>
    </row>
    <row r="84" spans="2:26" ht="15" customHeight="1">
      <c r="B84" s="415" t="s">
        <v>424</v>
      </c>
      <c r="C84" s="415"/>
      <c r="D84" s="228"/>
      <c r="E84" s="415" t="s">
        <v>471</v>
      </c>
      <c r="F84" s="415" t="s">
        <v>428</v>
      </c>
      <c r="G84" s="415" t="s">
        <v>429</v>
      </c>
      <c r="H84" s="415" t="s">
        <v>430</v>
      </c>
      <c r="J84" s="405"/>
      <c r="K84" s="405"/>
      <c r="L84" s="405"/>
      <c r="M84" s="405"/>
      <c r="N84" s="405"/>
      <c r="O84" s="405"/>
      <c r="P84" s="405"/>
      <c r="Q84" s="315"/>
      <c r="R84" s="315"/>
      <c r="S84" s="315"/>
      <c r="T84" s="315"/>
      <c r="U84" s="315"/>
      <c r="V84" s="315"/>
      <c r="W84" s="315"/>
      <c r="X84" s="315"/>
      <c r="Y84" s="315"/>
      <c r="Z84" s="315"/>
    </row>
    <row r="85" spans="2:26" ht="15">
      <c r="B85" s="254">
        <f>A30*2*$C$23</f>
        <v>0</v>
      </c>
      <c r="C85" s="228"/>
      <c r="D85" s="228"/>
      <c r="E85" s="228">
        <f>C30</f>
        <v>0</v>
      </c>
      <c r="F85" s="228">
        <f>(E85/100)*$C$16</f>
        <v>0</v>
      </c>
      <c r="G85" s="254">
        <f>$C$16-F85</f>
        <v>0.22768876447773603</v>
      </c>
      <c r="H85" s="228">
        <f>LN($H$83/G85)</f>
        <v>0</v>
      </c>
      <c r="J85" s="405"/>
      <c r="K85" s="405"/>
      <c r="L85" s="405"/>
      <c r="M85" s="405"/>
      <c r="N85" s="405"/>
      <c r="O85" s="405"/>
      <c r="P85" s="405"/>
      <c r="Q85" s="315"/>
      <c r="R85" s="315"/>
      <c r="S85" s="315"/>
      <c r="T85" s="315"/>
      <c r="U85" s="315"/>
      <c r="V85" s="315"/>
      <c r="W85" s="315"/>
      <c r="X85" s="315"/>
      <c r="Y85" s="315"/>
      <c r="Z85" s="315"/>
    </row>
    <row r="86" spans="2:26" ht="15">
      <c r="B86" s="254">
        <f t="shared" ref="B86:B110" si="13">A31*2*$C$23</f>
        <v>1.0053339999999999</v>
      </c>
      <c r="C86" s="228"/>
      <c r="D86" s="228"/>
      <c r="E86" s="228">
        <f t="shared" ref="E86:E110" si="14">C31</f>
        <v>0.2</v>
      </c>
      <c r="F86" s="228">
        <f t="shared" ref="F86:F110" si="15">(E86/100)*$C$16</f>
        <v>4.5537752895547206E-4</v>
      </c>
      <c r="G86" s="254">
        <f>$C$16-F86</f>
        <v>0.22723338694878056</v>
      </c>
      <c r="H86" s="228">
        <f>LN($H$83/G86)</f>
        <v>2.0020026706729687E-3</v>
      </c>
      <c r="J86" s="405"/>
      <c r="K86" s="405"/>
      <c r="L86" s="405"/>
      <c r="M86" s="405"/>
      <c r="N86" s="405"/>
      <c r="O86" s="405"/>
      <c r="P86" s="405"/>
      <c r="Q86" s="320"/>
      <c r="R86" s="320"/>
      <c r="S86" s="320"/>
      <c r="T86" s="320"/>
      <c r="U86" s="320"/>
      <c r="V86" s="320"/>
      <c r="W86" s="319"/>
      <c r="X86" s="319"/>
      <c r="Y86" s="290"/>
      <c r="Z86" s="290"/>
    </row>
    <row r="87" spans="2:26" ht="15">
      <c r="B87" s="254">
        <f t="shared" si="13"/>
        <v>2.0106679999999999</v>
      </c>
      <c r="C87" s="228"/>
      <c r="D87" s="228"/>
      <c r="E87" s="228">
        <f t="shared" si="14"/>
        <v>0.9</v>
      </c>
      <c r="F87" s="228">
        <f t="shared" si="15"/>
        <v>2.0491988802996243E-3</v>
      </c>
      <c r="G87" s="254">
        <f t="shared" ref="G87:G110" si="16">$C$16-F87</f>
        <v>0.22563956559743642</v>
      </c>
      <c r="H87" s="228">
        <f t="shared" ref="H87:H110" si="17">LN($H$83/G87)</f>
        <v>9.0407446521490239E-3</v>
      </c>
      <c r="J87" s="405"/>
      <c r="K87" s="405"/>
      <c r="L87" s="405"/>
      <c r="M87" s="405"/>
      <c r="N87" s="405"/>
      <c r="O87" s="405"/>
      <c r="P87" s="405"/>
      <c r="Q87" s="315"/>
      <c r="R87" s="315"/>
      <c r="S87" s="315"/>
      <c r="T87" s="315"/>
      <c r="U87" s="315"/>
      <c r="V87" s="315"/>
      <c r="W87" s="319"/>
      <c r="X87" s="319"/>
      <c r="Y87" s="290"/>
      <c r="Z87" s="290"/>
    </row>
    <row r="88" spans="2:26" ht="15">
      <c r="B88" s="254">
        <f t="shared" si="13"/>
        <v>3.0160019999999998</v>
      </c>
      <c r="C88" s="418"/>
      <c r="D88" s="418"/>
      <c r="E88" s="228">
        <f t="shared" si="14"/>
        <v>3</v>
      </c>
      <c r="F88" s="228">
        <f t="shared" si="15"/>
        <v>6.8306629343320808E-3</v>
      </c>
      <c r="G88" s="254">
        <f t="shared" si="16"/>
        <v>0.22085810154340396</v>
      </c>
      <c r="H88" s="228">
        <f t="shared" si="17"/>
        <v>3.0459207484708439E-2</v>
      </c>
      <c r="J88" s="405"/>
      <c r="K88" s="405"/>
      <c r="L88" s="405"/>
      <c r="M88" s="405"/>
      <c r="N88" s="405"/>
      <c r="O88" s="405"/>
      <c r="P88" s="405"/>
      <c r="Q88" s="315"/>
      <c r="R88" s="315"/>
      <c r="S88" s="315"/>
      <c r="T88" s="315"/>
      <c r="U88" s="315"/>
      <c r="V88" s="315"/>
      <c r="W88" s="319"/>
      <c r="X88" s="319"/>
      <c r="Y88" s="290"/>
      <c r="Z88" s="290"/>
    </row>
    <row r="89" spans="2:26" ht="15">
      <c r="B89" s="254">
        <f t="shared" si="13"/>
        <v>4.0213359999999998</v>
      </c>
      <c r="C89" s="418"/>
      <c r="D89" s="418"/>
      <c r="E89" s="228">
        <f t="shared" si="14"/>
        <v>7.1</v>
      </c>
      <c r="F89" s="228">
        <f t="shared" si="15"/>
        <v>1.6165902277919256E-2</v>
      </c>
      <c r="G89" s="254">
        <f t="shared" si="16"/>
        <v>0.21152286219981678</v>
      </c>
      <c r="H89" s="228">
        <f t="shared" si="17"/>
        <v>7.364654016829851E-2</v>
      </c>
      <c r="J89" s="405"/>
      <c r="K89" s="405"/>
      <c r="L89" s="405"/>
      <c r="M89" s="405"/>
      <c r="N89" s="405"/>
      <c r="O89" s="405"/>
      <c r="P89" s="405"/>
      <c r="Q89" s="315"/>
      <c r="R89" s="315"/>
      <c r="S89" s="315"/>
      <c r="T89" s="315"/>
      <c r="U89" s="315"/>
      <c r="V89" s="315"/>
      <c r="W89" s="319"/>
      <c r="X89" s="319"/>
      <c r="Y89" s="290"/>
      <c r="Z89" s="290"/>
    </row>
    <row r="90" spans="2:26" ht="15">
      <c r="B90" s="254">
        <f t="shared" si="13"/>
        <v>5.0266699999999993</v>
      </c>
      <c r="C90" s="418"/>
      <c r="D90" s="418"/>
      <c r="E90" s="228">
        <f t="shared" si="14"/>
        <v>11.6</v>
      </c>
      <c r="F90" s="228">
        <f t="shared" si="15"/>
        <v>2.6411896679417377E-2</v>
      </c>
      <c r="G90" s="254">
        <f t="shared" si="16"/>
        <v>0.20127686779831866</v>
      </c>
      <c r="H90" s="228">
        <f t="shared" si="17"/>
        <v>0.1232982163444936</v>
      </c>
      <c r="J90" s="405"/>
      <c r="K90" s="405"/>
      <c r="L90" s="405"/>
      <c r="M90" s="405"/>
      <c r="N90" s="405"/>
      <c r="O90" s="405"/>
      <c r="P90" s="405"/>
      <c r="Q90" s="315"/>
      <c r="R90" s="315"/>
      <c r="S90" s="315"/>
      <c r="T90" s="315"/>
      <c r="U90" s="315"/>
      <c r="V90" s="315"/>
      <c r="W90" s="319"/>
      <c r="X90" s="319"/>
      <c r="Y90" s="290"/>
      <c r="Z90" s="290"/>
    </row>
    <row r="91" spans="2:26" ht="15">
      <c r="B91" s="254">
        <f t="shared" si="13"/>
        <v>6.0320039999999997</v>
      </c>
      <c r="C91" s="418"/>
      <c r="D91" s="418"/>
      <c r="E91" s="228">
        <f t="shared" si="14"/>
        <v>16.8</v>
      </c>
      <c r="F91" s="228">
        <f t="shared" si="15"/>
        <v>3.8251712432259659E-2</v>
      </c>
      <c r="G91" s="254">
        <f t="shared" si="16"/>
        <v>0.18943705204547637</v>
      </c>
      <c r="H91" s="228">
        <f t="shared" si="17"/>
        <v>0.18392283816092861</v>
      </c>
      <c r="J91" s="218" t="s">
        <v>50</v>
      </c>
      <c r="Q91" s="315"/>
      <c r="R91" s="315"/>
      <c r="S91" s="315"/>
      <c r="T91" s="315"/>
      <c r="U91" s="315"/>
      <c r="V91" s="315"/>
      <c r="W91" s="319"/>
      <c r="X91" s="319"/>
      <c r="Y91" s="290"/>
      <c r="Z91" s="290"/>
    </row>
    <row r="92" spans="2:26" ht="15">
      <c r="B92" s="254">
        <f t="shared" si="13"/>
        <v>7.0373380000000001</v>
      </c>
      <c r="C92" s="418"/>
      <c r="D92" s="418"/>
      <c r="E92" s="228">
        <f t="shared" si="14"/>
        <v>22.9</v>
      </c>
      <c r="F92" s="228">
        <f t="shared" si="15"/>
        <v>5.214072706540155E-2</v>
      </c>
      <c r="G92" s="254">
        <f t="shared" si="16"/>
        <v>0.17554803741233449</v>
      </c>
      <c r="H92" s="228">
        <f t="shared" si="17"/>
        <v>0.26006690541880745</v>
      </c>
      <c r="Q92" s="319"/>
      <c r="R92" s="319"/>
      <c r="S92" s="319"/>
      <c r="T92" s="319"/>
      <c r="U92" s="319"/>
      <c r="V92" s="319"/>
      <c r="W92" s="319"/>
      <c r="X92" s="319"/>
      <c r="Y92" s="290"/>
      <c r="Z92" s="290"/>
    </row>
    <row r="93" spans="2:26" ht="15">
      <c r="B93" s="254">
        <f t="shared" si="13"/>
        <v>8.0426719999999996</v>
      </c>
      <c r="C93" s="418"/>
      <c r="D93" s="418"/>
      <c r="E93" s="228">
        <f t="shared" si="14"/>
        <v>29.1</v>
      </c>
      <c r="F93" s="228">
        <f t="shared" si="15"/>
        <v>6.6257430463021197E-2</v>
      </c>
      <c r="G93" s="254">
        <f t="shared" si="16"/>
        <v>0.16143133401471482</v>
      </c>
      <c r="H93" s="228">
        <f t="shared" si="17"/>
        <v>0.34389975245000975</v>
      </c>
      <c r="Q93" s="319"/>
      <c r="R93" s="319"/>
      <c r="S93" s="319"/>
      <c r="T93" s="319"/>
      <c r="U93" s="319"/>
      <c r="V93" s="319"/>
      <c r="W93" s="319"/>
      <c r="X93" s="319"/>
      <c r="Y93" s="290"/>
      <c r="Z93" s="290"/>
    </row>
    <row r="94" spans="2:26" ht="15">
      <c r="B94" s="254">
        <f t="shared" si="13"/>
        <v>9.0480059999999991</v>
      </c>
      <c r="C94" s="418"/>
      <c r="D94" s="418"/>
      <c r="E94" s="228">
        <f t="shared" si="14"/>
        <v>35.299999999999997</v>
      </c>
      <c r="F94" s="228">
        <f t="shared" si="15"/>
        <v>8.0374133860640809E-2</v>
      </c>
      <c r="G94" s="254">
        <f t="shared" si="16"/>
        <v>0.14731463061709521</v>
      </c>
      <c r="H94" s="228">
        <f t="shared" si="17"/>
        <v>0.43540898448123655</v>
      </c>
      <c r="Q94" s="321"/>
      <c r="R94" s="321"/>
      <c r="S94" s="321"/>
      <c r="T94" s="321"/>
      <c r="U94" s="321"/>
      <c r="V94" s="321"/>
      <c r="W94" s="321"/>
      <c r="X94" s="319"/>
      <c r="Y94" s="290"/>
      <c r="Z94" s="290"/>
    </row>
    <row r="95" spans="2:26" ht="15">
      <c r="B95" s="254">
        <f t="shared" si="13"/>
        <v>10.053339999999999</v>
      </c>
      <c r="C95" s="418"/>
      <c r="D95" s="418"/>
      <c r="E95" s="228">
        <f t="shared" si="14"/>
        <v>41.4</v>
      </c>
      <c r="F95" s="228">
        <f t="shared" si="15"/>
        <v>9.4263148493782714E-2</v>
      </c>
      <c r="G95" s="254">
        <f t="shared" si="16"/>
        <v>0.13342561598395331</v>
      </c>
      <c r="H95" s="228">
        <f t="shared" si="17"/>
        <v>0.53443548940512453</v>
      </c>
      <c r="Q95" s="315"/>
      <c r="R95" s="315"/>
      <c r="S95" s="315"/>
      <c r="T95" s="315"/>
      <c r="U95" s="315"/>
      <c r="V95" s="315"/>
      <c r="W95" s="315"/>
      <c r="X95" s="319"/>
      <c r="Y95" s="290"/>
      <c r="Z95" s="290"/>
    </row>
    <row r="96" spans="2:26" ht="15">
      <c r="B96" s="254">
        <f t="shared" si="13"/>
        <v>11.058674</v>
      </c>
      <c r="C96" s="418"/>
      <c r="D96" s="418"/>
      <c r="E96" s="228">
        <f t="shared" si="14"/>
        <v>47.3</v>
      </c>
      <c r="F96" s="228">
        <f t="shared" si="15"/>
        <v>0.10769678559796914</v>
      </c>
      <c r="G96" s="254">
        <f t="shared" si="16"/>
        <v>0.1199919788797669</v>
      </c>
      <c r="H96" s="228">
        <f t="shared" si="17"/>
        <v>0.64055473044077471</v>
      </c>
      <c r="Q96" s="315"/>
      <c r="R96" s="315"/>
      <c r="S96" s="315"/>
      <c r="T96" s="315"/>
      <c r="U96" s="315"/>
      <c r="V96" s="315"/>
      <c r="W96" s="315"/>
      <c r="X96" s="319"/>
      <c r="Y96" s="290"/>
      <c r="Z96" s="290"/>
    </row>
    <row r="97" spans="2:26" ht="15">
      <c r="B97" s="254">
        <f t="shared" si="13"/>
        <v>12.064007999999999</v>
      </c>
      <c r="C97" s="418"/>
      <c r="D97" s="418"/>
      <c r="E97" s="228">
        <f t="shared" si="14"/>
        <v>53.3</v>
      </c>
      <c r="F97" s="228">
        <f t="shared" si="15"/>
        <v>0.12135811146663329</v>
      </c>
      <c r="G97" s="254">
        <f t="shared" si="16"/>
        <v>0.10633065301110274</v>
      </c>
      <c r="H97" s="228">
        <f t="shared" si="17"/>
        <v>0.76142602131323966</v>
      </c>
      <c r="Q97" s="315"/>
      <c r="R97" s="315"/>
      <c r="S97" s="315"/>
      <c r="T97" s="315"/>
      <c r="U97" s="315"/>
      <c r="V97" s="315"/>
      <c r="W97" s="315"/>
      <c r="X97" s="319"/>
      <c r="Y97" s="290"/>
      <c r="Z97" s="290"/>
    </row>
    <row r="98" spans="2:26" ht="15">
      <c r="B98" s="254">
        <f t="shared" si="13"/>
        <v>13.069341999999999</v>
      </c>
      <c r="C98" s="418"/>
      <c r="D98" s="418"/>
      <c r="E98" s="228">
        <f t="shared" si="14"/>
        <v>58.7</v>
      </c>
      <c r="F98" s="228">
        <f t="shared" si="15"/>
        <v>0.13365330474843107</v>
      </c>
      <c r="G98" s="254">
        <f t="shared" si="16"/>
        <v>9.4035459729304965E-2</v>
      </c>
      <c r="H98" s="228">
        <f t="shared" si="17"/>
        <v>0.88430768602110443</v>
      </c>
      <c r="Q98" s="315"/>
      <c r="R98" s="315"/>
      <c r="S98" s="315"/>
      <c r="T98" s="315"/>
      <c r="U98" s="315"/>
      <c r="V98" s="315"/>
      <c r="W98" s="315"/>
      <c r="X98" s="319"/>
      <c r="Y98" s="290"/>
      <c r="Z98" s="290"/>
    </row>
    <row r="99" spans="2:26" ht="15">
      <c r="B99" s="254">
        <f t="shared" si="13"/>
        <v>14.074676</v>
      </c>
      <c r="C99" s="418"/>
      <c r="D99" s="418"/>
      <c r="E99" s="228">
        <f t="shared" si="14"/>
        <v>63.9</v>
      </c>
      <c r="F99" s="228">
        <f t="shared" si="15"/>
        <v>0.14549312050127333</v>
      </c>
      <c r="G99" s="254">
        <f t="shared" si="16"/>
        <v>8.2195643976462701E-2</v>
      </c>
      <c r="H99" s="228">
        <f t="shared" si="17"/>
        <v>1.0188773206492563</v>
      </c>
      <c r="Q99" s="315"/>
      <c r="R99" s="315"/>
      <c r="S99" s="315"/>
      <c r="T99" s="315"/>
      <c r="U99" s="315"/>
      <c r="V99" s="315"/>
      <c r="W99" s="315"/>
      <c r="X99" s="319"/>
      <c r="Y99" s="290"/>
      <c r="Z99" s="290"/>
    </row>
    <row r="100" spans="2:26" ht="15">
      <c r="B100" s="254">
        <f t="shared" si="13"/>
        <v>15.08001</v>
      </c>
      <c r="C100" s="418"/>
      <c r="D100" s="418"/>
      <c r="E100" s="228">
        <f t="shared" si="14"/>
        <v>68.7</v>
      </c>
      <c r="F100" s="228">
        <f t="shared" si="15"/>
        <v>0.15642218119620466</v>
      </c>
      <c r="G100" s="254">
        <f t="shared" si="16"/>
        <v>7.1266583281531376E-2</v>
      </c>
      <c r="H100" s="228">
        <f t="shared" si="17"/>
        <v>1.1615520884419839</v>
      </c>
      <c r="Q100" s="315"/>
      <c r="R100" s="315"/>
      <c r="S100" s="315"/>
      <c r="T100" s="315"/>
      <c r="U100" s="315"/>
      <c r="V100" s="315"/>
      <c r="W100" s="315"/>
      <c r="X100" s="319"/>
      <c r="Y100" s="290"/>
      <c r="Z100" s="290"/>
    </row>
    <row r="101" spans="2:26">
      <c r="B101" s="254">
        <f t="shared" si="13"/>
        <v>16.085343999999999</v>
      </c>
      <c r="C101" s="418"/>
      <c r="D101" s="418"/>
      <c r="E101" s="228">
        <f t="shared" si="14"/>
        <v>73.2</v>
      </c>
      <c r="F101" s="228">
        <f t="shared" si="15"/>
        <v>0.16666817559770278</v>
      </c>
      <c r="G101" s="254">
        <f t="shared" si="16"/>
        <v>6.1020588880033255E-2</v>
      </c>
      <c r="H101" s="228">
        <f t="shared" si="17"/>
        <v>1.3167682984712803</v>
      </c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</row>
    <row r="102" spans="2:26">
      <c r="B102" s="254">
        <f t="shared" si="13"/>
        <v>17.090678</v>
      </c>
      <c r="C102" s="418"/>
      <c r="D102" s="418"/>
      <c r="E102" s="228">
        <f t="shared" si="14"/>
        <v>77.400000000000006</v>
      </c>
      <c r="F102" s="228">
        <f t="shared" si="15"/>
        <v>0.17623110370576769</v>
      </c>
      <c r="G102" s="254">
        <f t="shared" si="16"/>
        <v>5.1457660771968339E-2</v>
      </c>
      <c r="H102" s="228">
        <f t="shared" si="17"/>
        <v>1.4872202797098513</v>
      </c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</row>
    <row r="103" spans="2:26">
      <c r="B103" s="254">
        <f t="shared" si="13"/>
        <v>18.096011999999998</v>
      </c>
      <c r="C103" s="228"/>
      <c r="D103" s="228"/>
      <c r="E103" s="228">
        <f t="shared" si="14"/>
        <v>81.5</v>
      </c>
      <c r="F103" s="228">
        <f t="shared" si="15"/>
        <v>0.18556634304935485</v>
      </c>
      <c r="G103" s="254">
        <f t="shared" si="16"/>
        <v>4.2122421428381185E-2</v>
      </c>
      <c r="H103" s="228">
        <f t="shared" si="17"/>
        <v>1.6873994539038117</v>
      </c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</row>
    <row r="104" spans="2:26">
      <c r="B104" s="254">
        <f t="shared" si="13"/>
        <v>19.101345999999999</v>
      </c>
      <c r="C104" s="228"/>
      <c r="D104" s="228"/>
      <c r="E104" s="228">
        <f t="shared" si="14"/>
        <v>85</v>
      </c>
      <c r="F104" s="228">
        <f t="shared" si="15"/>
        <v>0.19353544980607562</v>
      </c>
      <c r="G104" s="254">
        <f t="shared" si="16"/>
        <v>3.4153314671660412E-2</v>
      </c>
      <c r="H104" s="228">
        <f t="shared" si="17"/>
        <v>1.8971199848858811</v>
      </c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</row>
    <row r="105" spans="2:26">
      <c r="B105" s="254">
        <f t="shared" si="13"/>
        <v>20.106679999999997</v>
      </c>
      <c r="C105" s="228"/>
      <c r="D105" s="228"/>
      <c r="E105" s="228">
        <f t="shared" si="14"/>
        <v>89</v>
      </c>
      <c r="F105" s="228">
        <f t="shared" si="15"/>
        <v>0.20264300038518507</v>
      </c>
      <c r="G105" s="254">
        <f t="shared" si="16"/>
        <v>2.5045764092550965E-2</v>
      </c>
      <c r="H105" s="228">
        <f t="shared" si="17"/>
        <v>2.2072749131897207</v>
      </c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</row>
    <row r="106" spans="2:26">
      <c r="B106" s="254">
        <f t="shared" si="13"/>
        <v>21.112013999999999</v>
      </c>
      <c r="C106" s="228"/>
      <c r="D106" s="228"/>
      <c r="E106" s="228">
        <f t="shared" si="14"/>
        <v>91.7</v>
      </c>
      <c r="F106" s="228">
        <f t="shared" si="15"/>
        <v>0.20879059702608396</v>
      </c>
      <c r="G106" s="254">
        <f t="shared" si="16"/>
        <v>1.889816745165207E-2</v>
      </c>
      <c r="H106" s="228">
        <f t="shared" si="17"/>
        <v>2.4889146711855403</v>
      </c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</row>
    <row r="107" spans="2:26">
      <c r="B107" s="254">
        <f t="shared" si="13"/>
        <v>22.117348</v>
      </c>
      <c r="C107" s="228"/>
      <c r="D107" s="228"/>
      <c r="E107" s="228">
        <f t="shared" si="14"/>
        <v>94.7</v>
      </c>
      <c r="F107" s="228">
        <f t="shared" si="15"/>
        <v>0.21562125996041603</v>
      </c>
      <c r="G107" s="254">
        <f t="shared" si="16"/>
        <v>1.2067504517319999E-2</v>
      </c>
      <c r="H107" s="228">
        <f t="shared" si="17"/>
        <v>2.9374633654300162</v>
      </c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</row>
    <row r="108" spans="2:26">
      <c r="B108" s="254">
        <f t="shared" si="13"/>
        <v>23.122681999999998</v>
      </c>
      <c r="C108" s="228"/>
      <c r="D108" s="228"/>
      <c r="E108" s="228">
        <f t="shared" si="14"/>
        <v>97.3</v>
      </c>
      <c r="F108" s="228">
        <f t="shared" si="15"/>
        <v>0.22154116783683717</v>
      </c>
      <c r="G108" s="254">
        <f t="shared" si="16"/>
        <v>6.1475966408988669E-3</v>
      </c>
      <c r="H108" s="228">
        <f t="shared" si="17"/>
        <v>3.611918412977809</v>
      </c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</row>
    <row r="109" spans="2:26">
      <c r="B109" s="254">
        <f t="shared" si="13"/>
        <v>24.128015999999999</v>
      </c>
      <c r="C109" s="235"/>
      <c r="D109" s="235"/>
      <c r="E109" s="228">
        <f t="shared" si="14"/>
        <v>99.7</v>
      </c>
      <c r="F109" s="228">
        <f t="shared" si="15"/>
        <v>0.22700569818430283</v>
      </c>
      <c r="G109" s="254">
        <f t="shared" si="16"/>
        <v>6.8306629343320435E-4</v>
      </c>
      <c r="H109" s="228">
        <f t="shared" si="17"/>
        <v>5.809142990314033</v>
      </c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</row>
    <row r="110" spans="2:26">
      <c r="B110" s="254">
        <f t="shared" si="13"/>
        <v>25.13335</v>
      </c>
      <c r="C110" s="235"/>
      <c r="D110" s="235"/>
      <c r="E110" s="228">
        <f t="shared" si="14"/>
        <v>100</v>
      </c>
      <c r="F110" s="228">
        <f t="shared" si="15"/>
        <v>0.22768876447773603</v>
      </c>
      <c r="G110" s="254">
        <f t="shared" si="16"/>
        <v>0</v>
      </c>
      <c r="H110" s="228" t="e">
        <f t="shared" si="17"/>
        <v>#DIV/0!</v>
      </c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</row>
    <row r="111" spans="2:26"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</row>
    <row r="112" spans="2:26"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</row>
    <row r="113" spans="2:26" ht="27" thickBot="1">
      <c r="B113" s="571" t="s">
        <v>486</v>
      </c>
      <c r="C113" s="572"/>
      <c r="D113" s="572"/>
      <c r="E113" s="572"/>
      <c r="F113" s="572"/>
      <c r="G113" s="572"/>
      <c r="H113" s="573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</row>
    <row r="114" spans="2:26" ht="14.25" thickBot="1">
      <c r="B114" s="415" t="s">
        <v>470</v>
      </c>
      <c r="C114" s="228"/>
      <c r="D114" s="415">
        <f>B20</f>
        <v>0.2</v>
      </c>
      <c r="E114" s="415" t="s">
        <v>419</v>
      </c>
      <c r="F114" s="416" t="s">
        <v>418</v>
      </c>
      <c r="G114" s="419">
        <f>SLOPE(H119:H136,B119:B136)</f>
        <v>9.0400913327190566E-2</v>
      </c>
      <c r="H114" s="397" t="s">
        <v>479</v>
      </c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</row>
    <row r="115" spans="2:26" ht="14.25" thickBot="1">
      <c r="B115" s="415" t="s">
        <v>398</v>
      </c>
      <c r="C115" s="228"/>
      <c r="D115" s="417">
        <v>100</v>
      </c>
      <c r="E115" s="415" t="s">
        <v>420</v>
      </c>
      <c r="F115" s="416" t="s">
        <v>418</v>
      </c>
      <c r="G115" s="420">
        <f>G114*60</f>
        <v>5.4240547996314339</v>
      </c>
      <c r="H115" s="397" t="s">
        <v>480</v>
      </c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</row>
    <row r="116" spans="2:26">
      <c r="B116" s="415"/>
      <c r="C116" s="228"/>
      <c r="D116" s="415"/>
      <c r="E116" s="415"/>
      <c r="F116" s="416"/>
      <c r="G116" s="415"/>
      <c r="H116" s="415" t="s">
        <v>442</v>
      </c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</row>
    <row r="117" spans="2:26">
      <c r="B117" s="228"/>
      <c r="C117" s="228"/>
      <c r="D117" s="228"/>
      <c r="E117" s="228"/>
      <c r="F117" s="228"/>
      <c r="G117" s="228"/>
      <c r="H117" s="254">
        <f>$C$16-F119</f>
        <v>0.22768876447773603</v>
      </c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</row>
    <row r="118" spans="2:26">
      <c r="B118" s="415" t="s">
        <v>424</v>
      </c>
      <c r="C118" s="415"/>
      <c r="D118" s="228"/>
      <c r="E118" s="415" t="s">
        <v>471</v>
      </c>
      <c r="F118" s="415" t="s">
        <v>428</v>
      </c>
      <c r="G118" s="415" t="s">
        <v>429</v>
      </c>
      <c r="H118" s="415" t="s">
        <v>430</v>
      </c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</row>
    <row r="119" spans="2:26">
      <c r="B119" s="254">
        <f>A30*2*$C$24</f>
        <v>0</v>
      </c>
      <c r="C119" s="228"/>
      <c r="D119" s="228"/>
      <c r="E119" s="228">
        <f>D30</f>
        <v>0</v>
      </c>
      <c r="F119" s="228">
        <f>(E119/100)*$C$16</f>
        <v>0</v>
      </c>
      <c r="G119" s="254">
        <f>$C$16-F119</f>
        <v>0.22768876447773603</v>
      </c>
      <c r="H119" s="228">
        <f>LN($H$117/G119)</f>
        <v>0</v>
      </c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</row>
    <row r="120" spans="2:26">
      <c r="B120" s="254">
        <f t="shared" ref="B120:B144" si="18">A31*2*$C$24</f>
        <v>1.0290779999999999</v>
      </c>
      <c r="C120" s="228"/>
      <c r="D120" s="228"/>
      <c r="E120" s="228">
        <f t="shared" ref="E120:E144" si="19">D31</f>
        <v>0.4</v>
      </c>
      <c r="F120" s="228">
        <f t="shared" ref="F120:F144" si="20">(E120/100)*$C$16</f>
        <v>9.1075505791094412E-4</v>
      </c>
      <c r="G120" s="254">
        <f t="shared" ref="G120:G144" si="21">$C$16-F120</f>
        <v>0.22677800941982509</v>
      </c>
      <c r="H120" s="228">
        <f t="shared" ref="H120:H144" si="22">LN($H$83/G120)</f>
        <v>4.0080213975388678E-3</v>
      </c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</row>
    <row r="121" spans="2:26">
      <c r="B121" s="254">
        <f t="shared" si="18"/>
        <v>2.0581559999999999</v>
      </c>
      <c r="C121" s="228"/>
      <c r="D121" s="228"/>
      <c r="E121" s="228">
        <f t="shared" si="19"/>
        <v>2.2999999999999998</v>
      </c>
      <c r="F121" s="228">
        <f t="shared" si="20"/>
        <v>5.2368415829879287E-3</v>
      </c>
      <c r="G121" s="254">
        <f t="shared" si="21"/>
        <v>0.22245192289474811</v>
      </c>
      <c r="H121" s="228">
        <f t="shared" si="22"/>
        <v>2.3268626939354269E-2</v>
      </c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</row>
    <row r="122" spans="2:26">
      <c r="B122" s="254">
        <f t="shared" si="18"/>
        <v>3.0872339999999996</v>
      </c>
      <c r="C122" s="418"/>
      <c r="D122" s="418"/>
      <c r="E122" s="228">
        <f t="shared" si="19"/>
        <v>5.9</v>
      </c>
      <c r="F122" s="228">
        <f t="shared" si="20"/>
        <v>1.3433637104186427E-2</v>
      </c>
      <c r="G122" s="254">
        <f t="shared" si="21"/>
        <v>0.2142551273735496</v>
      </c>
      <c r="H122" s="228">
        <f t="shared" si="22"/>
        <v>6.0812139396757538E-2</v>
      </c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</row>
    <row r="123" spans="2:26">
      <c r="B123" s="254">
        <f t="shared" si="18"/>
        <v>4.1163119999999997</v>
      </c>
      <c r="C123" s="418"/>
      <c r="D123" s="418"/>
      <c r="E123" s="228">
        <f t="shared" si="19"/>
        <v>10.4</v>
      </c>
      <c r="F123" s="228">
        <f t="shared" si="20"/>
        <v>2.3679631505684549E-2</v>
      </c>
      <c r="G123" s="254">
        <f t="shared" si="21"/>
        <v>0.20400913297205148</v>
      </c>
      <c r="H123" s="228">
        <f t="shared" si="22"/>
        <v>0.10981486600720661</v>
      </c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</row>
    <row r="124" spans="2:26">
      <c r="B124" s="254">
        <f t="shared" si="18"/>
        <v>5.1453899999999999</v>
      </c>
      <c r="C124" s="418"/>
      <c r="D124" s="418"/>
      <c r="E124" s="228">
        <f t="shared" si="19"/>
        <v>15.6</v>
      </c>
      <c r="F124" s="228">
        <f t="shared" si="20"/>
        <v>3.5519447258526821E-2</v>
      </c>
      <c r="G124" s="254">
        <f t="shared" si="21"/>
        <v>0.19216931721920921</v>
      </c>
      <c r="H124" s="228">
        <f t="shared" si="22"/>
        <v>0.16960278438617996</v>
      </c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</row>
    <row r="125" spans="2:26">
      <c r="B125" s="254">
        <f t="shared" si="18"/>
        <v>6.1744679999999992</v>
      </c>
      <c r="C125" s="418"/>
      <c r="D125" s="418"/>
      <c r="E125" s="228">
        <f t="shared" si="19"/>
        <v>21.3</v>
      </c>
      <c r="F125" s="228">
        <f t="shared" si="20"/>
        <v>4.8497706833757773E-2</v>
      </c>
      <c r="G125" s="254">
        <f t="shared" si="21"/>
        <v>0.17919105764397825</v>
      </c>
      <c r="H125" s="228">
        <f t="shared" si="22"/>
        <v>0.23952703056473384</v>
      </c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</row>
    <row r="126" spans="2:26">
      <c r="B126" s="254">
        <f t="shared" si="18"/>
        <v>7.2035459999999993</v>
      </c>
      <c r="C126" s="418"/>
      <c r="D126" s="418"/>
      <c r="E126" s="228">
        <f t="shared" si="19"/>
        <v>27.2</v>
      </c>
      <c r="F126" s="228">
        <f t="shared" si="20"/>
        <v>6.1931343937944208E-2</v>
      </c>
      <c r="G126" s="254">
        <f t="shared" si="21"/>
        <v>0.16575742053979181</v>
      </c>
      <c r="H126" s="228">
        <f t="shared" si="22"/>
        <v>0.31745423078545126</v>
      </c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</row>
    <row r="127" spans="2:26">
      <c r="B127" s="254">
        <f t="shared" si="18"/>
        <v>8.2326239999999995</v>
      </c>
      <c r="C127" s="418"/>
      <c r="D127" s="418"/>
      <c r="E127" s="228">
        <f t="shared" si="19"/>
        <v>33.4</v>
      </c>
      <c r="F127" s="228">
        <f t="shared" si="20"/>
        <v>7.604804733556382E-2</v>
      </c>
      <c r="G127" s="254">
        <f t="shared" si="21"/>
        <v>0.1516407171421722</v>
      </c>
      <c r="H127" s="228">
        <f t="shared" si="22"/>
        <v>0.40646560844174784</v>
      </c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</row>
    <row r="128" spans="2:26">
      <c r="B128" s="254">
        <f t="shared" si="18"/>
        <v>9.2617019999999997</v>
      </c>
      <c r="C128" s="418"/>
      <c r="D128" s="418"/>
      <c r="E128" s="228">
        <f t="shared" si="19"/>
        <v>39.5</v>
      </c>
      <c r="F128" s="228">
        <f t="shared" si="20"/>
        <v>8.9937061968705739E-2</v>
      </c>
      <c r="G128" s="254">
        <f t="shared" si="21"/>
        <v>0.13775170250903029</v>
      </c>
      <c r="H128" s="228">
        <f t="shared" si="22"/>
        <v>0.50252682095129564</v>
      </c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</row>
    <row r="129" spans="2:26">
      <c r="B129" s="254">
        <f t="shared" si="18"/>
        <v>10.29078</v>
      </c>
      <c r="C129" s="418"/>
      <c r="D129" s="418"/>
      <c r="E129" s="228">
        <f t="shared" si="19"/>
        <v>45.2</v>
      </c>
      <c r="F129" s="228">
        <f t="shared" si="20"/>
        <v>0.10291532154393669</v>
      </c>
      <c r="G129" s="254">
        <f t="shared" si="21"/>
        <v>0.12477344293379934</v>
      </c>
      <c r="H129" s="228">
        <f t="shared" si="22"/>
        <v>0.6014799920341215</v>
      </c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</row>
    <row r="130" spans="2:26">
      <c r="B130" s="254">
        <f t="shared" si="18"/>
        <v>11.319858</v>
      </c>
      <c r="C130" s="418"/>
      <c r="D130" s="418"/>
      <c r="E130" s="228">
        <f t="shared" si="19"/>
        <v>51.1</v>
      </c>
      <c r="F130" s="228">
        <f t="shared" si="20"/>
        <v>0.11634895864812311</v>
      </c>
      <c r="G130" s="254">
        <f t="shared" si="21"/>
        <v>0.11133980582961292</v>
      </c>
      <c r="H130" s="228">
        <f t="shared" si="22"/>
        <v>0.71539278950726504</v>
      </c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</row>
    <row r="131" spans="2:26">
      <c r="B131" s="254">
        <f t="shared" si="18"/>
        <v>12.348935999999998</v>
      </c>
      <c r="C131" s="418"/>
      <c r="D131" s="418"/>
      <c r="E131" s="228">
        <f t="shared" si="19"/>
        <v>56.1</v>
      </c>
      <c r="F131" s="228">
        <f t="shared" si="20"/>
        <v>0.12773339687200994</v>
      </c>
      <c r="G131" s="254">
        <f t="shared" si="21"/>
        <v>9.9955367605726098E-2</v>
      </c>
      <c r="H131" s="228">
        <f t="shared" si="22"/>
        <v>0.82325586590696587</v>
      </c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</row>
    <row r="132" spans="2:26">
      <c r="B132" s="254">
        <f t="shared" si="18"/>
        <v>13.378013999999999</v>
      </c>
      <c r="C132" s="418"/>
      <c r="D132" s="418"/>
      <c r="E132" s="228">
        <f t="shared" si="19"/>
        <v>61.3</v>
      </c>
      <c r="F132" s="228">
        <f t="shared" si="20"/>
        <v>0.13957321262485217</v>
      </c>
      <c r="G132" s="254">
        <f t="shared" si="21"/>
        <v>8.8115551852883861E-2</v>
      </c>
      <c r="H132" s="228">
        <f t="shared" si="22"/>
        <v>0.94933058595235509</v>
      </c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</row>
    <row r="133" spans="2:26">
      <c r="B133" s="254">
        <f t="shared" si="18"/>
        <v>14.407091999999999</v>
      </c>
      <c r="C133" s="418"/>
      <c r="D133" s="418"/>
      <c r="E133" s="228">
        <f t="shared" si="19"/>
        <v>66.3</v>
      </c>
      <c r="F133" s="228">
        <f t="shared" si="20"/>
        <v>0.15095765084873897</v>
      </c>
      <c r="G133" s="254">
        <f t="shared" si="21"/>
        <v>7.6731113628997066E-2</v>
      </c>
      <c r="H133" s="228">
        <f t="shared" si="22"/>
        <v>1.087672348629775</v>
      </c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</row>
    <row r="134" spans="2:26">
      <c r="B134" s="254">
        <f t="shared" si="18"/>
        <v>15.436169999999999</v>
      </c>
      <c r="C134" s="418"/>
      <c r="D134" s="418"/>
      <c r="E134" s="228">
        <f t="shared" si="19"/>
        <v>70.8</v>
      </c>
      <c r="F134" s="228">
        <f t="shared" si="20"/>
        <v>0.16120364525023712</v>
      </c>
      <c r="G134" s="254">
        <f t="shared" si="21"/>
        <v>6.6485119227498918E-2</v>
      </c>
      <c r="H134" s="228">
        <f t="shared" si="22"/>
        <v>1.2310014767138555</v>
      </c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</row>
    <row r="135" spans="2:26">
      <c r="B135" s="254">
        <f t="shared" si="18"/>
        <v>16.465247999999999</v>
      </c>
      <c r="C135" s="418"/>
      <c r="D135" s="418"/>
      <c r="E135" s="228">
        <f t="shared" si="19"/>
        <v>75.3</v>
      </c>
      <c r="F135" s="228">
        <f t="shared" si="20"/>
        <v>0.17144963965173524</v>
      </c>
      <c r="G135" s="254">
        <f t="shared" si="21"/>
        <v>5.6239124826000797E-2</v>
      </c>
      <c r="H135" s="228">
        <f t="shared" si="22"/>
        <v>1.3983669423541598</v>
      </c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</row>
    <row r="136" spans="2:26">
      <c r="B136" s="254">
        <f t="shared" si="18"/>
        <v>17.494325999999997</v>
      </c>
      <c r="C136" s="418"/>
      <c r="D136" s="418"/>
      <c r="E136" s="228">
        <f t="shared" si="19"/>
        <v>79.3</v>
      </c>
      <c r="F136" s="228">
        <f t="shared" si="20"/>
        <v>0.18055719023084466</v>
      </c>
      <c r="G136" s="254">
        <f t="shared" si="21"/>
        <v>4.7131574246891378E-2</v>
      </c>
      <c r="H136" s="228">
        <f t="shared" si="22"/>
        <v>1.5750364857167676</v>
      </c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</row>
    <row r="137" spans="2:26">
      <c r="B137" s="254">
        <f t="shared" si="18"/>
        <v>18.523403999999999</v>
      </c>
      <c r="C137" s="228"/>
      <c r="D137" s="228"/>
      <c r="E137" s="228">
        <f t="shared" si="19"/>
        <v>83.6</v>
      </c>
      <c r="F137" s="228">
        <f t="shared" si="20"/>
        <v>0.19034780710338731</v>
      </c>
      <c r="G137" s="254">
        <f t="shared" si="21"/>
        <v>3.7340957374348727E-2</v>
      </c>
      <c r="H137" s="228">
        <f t="shared" si="22"/>
        <v>1.8078888511579383</v>
      </c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</row>
    <row r="138" spans="2:26">
      <c r="B138" s="254">
        <f t="shared" si="18"/>
        <v>19.552481999999998</v>
      </c>
      <c r="C138" s="228"/>
      <c r="D138" s="228"/>
      <c r="E138" s="228">
        <f t="shared" si="19"/>
        <v>86.4</v>
      </c>
      <c r="F138" s="228">
        <f t="shared" si="20"/>
        <v>0.19672309250876396</v>
      </c>
      <c r="G138" s="254">
        <f t="shared" si="21"/>
        <v>3.0965671968972069E-2</v>
      </c>
      <c r="H138" s="228">
        <f t="shared" si="22"/>
        <v>1.995100393246086</v>
      </c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</row>
    <row r="139" spans="2:26">
      <c r="B139" s="254">
        <f t="shared" si="18"/>
        <v>20.58156</v>
      </c>
      <c r="C139" s="228"/>
      <c r="D139" s="228"/>
      <c r="E139" s="228">
        <f t="shared" si="19"/>
        <v>90</v>
      </c>
      <c r="F139" s="228">
        <f t="shared" si="20"/>
        <v>0.20491988802996244</v>
      </c>
      <c r="G139" s="254">
        <f t="shared" si="21"/>
        <v>2.2768876447773589E-2</v>
      </c>
      <c r="H139" s="228">
        <f t="shared" si="22"/>
        <v>2.3025850929940463</v>
      </c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</row>
    <row r="140" spans="2:26">
      <c r="B140" s="254">
        <f t="shared" si="18"/>
        <v>21.610637999999998</v>
      </c>
      <c r="C140" s="228"/>
      <c r="D140" s="228"/>
      <c r="E140" s="228">
        <f t="shared" si="19"/>
        <v>93.1</v>
      </c>
      <c r="F140" s="228">
        <f t="shared" si="20"/>
        <v>0.21197823972877222</v>
      </c>
      <c r="G140" s="254">
        <f t="shared" si="21"/>
        <v>1.5710524748963811E-2</v>
      </c>
      <c r="H140" s="228">
        <f t="shared" si="22"/>
        <v>2.6736487743848762</v>
      </c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</row>
    <row r="141" spans="2:26">
      <c r="B141" s="254">
        <f t="shared" si="18"/>
        <v>22.639716</v>
      </c>
      <c r="C141" s="228"/>
      <c r="D141" s="228"/>
      <c r="E141" s="228">
        <f t="shared" si="19"/>
        <v>95.9</v>
      </c>
      <c r="F141" s="228">
        <f t="shared" si="20"/>
        <v>0.21835352513414888</v>
      </c>
      <c r="G141" s="254">
        <f t="shared" si="21"/>
        <v>9.3352393435871539E-3</v>
      </c>
      <c r="H141" s="228">
        <f t="shared" si="22"/>
        <v>3.1941832122778315</v>
      </c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</row>
    <row r="142" spans="2:26">
      <c r="B142" s="254">
        <f t="shared" si="18"/>
        <v>23.668793999999998</v>
      </c>
      <c r="C142" s="228"/>
      <c r="D142" s="228"/>
      <c r="E142" s="228">
        <f t="shared" si="19"/>
        <v>98.5</v>
      </c>
      <c r="F142" s="228">
        <f t="shared" si="20"/>
        <v>0.22427343301056998</v>
      </c>
      <c r="G142" s="254">
        <f t="shared" si="21"/>
        <v>3.4153314671660495E-3</v>
      </c>
      <c r="H142" s="228">
        <f t="shared" si="22"/>
        <v>4.1997050778799245</v>
      </c>
    </row>
    <row r="143" spans="2:26">
      <c r="B143" s="254">
        <f t="shared" si="18"/>
        <v>24.697871999999997</v>
      </c>
      <c r="C143" s="235"/>
      <c r="D143" s="235"/>
      <c r="E143" s="228">
        <f t="shared" si="19"/>
        <v>100</v>
      </c>
      <c r="F143" s="228">
        <f t="shared" si="20"/>
        <v>0.22768876447773603</v>
      </c>
      <c r="G143" s="254">
        <f t="shared" si="21"/>
        <v>0</v>
      </c>
      <c r="H143" s="228" t="e">
        <f t="shared" si="22"/>
        <v>#DIV/0!</v>
      </c>
    </row>
    <row r="144" spans="2:26">
      <c r="B144" s="254">
        <f t="shared" si="18"/>
        <v>25.726949999999999</v>
      </c>
      <c r="C144" s="235"/>
      <c r="D144" s="235"/>
      <c r="E144" s="228">
        <f t="shared" si="19"/>
        <v>0</v>
      </c>
      <c r="F144" s="228">
        <f t="shared" si="20"/>
        <v>0</v>
      </c>
      <c r="G144" s="254">
        <f t="shared" si="21"/>
        <v>0.22768876447773603</v>
      </c>
      <c r="H144" s="228">
        <f t="shared" si="22"/>
        <v>0</v>
      </c>
    </row>
  </sheetData>
  <mergeCells count="31">
    <mergeCell ref="G26:G27"/>
    <mergeCell ref="F3:F4"/>
    <mergeCell ref="A23:A24"/>
    <mergeCell ref="B26:B27"/>
    <mergeCell ref="C26:C27"/>
    <mergeCell ref="D26:D27"/>
    <mergeCell ref="E26:E27"/>
    <mergeCell ref="F26:F27"/>
    <mergeCell ref="B79:H79"/>
    <mergeCell ref="B113:H113"/>
    <mergeCell ref="H28:H29"/>
    <mergeCell ref="G28:G29"/>
    <mergeCell ref="F28:F29"/>
    <mergeCell ref="E28:E29"/>
    <mergeCell ref="Q51:Q55"/>
    <mergeCell ref="Q41:Q45"/>
    <mergeCell ref="Q30:R30"/>
    <mergeCell ref="S30:V30"/>
    <mergeCell ref="W30:Z30"/>
    <mergeCell ref="Q31:R31"/>
    <mergeCell ref="Q32:Q36"/>
    <mergeCell ref="Q40:R40"/>
    <mergeCell ref="Q49:R49"/>
    <mergeCell ref="S49:V49"/>
    <mergeCell ref="W49:Z49"/>
    <mergeCell ref="Q50:R50"/>
    <mergeCell ref="N28:N29"/>
    <mergeCell ref="O28:O29"/>
    <mergeCell ref="Q39:R39"/>
    <mergeCell ref="S39:V39"/>
    <mergeCell ref="W39:Z39"/>
  </mergeCells>
  <phoneticPr fontId="4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'8'!_Ref16442907</vt:lpstr>
      <vt:lpstr>'2'!OLE_LINK1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Williams</dc:creator>
  <cp:lastModifiedBy>Rajesh Sharma</cp:lastModifiedBy>
  <dcterms:created xsi:type="dcterms:W3CDTF">2016-10-08T12:42:37Z</dcterms:created>
  <dcterms:modified xsi:type="dcterms:W3CDTF">2021-01-31T23:30:05Z</dcterms:modified>
</cp:coreProperties>
</file>