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uctcloud.sharepoint.com/sites/CeBERMineWaste-2013_Helene-Marie-Stander_S-Stream_Decision-Making/Shared Documents/2013_Helene-Marie-Stander_S-Stream_Decision-Making/Research Papers/Soil amelioration paper/"/>
    </mc:Choice>
  </mc:AlternateContent>
  <xr:revisionPtr revIDLastSave="225" documentId="8_{BC0443DC-E594-4A0D-BD6E-B260759E8CA5}" xr6:coauthVersionLast="47" xr6:coauthVersionMax="47" xr10:uidLastSave="{7506E936-088D-460F-9E16-CF73B260EADE}"/>
  <bookViews>
    <workbookView xWindow="-110" yWindow="-110" windowWidth="19420" windowHeight="10420" activeTab="1" xr2:uid="{CCCD8B47-96FD-4CB9-A789-3908305D7F50}"/>
  </bookViews>
  <sheets>
    <sheet name="Two-stage flotation process" sheetId="1" r:id="rId1"/>
    <sheet name="Flotation test results" sheetId="3" r:id="rId2"/>
    <sheet name="Major mineral content"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2" i="3" l="1"/>
  <c r="F21" i="3"/>
  <c r="F20" i="3"/>
  <c r="H22" i="3" l="1"/>
  <c r="H21" i="3"/>
  <c r="H20" i="3"/>
  <c r="I4" i="3"/>
  <c r="J4" i="3" s="1"/>
  <c r="I5" i="3"/>
  <c r="J5" i="3" s="1"/>
  <c r="E6" i="3"/>
  <c r="I6" i="3"/>
  <c r="J6" i="3" s="1"/>
  <c r="E7" i="3"/>
  <c r="I7" i="3"/>
  <c r="J7" i="3" s="1"/>
  <c r="E8" i="3"/>
  <c r="I8" i="3"/>
  <c r="J8" i="3" s="1"/>
  <c r="E9" i="3"/>
  <c r="I9" i="3"/>
  <c r="J9" i="3" s="1"/>
  <c r="E10" i="3"/>
  <c r="I10" i="3"/>
  <c r="J10" i="3" s="1"/>
  <c r="E11" i="3"/>
  <c r="I11" i="3"/>
  <c r="J11" i="3" s="1"/>
  <c r="E12" i="3"/>
  <c r="I12" i="3"/>
  <c r="J12" i="3" s="1"/>
  <c r="M12" i="3"/>
  <c r="E13" i="3"/>
  <c r="I13" i="3"/>
  <c r="J13" i="3" s="1"/>
  <c r="M13" i="3"/>
  <c r="E14" i="3"/>
  <c r="I14" i="3"/>
  <c r="J14" i="3" s="1"/>
  <c r="E15" i="3"/>
  <c r="I15" i="3"/>
  <c r="J15" i="3" s="1"/>
  <c r="E16" i="3"/>
  <c r="I16" i="3"/>
  <c r="J16" i="3" s="1"/>
  <c r="E17" i="3"/>
  <c r="I17" i="3"/>
  <c r="J17" i="3"/>
  <c r="I18" i="3"/>
  <c r="J18" i="3" s="1"/>
  <c r="I19" i="3"/>
  <c r="J19" i="3" s="1"/>
  <c r="G20" i="3"/>
  <c r="G21" i="3"/>
  <c r="G22" i="3"/>
  <c r="G27" i="3" s="1"/>
  <c r="M26" i="3"/>
  <c r="N26" i="3"/>
  <c r="D26" i="3"/>
  <c r="G29" i="3"/>
  <c r="Q6" i="2"/>
  <c r="Q8" i="2"/>
  <c r="R8" i="2"/>
  <c r="D9" i="2"/>
  <c r="E9" i="2"/>
  <c r="F9" i="2"/>
  <c r="G9" i="2"/>
  <c r="Q10" i="2"/>
  <c r="R10" i="2"/>
  <c r="Q11" i="2"/>
  <c r="D12" i="2"/>
  <c r="E12" i="2"/>
  <c r="F12" i="2"/>
  <c r="G12" i="2"/>
  <c r="D13" i="2"/>
  <c r="E13" i="2"/>
  <c r="F13" i="2"/>
  <c r="G13" i="2"/>
  <c r="D14" i="2"/>
  <c r="E14" i="2"/>
  <c r="F14" i="2"/>
  <c r="G14" i="2"/>
  <c r="D15" i="2"/>
  <c r="E15" i="2"/>
  <c r="F15" i="2"/>
  <c r="G15" i="2"/>
  <c r="D16" i="2"/>
  <c r="E16" i="2"/>
  <c r="F16" i="2"/>
  <c r="G16" i="2"/>
  <c r="D17" i="2"/>
  <c r="E17" i="2"/>
  <c r="F17" i="2"/>
  <c r="G17" i="2"/>
  <c r="D18" i="2"/>
  <c r="E18" i="2"/>
  <c r="F18" i="2"/>
  <c r="G18" i="2"/>
  <c r="D19" i="2"/>
  <c r="E19" i="2"/>
  <c r="F19" i="2"/>
  <c r="G19" i="2"/>
  <c r="Q20" i="2"/>
  <c r="K24" i="2"/>
  <c r="P7" i="2" s="1"/>
  <c r="L24" i="2"/>
  <c r="Q7" i="2" s="1"/>
  <c r="M24" i="2"/>
  <c r="R6" i="2" s="1"/>
  <c r="N24" i="2"/>
  <c r="S8" i="2" s="1"/>
  <c r="O24" i="2"/>
  <c r="T7" i="2" s="1"/>
  <c r="G28" i="3" l="1"/>
  <c r="M14" i="3"/>
  <c r="M27" i="3" s="1"/>
  <c r="G30" i="3"/>
  <c r="J20" i="3"/>
  <c r="J21" i="3"/>
  <c r="J22" i="3"/>
  <c r="T20" i="2"/>
  <c r="P20" i="2"/>
  <c r="T11" i="2"/>
  <c r="P11" i="2"/>
  <c r="S7" i="2"/>
  <c r="T6" i="2"/>
  <c r="P6" i="2"/>
  <c r="S20" i="2"/>
  <c r="S11" i="2"/>
  <c r="T10" i="2"/>
  <c r="P10" i="2"/>
  <c r="R7" i="2"/>
  <c r="D7" i="2" s="1"/>
  <c r="S6" i="2"/>
  <c r="R20" i="2"/>
  <c r="R11" i="2"/>
  <c r="S10" i="2"/>
  <c r="T8" i="2"/>
  <c r="P8" i="2"/>
  <c r="N27" i="3" l="1"/>
  <c r="F7" i="2"/>
  <c r="E11" i="2"/>
  <c r="F11" i="2"/>
  <c r="G11" i="2"/>
  <c r="D11" i="2"/>
  <c r="F10" i="2"/>
  <c r="G10" i="2"/>
  <c r="D10" i="2"/>
  <c r="E10" i="2"/>
  <c r="G8" i="2"/>
  <c r="D8" i="2"/>
  <c r="E8" i="2"/>
  <c r="F8" i="2"/>
  <c r="E20" i="2"/>
  <c r="F20" i="2"/>
  <c r="D20" i="2"/>
  <c r="E7" i="2"/>
  <c r="G7" i="2"/>
  <c r="E6" i="2"/>
  <c r="F6" i="2"/>
  <c r="G6" i="2"/>
  <c r="D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Helene-Marie</author>
  </authors>
  <commentList>
    <comment ref="I3" authorId="0" shapeId="0" xr:uid="{92ACEA65-109E-4E08-8175-D55DAC5CDE00}">
      <text>
        <r>
          <rPr>
            <b/>
            <sz val="9"/>
            <color indexed="81"/>
            <rFont val="Tahoma"/>
            <family val="2"/>
          </rPr>
          <t>Helene-Marie:</t>
        </r>
        <r>
          <rPr>
            <sz val="9"/>
            <color indexed="81"/>
            <rFont val="Tahoma"/>
            <family val="2"/>
          </rPr>
          <t xml:space="preserve">
Calculation from Moyo 2018 p. 59</t>
        </r>
      </text>
    </comment>
    <comment ref="M13" authorId="0" shapeId="0" xr:uid="{F637E75E-08FA-4DB7-9DEE-F4E1490D0F72}">
      <text>
        <r>
          <rPr>
            <b/>
            <sz val="9"/>
            <color indexed="81"/>
            <rFont val="Tahoma"/>
            <family val="2"/>
          </rPr>
          <t>Helene-Marie:</t>
        </r>
        <r>
          <rPr>
            <sz val="9"/>
            <color indexed="81"/>
            <rFont val="Tahoma"/>
            <family val="2"/>
          </rPr>
          <t xml:space="preserve">
I have taken 45% as the proportion of pyrite in the sulfide-enriched stream, based on Fundikwa's numbers. I realise that this is only one measurement, but it is all I have to go on. I have sanity-checked it with Iroala's feed sulfur speciation results below.</t>
        </r>
      </text>
    </comment>
    <comment ref="L27" authorId="0" shapeId="0" xr:uid="{34DAB3C5-D325-4C84-8881-3D9199F482D7}">
      <text>
        <r>
          <rPr>
            <b/>
            <sz val="9"/>
            <color indexed="81"/>
            <rFont val="Tahoma"/>
            <family val="2"/>
          </rPr>
          <t>Helene-Marie:</t>
        </r>
        <r>
          <rPr>
            <sz val="9"/>
            <color indexed="81"/>
            <rFont val="Tahoma"/>
            <family val="2"/>
          </rPr>
          <t xml:space="preserve">
The figures for the possible pyrite % in the sulfide-enriched stream, assuming that the proportion of pyrite will change like it did for Fundikwa's numbers, is between 50% and 39%, which is on average similar to Fundikwa's 45%, so it passed a cursory sanity check.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Helene-Marie</author>
  </authors>
  <commentList>
    <comment ref="H4" authorId="0" shapeId="0" xr:uid="{FFB9745E-A44E-4093-8941-E4881F8BA6A4}">
      <text>
        <r>
          <rPr>
            <b/>
            <sz val="9"/>
            <color indexed="81"/>
            <rFont val="Tahoma"/>
            <family val="2"/>
          </rPr>
          <t>Helene-Marie:</t>
        </r>
        <r>
          <rPr>
            <sz val="9"/>
            <color indexed="81"/>
            <rFont val="Tahoma"/>
            <family val="2"/>
          </rPr>
          <t xml:space="preserve">
X-ray diffraction results
It is assumed, but not stated, that these are mass % in mineral matter, since the numbers add up to high 90's and there is normally significant amounts of coal in fine coal waste.</t>
        </r>
      </text>
    </comment>
    <comment ref="J4" authorId="0" shapeId="0" xr:uid="{E5F9C4A7-390A-4000-A469-398A3C495230}">
      <text>
        <r>
          <rPr>
            <b/>
            <sz val="9"/>
            <color indexed="81"/>
            <rFont val="Tahoma"/>
            <family val="2"/>
          </rPr>
          <t>Helene-Marie:</t>
        </r>
        <r>
          <rPr>
            <sz val="9"/>
            <color indexed="81"/>
            <rFont val="Tahoma"/>
            <family val="2"/>
          </rPr>
          <t xml:space="preserve">
X-ray diffraction analyses
It is assumed, but not stated, that these are mass % in mineral matter figures, since the numbers add up to 99,91</t>
        </r>
      </text>
    </comment>
    <comment ref="K4" authorId="0" shapeId="0" xr:uid="{9A7981D1-7A72-4B60-95B9-A1CB92A34C29}">
      <text>
        <r>
          <rPr>
            <b/>
            <sz val="9"/>
            <color indexed="81"/>
            <rFont val="Tahoma"/>
            <family val="2"/>
          </rPr>
          <t>Helene-Marie:</t>
        </r>
        <r>
          <rPr>
            <sz val="9"/>
            <color indexed="81"/>
            <rFont val="Tahoma"/>
            <family val="2"/>
          </rPr>
          <t xml:space="preserve">
These figures are straight from the thesis and is clearly mass% of stream total, not mass% mineral matter, so I converted them.</t>
        </r>
      </text>
    </comment>
    <comment ref="L4" authorId="0" shapeId="0" xr:uid="{DA4D5553-B3B0-4248-84FD-DD4B159ABBEE}">
      <text>
        <r>
          <rPr>
            <b/>
            <sz val="9"/>
            <color indexed="81"/>
            <rFont val="Tahoma"/>
            <family val="2"/>
          </rPr>
          <t>Helene-Marie:</t>
        </r>
        <r>
          <rPr>
            <sz val="9"/>
            <color indexed="81"/>
            <rFont val="Tahoma"/>
            <family val="2"/>
          </rPr>
          <t xml:space="preserve">
These are QEMSCAN results</t>
        </r>
      </text>
    </comment>
    <comment ref="P4" authorId="0" shapeId="0" xr:uid="{02B8E60E-801D-4CAB-B59B-D121E1D5C219}">
      <text>
        <r>
          <rPr>
            <b/>
            <sz val="9"/>
            <color indexed="81"/>
            <rFont val="Tahoma"/>
            <family val="2"/>
          </rPr>
          <t>Helene-Marie:</t>
        </r>
        <r>
          <rPr>
            <sz val="9"/>
            <color indexed="81"/>
            <rFont val="Tahoma"/>
            <family val="2"/>
          </rPr>
          <t xml:space="preserve">
These figures were reworked to be mass % in mineral matter</t>
        </r>
      </text>
    </comment>
    <comment ref="Q4" authorId="0" shapeId="0" xr:uid="{84893F1D-11DA-4505-938B-1B922FEB5745}">
      <text>
        <r>
          <rPr>
            <b/>
            <sz val="9"/>
            <color indexed="81"/>
            <rFont val="Tahoma"/>
            <family val="2"/>
          </rPr>
          <t>Helene-Marie:</t>
        </r>
        <r>
          <rPr>
            <sz val="9"/>
            <color indexed="81"/>
            <rFont val="Tahoma"/>
            <family val="2"/>
          </rPr>
          <t xml:space="preserve">
These are QEMSCAN results</t>
        </r>
      </text>
    </comment>
    <comment ref="U5" authorId="0" shapeId="0" xr:uid="{0283709C-1443-495B-9BA7-02A84A96422C}">
      <text>
        <r>
          <rPr>
            <b/>
            <sz val="9"/>
            <color indexed="81"/>
            <rFont val="Tahoma"/>
            <family val="2"/>
          </rPr>
          <t>Helene-Marie:</t>
        </r>
        <r>
          <rPr>
            <sz val="9"/>
            <color indexed="81"/>
            <rFont val="Tahoma"/>
            <family val="2"/>
          </rPr>
          <t xml:space="preserve">
QEMSCAN results</t>
        </r>
      </text>
    </comment>
    <comment ref="V5" authorId="0" shapeId="0" xr:uid="{9B14C63C-E4EB-4C8A-B342-BEF8CBD174C0}">
      <text>
        <r>
          <rPr>
            <b/>
            <sz val="9"/>
            <color indexed="81"/>
            <rFont val="Tahoma"/>
            <family val="2"/>
          </rPr>
          <t>Helene-Marie:</t>
        </r>
        <r>
          <rPr>
            <sz val="9"/>
            <color indexed="81"/>
            <rFont val="Tahoma"/>
            <family val="2"/>
          </rPr>
          <t xml:space="preserve">
QEMSCAN results</t>
        </r>
      </text>
    </comment>
    <comment ref="W5" authorId="0" shapeId="0" xr:uid="{9B2B8583-49B8-472D-8726-38FF9A897A48}">
      <text>
        <r>
          <rPr>
            <b/>
            <sz val="9"/>
            <color indexed="81"/>
            <rFont val="Tahoma"/>
            <family val="2"/>
          </rPr>
          <t>Helene-Marie:</t>
        </r>
        <r>
          <rPr>
            <sz val="9"/>
            <color indexed="81"/>
            <rFont val="Tahoma"/>
            <family val="2"/>
          </rPr>
          <t xml:space="preserve">
QEMSCAN results</t>
        </r>
      </text>
    </comment>
    <comment ref="X5" authorId="0" shapeId="0" xr:uid="{2B1A0EA5-CF4D-4573-B7C9-FB83B7A3788C}">
      <text>
        <r>
          <rPr>
            <b/>
            <sz val="9"/>
            <color indexed="81"/>
            <rFont val="Tahoma"/>
            <family val="2"/>
          </rPr>
          <t>Helene-Marie:</t>
        </r>
        <r>
          <rPr>
            <sz val="9"/>
            <color indexed="81"/>
            <rFont val="Tahoma"/>
            <family val="2"/>
          </rPr>
          <t xml:space="preserve">
QXRD results</t>
        </r>
      </text>
    </comment>
    <comment ref="Y5" authorId="0" shapeId="0" xr:uid="{303B16D1-87B9-4CDC-AC07-4844B69F13E7}">
      <text>
        <r>
          <rPr>
            <b/>
            <sz val="9"/>
            <color indexed="81"/>
            <rFont val="Tahoma"/>
            <family val="2"/>
          </rPr>
          <t>Helene-Marie:</t>
        </r>
        <r>
          <rPr>
            <sz val="9"/>
            <color indexed="81"/>
            <rFont val="Tahoma"/>
            <family val="2"/>
          </rPr>
          <t xml:space="preserve">
QXRD results</t>
        </r>
      </text>
    </comment>
    <comment ref="Z5" authorId="0" shapeId="0" xr:uid="{09134E54-C134-4205-8232-3CF7F2C06D84}">
      <text>
        <r>
          <rPr>
            <b/>
            <sz val="9"/>
            <color indexed="81"/>
            <rFont val="Tahoma"/>
            <family val="2"/>
          </rPr>
          <t>Helene-Marie:</t>
        </r>
        <r>
          <rPr>
            <sz val="9"/>
            <color indexed="81"/>
            <rFont val="Tahoma"/>
            <family val="2"/>
          </rPr>
          <t xml:space="preserve">
QXRD results</t>
        </r>
      </text>
    </comment>
    <comment ref="B22" authorId="0" shapeId="0" xr:uid="{491F181C-1555-458C-B80C-B110CCEE6BA5}">
      <text>
        <r>
          <rPr>
            <b/>
            <sz val="9"/>
            <color indexed="81"/>
            <rFont val="Tahoma"/>
            <family val="2"/>
          </rPr>
          <t>Helene-Marie:</t>
        </r>
        <r>
          <rPr>
            <sz val="9"/>
            <color indexed="81"/>
            <rFont val="Tahoma"/>
            <family val="2"/>
          </rPr>
          <t xml:space="preserve">
These were added to convert the numbers in Kotelo (2013) so that they are on the same basis as the other results.</t>
        </r>
      </text>
    </comment>
    <comment ref="B23" authorId="0" shapeId="0" xr:uid="{71F52942-6D39-4CD8-8D75-CE8F1CA13A1D}">
      <text>
        <r>
          <rPr>
            <b/>
            <sz val="9"/>
            <color indexed="81"/>
            <rFont val="Tahoma"/>
            <family val="2"/>
          </rPr>
          <t>Helene-Marie:</t>
        </r>
        <r>
          <rPr>
            <sz val="9"/>
            <color indexed="81"/>
            <rFont val="Tahoma"/>
            <family val="2"/>
          </rPr>
          <t xml:space="preserve">
Helene-Marie:
These were added to convert the numbers in Kotelo (2013) so that they are on the same basis as the other results.</t>
        </r>
      </text>
    </comment>
  </commentList>
</comments>
</file>

<file path=xl/sharedStrings.xml><?xml version="1.0" encoding="utf-8"?>
<sst xmlns="http://schemas.openxmlformats.org/spreadsheetml/2006/main" count="277" uniqueCount="135">
  <si>
    <t>Total</t>
  </si>
  <si>
    <t>coal</t>
  </si>
  <si>
    <t>sulfate minerals (Gypsum + epsomite + jarosite)</t>
  </si>
  <si>
    <t>no mention</t>
  </si>
  <si>
    <t>Chalcopyrite</t>
  </si>
  <si>
    <t>&lt;2</t>
  </si>
  <si>
    <t>Pyrite</t>
  </si>
  <si>
    <r>
      <t>Ca</t>
    </r>
    <r>
      <rPr>
        <vertAlign val="subscript"/>
        <sz val="11"/>
        <color theme="1"/>
        <rFont val="Calibri"/>
        <family val="2"/>
        <scheme val="minor"/>
      </rPr>
      <t>5</t>
    </r>
    <r>
      <rPr>
        <sz val="11"/>
        <color theme="1"/>
        <rFont val="Calibri"/>
        <family val="2"/>
        <scheme val="minor"/>
      </rPr>
      <t>(PO</t>
    </r>
    <r>
      <rPr>
        <vertAlign val="subscript"/>
        <sz val="11"/>
        <color theme="1"/>
        <rFont val="Calibri"/>
        <family val="2"/>
        <scheme val="minor"/>
      </rPr>
      <t>4</t>
    </r>
    <r>
      <rPr>
        <sz val="11"/>
        <color theme="1"/>
        <rFont val="Calibri"/>
        <family val="2"/>
        <scheme val="minor"/>
      </rPr>
      <t>)</t>
    </r>
    <r>
      <rPr>
        <vertAlign val="subscript"/>
        <sz val="11"/>
        <color theme="1"/>
        <rFont val="Calibri"/>
        <family val="2"/>
        <scheme val="minor"/>
      </rPr>
      <t>3</t>
    </r>
    <r>
      <rPr>
        <sz val="11"/>
        <color theme="1"/>
        <rFont val="Calibri"/>
        <family val="2"/>
        <scheme val="minor"/>
      </rPr>
      <t>(OH,F,Cl)</t>
    </r>
  </si>
  <si>
    <t>Apatite</t>
  </si>
  <si>
    <r>
      <t>NaCa</t>
    </r>
    <r>
      <rPr>
        <vertAlign val="subscript"/>
        <sz val="11"/>
        <color theme="1"/>
        <rFont val="Calibri"/>
        <family val="2"/>
        <scheme val="minor"/>
      </rPr>
      <t>2</t>
    </r>
    <r>
      <rPr>
        <sz val="11"/>
        <color theme="1"/>
        <rFont val="Calibri"/>
        <family val="2"/>
        <scheme val="minor"/>
      </rPr>
      <t>(Mg,Fe,Al)</t>
    </r>
    <r>
      <rPr>
        <vertAlign val="subscript"/>
        <sz val="11"/>
        <color theme="1"/>
        <rFont val="Calibri"/>
        <family val="2"/>
        <scheme val="minor"/>
      </rPr>
      <t>5</t>
    </r>
    <r>
      <rPr>
        <sz val="11"/>
        <color theme="1"/>
        <rFont val="Calibri"/>
        <family val="2"/>
        <scheme val="minor"/>
      </rPr>
      <t>(Al,Si)</t>
    </r>
    <r>
      <rPr>
        <vertAlign val="subscript"/>
        <sz val="11"/>
        <color theme="1"/>
        <rFont val="Calibri"/>
        <family val="2"/>
        <scheme val="minor"/>
      </rPr>
      <t>8</t>
    </r>
    <r>
      <rPr>
        <sz val="11"/>
        <color theme="1"/>
        <rFont val="Calibri"/>
        <family val="2"/>
        <scheme val="minor"/>
      </rPr>
      <t>O</t>
    </r>
    <r>
      <rPr>
        <vertAlign val="subscript"/>
        <sz val="11"/>
        <color theme="1"/>
        <rFont val="Calibri"/>
        <family val="2"/>
        <scheme val="minor"/>
      </rPr>
      <t>22</t>
    </r>
    <r>
      <rPr>
        <sz val="11"/>
        <color theme="1"/>
        <rFont val="Calibri"/>
        <family val="2"/>
        <scheme val="minor"/>
      </rPr>
      <t>(OH)</t>
    </r>
    <r>
      <rPr>
        <vertAlign val="subscript"/>
        <sz val="11"/>
        <color theme="1"/>
        <rFont val="Calibri"/>
        <family val="2"/>
        <scheme val="minor"/>
      </rPr>
      <t>2</t>
    </r>
  </si>
  <si>
    <t>Amphibole</t>
  </si>
  <si>
    <r>
      <t>MgSO</t>
    </r>
    <r>
      <rPr>
        <vertAlign val="subscript"/>
        <sz val="11"/>
        <color theme="1"/>
        <rFont val="Calibri"/>
        <family val="2"/>
        <scheme val="minor"/>
      </rPr>
      <t>4</t>
    </r>
    <r>
      <rPr>
        <sz val="11"/>
        <color theme="1"/>
        <rFont val="Calibri"/>
        <family val="2"/>
        <scheme val="minor"/>
      </rPr>
      <t>.7H</t>
    </r>
    <r>
      <rPr>
        <vertAlign val="subscript"/>
        <sz val="11"/>
        <color theme="1"/>
        <rFont val="Calibri"/>
        <family val="2"/>
        <scheme val="minor"/>
      </rPr>
      <t>2</t>
    </r>
    <r>
      <rPr>
        <sz val="11"/>
        <color theme="1"/>
        <rFont val="Calibri"/>
        <family val="2"/>
        <scheme val="minor"/>
      </rPr>
      <t>O</t>
    </r>
  </si>
  <si>
    <t>Epsomite</t>
  </si>
  <si>
    <r>
      <t>KAl</t>
    </r>
    <r>
      <rPr>
        <vertAlign val="subscript"/>
        <sz val="11"/>
        <color theme="1"/>
        <rFont val="Calibri"/>
        <family val="2"/>
        <scheme val="minor"/>
      </rPr>
      <t>2</t>
    </r>
    <r>
      <rPr>
        <sz val="11"/>
        <color theme="1"/>
        <rFont val="Calibri"/>
        <family val="2"/>
        <scheme val="minor"/>
      </rPr>
      <t>[AlSi</t>
    </r>
    <r>
      <rPr>
        <vertAlign val="subscript"/>
        <sz val="11"/>
        <color theme="1"/>
        <rFont val="Calibri"/>
        <family val="2"/>
        <scheme val="minor"/>
      </rPr>
      <t>3</t>
    </r>
    <r>
      <rPr>
        <sz val="11"/>
        <color theme="1"/>
        <rFont val="Calibri"/>
        <family val="2"/>
        <scheme val="minor"/>
      </rPr>
      <t>O</t>
    </r>
    <r>
      <rPr>
        <vertAlign val="subscript"/>
        <sz val="11"/>
        <color theme="1"/>
        <rFont val="Calibri"/>
        <family val="2"/>
        <scheme val="minor"/>
      </rPr>
      <t>10</t>
    </r>
    <r>
      <rPr>
        <sz val="11"/>
        <color theme="1"/>
        <rFont val="Calibri"/>
        <family val="2"/>
        <scheme val="minor"/>
      </rPr>
      <t>](OH)</t>
    </r>
    <r>
      <rPr>
        <vertAlign val="subscript"/>
        <sz val="11"/>
        <color theme="1"/>
        <rFont val="Calibri"/>
        <family val="2"/>
        <scheme val="minor"/>
      </rPr>
      <t>2</t>
    </r>
  </si>
  <si>
    <t>Muscovite</t>
  </si>
  <si>
    <r>
      <t>TiO</t>
    </r>
    <r>
      <rPr>
        <vertAlign val="subscript"/>
        <sz val="11"/>
        <color theme="1"/>
        <rFont val="Calibri"/>
        <family val="2"/>
        <scheme val="minor"/>
      </rPr>
      <t>2</t>
    </r>
  </si>
  <si>
    <t>Rutile</t>
  </si>
  <si>
    <r>
      <t>KFe</t>
    </r>
    <r>
      <rPr>
        <vertAlign val="superscript"/>
        <sz val="11"/>
        <color theme="1"/>
        <rFont val="Calibri"/>
        <family val="2"/>
        <scheme val="minor"/>
      </rPr>
      <t>3+</t>
    </r>
    <r>
      <rPr>
        <vertAlign val="subscript"/>
        <sz val="11"/>
        <color theme="1"/>
        <rFont val="Calibri"/>
        <family val="2"/>
        <scheme val="minor"/>
      </rPr>
      <t>3</t>
    </r>
    <r>
      <rPr>
        <sz val="11"/>
        <color theme="1"/>
        <rFont val="Calibri"/>
        <family val="2"/>
        <scheme val="minor"/>
      </rPr>
      <t>(OH)</t>
    </r>
    <r>
      <rPr>
        <vertAlign val="subscript"/>
        <sz val="11"/>
        <color theme="1"/>
        <rFont val="Calibri"/>
        <family val="2"/>
        <scheme val="minor"/>
      </rPr>
      <t>6</t>
    </r>
    <r>
      <rPr>
        <sz val="11"/>
        <color theme="1"/>
        <rFont val="Calibri"/>
        <family val="2"/>
        <scheme val="minor"/>
      </rPr>
      <t>(SO</t>
    </r>
    <r>
      <rPr>
        <vertAlign val="subscript"/>
        <sz val="11"/>
        <color theme="1"/>
        <rFont val="Calibri"/>
        <family val="2"/>
        <scheme val="minor"/>
      </rPr>
      <t>4</t>
    </r>
    <r>
      <rPr>
        <sz val="11"/>
        <color theme="1"/>
        <rFont val="Calibri"/>
        <family val="2"/>
        <scheme val="minor"/>
      </rPr>
      <t>)</t>
    </r>
    <r>
      <rPr>
        <vertAlign val="subscript"/>
        <sz val="11"/>
        <color theme="1"/>
        <rFont val="Calibri"/>
        <family val="2"/>
        <scheme val="minor"/>
      </rPr>
      <t>2</t>
    </r>
  </si>
  <si>
    <t>Jarosite</t>
  </si>
  <si>
    <r>
      <t>KAlSi</t>
    </r>
    <r>
      <rPr>
        <vertAlign val="subscript"/>
        <sz val="11"/>
        <color theme="1"/>
        <rFont val="Calibri"/>
        <family val="2"/>
        <scheme val="minor"/>
      </rPr>
      <t>3</t>
    </r>
    <r>
      <rPr>
        <sz val="11"/>
        <color theme="1"/>
        <rFont val="Calibri"/>
        <family val="2"/>
        <scheme val="minor"/>
      </rPr>
      <t>O</t>
    </r>
    <r>
      <rPr>
        <vertAlign val="subscript"/>
        <sz val="11"/>
        <color theme="1"/>
        <rFont val="Calibri"/>
        <family val="2"/>
        <scheme val="minor"/>
      </rPr>
      <t>8</t>
    </r>
  </si>
  <si>
    <t>K-feldspar</t>
  </si>
  <si>
    <t>FeOOH</t>
  </si>
  <si>
    <t>Iron-oxyhydroxide</t>
  </si>
  <si>
    <t>not detectable</t>
  </si>
  <si>
    <r>
      <t>FeCO</t>
    </r>
    <r>
      <rPr>
        <vertAlign val="subscript"/>
        <sz val="11"/>
        <color theme="1"/>
        <rFont val="Calibri"/>
        <family val="2"/>
        <scheme val="minor"/>
      </rPr>
      <t>3</t>
    </r>
  </si>
  <si>
    <t>Siderite</t>
  </si>
  <si>
    <r>
      <t>CaMg(CO</t>
    </r>
    <r>
      <rPr>
        <vertAlign val="subscript"/>
        <sz val="11"/>
        <color theme="1"/>
        <rFont val="Calibri"/>
        <family val="2"/>
        <scheme val="minor"/>
      </rPr>
      <t>3</t>
    </r>
    <r>
      <rPr>
        <sz val="11"/>
        <color theme="1"/>
        <rFont val="Calibri"/>
        <family val="2"/>
        <scheme val="minor"/>
      </rPr>
      <t>)</t>
    </r>
    <r>
      <rPr>
        <vertAlign val="subscript"/>
        <sz val="11"/>
        <color theme="1"/>
        <rFont val="Calibri"/>
        <family val="2"/>
        <scheme val="minor"/>
      </rPr>
      <t>2</t>
    </r>
  </si>
  <si>
    <t>Dolomite</t>
  </si>
  <si>
    <r>
      <t>CaSO</t>
    </r>
    <r>
      <rPr>
        <vertAlign val="subscript"/>
        <sz val="11"/>
        <color theme="1"/>
        <rFont val="Calibri"/>
        <family val="2"/>
        <scheme val="minor"/>
      </rPr>
      <t>4</t>
    </r>
    <r>
      <rPr>
        <sz val="11"/>
        <color theme="1"/>
        <rFont val="Calibri"/>
        <family val="2"/>
        <scheme val="minor"/>
      </rPr>
      <t>.2H</t>
    </r>
    <r>
      <rPr>
        <vertAlign val="subscript"/>
        <sz val="11"/>
        <color theme="1"/>
        <rFont val="Calibri"/>
        <family val="2"/>
        <scheme val="minor"/>
      </rPr>
      <t>2</t>
    </r>
    <r>
      <rPr>
        <sz val="11"/>
        <color theme="1"/>
        <rFont val="Calibri"/>
        <family val="2"/>
        <scheme val="minor"/>
      </rPr>
      <t>O</t>
    </r>
  </si>
  <si>
    <t>Gypsum</t>
  </si>
  <si>
    <r>
      <t>CaCO</t>
    </r>
    <r>
      <rPr>
        <vertAlign val="subscript"/>
        <sz val="11"/>
        <color theme="1"/>
        <rFont val="Calibri"/>
        <family val="2"/>
        <scheme val="minor"/>
      </rPr>
      <t>3</t>
    </r>
  </si>
  <si>
    <t>Calcite</t>
  </si>
  <si>
    <r>
      <t>SiO</t>
    </r>
    <r>
      <rPr>
        <vertAlign val="subscript"/>
        <sz val="11"/>
        <color theme="1"/>
        <rFont val="Calibri"/>
        <family val="2"/>
        <scheme val="minor"/>
      </rPr>
      <t>2</t>
    </r>
  </si>
  <si>
    <t>Quartz</t>
  </si>
  <si>
    <r>
      <t>Al</t>
    </r>
    <r>
      <rPr>
        <vertAlign val="subscript"/>
        <sz val="11"/>
        <color theme="1"/>
        <rFont val="Calibri"/>
        <family val="2"/>
        <scheme val="minor"/>
      </rPr>
      <t>2</t>
    </r>
    <r>
      <rPr>
        <sz val="11"/>
        <color theme="1"/>
        <rFont val="Calibri"/>
        <family val="2"/>
        <scheme val="minor"/>
      </rPr>
      <t>Si</t>
    </r>
    <r>
      <rPr>
        <vertAlign val="subscript"/>
        <sz val="11"/>
        <color theme="1"/>
        <rFont val="Calibri"/>
        <family val="2"/>
        <scheme val="minor"/>
      </rPr>
      <t>2</t>
    </r>
    <r>
      <rPr>
        <sz val="11"/>
        <color theme="1"/>
        <rFont val="Calibri"/>
        <family val="2"/>
        <scheme val="minor"/>
      </rPr>
      <t>O</t>
    </r>
    <r>
      <rPr>
        <vertAlign val="subscript"/>
        <sz val="11"/>
        <color theme="1"/>
        <rFont val="Calibri"/>
        <family val="2"/>
        <scheme val="minor"/>
      </rPr>
      <t>5</t>
    </r>
    <r>
      <rPr>
        <sz val="11"/>
        <color theme="1"/>
        <rFont val="Calibri"/>
        <family val="2"/>
        <scheme val="minor"/>
      </rPr>
      <t>(OH)</t>
    </r>
    <r>
      <rPr>
        <vertAlign val="subscript"/>
        <sz val="11"/>
        <color theme="1"/>
        <rFont val="Calibri"/>
        <family val="2"/>
        <scheme val="minor"/>
      </rPr>
      <t>4</t>
    </r>
  </si>
  <si>
    <t>Kaolinite</t>
  </si>
  <si>
    <t>Sample C</t>
  </si>
  <si>
    <t>Sample B</t>
  </si>
  <si>
    <t>Sample A</t>
  </si>
  <si>
    <t>+212 -355</t>
  </si>
  <si>
    <t>+180 -212</t>
  </si>
  <si>
    <t>+106 -180</t>
  </si>
  <si>
    <t>+75 -106</t>
  </si>
  <si>
    <t>Waterberg</t>
  </si>
  <si>
    <t>Witbank</t>
  </si>
  <si>
    <t>content std dev</t>
  </si>
  <si>
    <t>Min content</t>
  </si>
  <si>
    <t>Max content</t>
  </si>
  <si>
    <t>Content avg</t>
  </si>
  <si>
    <t>Chemical formula</t>
  </si>
  <si>
    <t>Mineral</t>
  </si>
  <si>
    <t>Moyo (2018)</t>
  </si>
  <si>
    <t>Kotelo (2013)</t>
  </si>
  <si>
    <t>Kazadi-Mbamba (2011)</t>
  </si>
  <si>
    <t>Iroala (2014)</t>
  </si>
  <si>
    <t>Everything, except Kotelo (2013)'s first numbers in mass % of mineral matter.</t>
  </si>
  <si>
    <t>These are measurements of the feed stream to the two-stage flotation process, not the sulfide-enriched material. It is used to get an idea of what minerals might be present in the material.</t>
  </si>
  <si>
    <t>Major mineral components present in coal tailings waste</t>
  </si>
  <si>
    <t>Max FeS2</t>
  </si>
  <si>
    <t>Max S</t>
  </si>
  <si>
    <t>Pyrite as probable % of sulfur in sulfide-rich stream</t>
  </si>
  <si>
    <t>Min FeS2</t>
  </si>
  <si>
    <t>Pyrite as % of sulfur in feed</t>
  </si>
  <si>
    <t>This table uses the data on this spreadsheet to show how much pyrite is likely to be in our material.</t>
  </si>
  <si>
    <t>Min S</t>
  </si>
  <si>
    <t>S</t>
  </si>
  <si>
    <t>Fe</t>
  </si>
  <si>
    <t>FeS2</t>
  </si>
  <si>
    <t xml:space="preserve">Organic </t>
  </si>
  <si>
    <t>Calculation of min &amp; max pyrite expected in s-enriched material</t>
  </si>
  <si>
    <t>Pyrite composition</t>
  </si>
  <si>
    <t>Sulfate</t>
  </si>
  <si>
    <t xml:space="preserve">Sulfide </t>
  </si>
  <si>
    <t>MIN</t>
  </si>
  <si>
    <t>Average %</t>
  </si>
  <si>
    <t xml:space="preserve">Forms of Sulfur </t>
  </si>
  <si>
    <t>MAX</t>
  </si>
  <si>
    <t xml:space="preserve">MAX </t>
  </si>
  <si>
    <t>Average</t>
  </si>
  <si>
    <t>These numbers give a sense of how much sulfur and coal can be expected in the sulfide-enriched stream</t>
  </si>
  <si>
    <t>Iroala, 2014</t>
  </si>
  <si>
    <t>These results were used to give an indication of the variability of sulfur speciation of different coals (Iroala, 2014: 49)</t>
  </si>
  <si>
    <t>Sulfur speciation in feed stream</t>
  </si>
  <si>
    <t>Change in proportion</t>
  </si>
  <si>
    <t>Pyrite as % of sulfur in sulfide concentrate</t>
  </si>
  <si>
    <t>Fixed Carbon and Volatile matter</t>
  </si>
  <si>
    <t xml:space="preserve">Ash </t>
  </si>
  <si>
    <t xml:space="preserve"> Total Sulfur</t>
  </si>
  <si>
    <t>Organic Sulfur</t>
  </si>
  <si>
    <t>Sulfates</t>
  </si>
  <si>
    <t>Sulfide Sulfur</t>
  </si>
  <si>
    <t>Howlett &amp; Marsden 2013</t>
  </si>
  <si>
    <t xml:space="preserve">Stream Compositions (%) </t>
  </si>
  <si>
    <t>Middelburg</t>
  </si>
  <si>
    <t>Kazadi-Mbamba et al. 2012</t>
  </si>
  <si>
    <t>Total Solids Deportment from Feed (%)</t>
  </si>
  <si>
    <t>Big Coal Mining Company</t>
  </si>
  <si>
    <t>Magabane &amp; Naidoo, 2011</t>
  </si>
  <si>
    <t>Sulfide Lean</t>
  </si>
  <si>
    <t>Sulfide Rich Stream</t>
  </si>
  <si>
    <t>First Stage Tailings</t>
  </si>
  <si>
    <t>Coal concentrate</t>
  </si>
  <si>
    <t>Feed</t>
  </si>
  <si>
    <t>Stream name</t>
  </si>
  <si>
    <t>Mineral content</t>
  </si>
  <si>
    <t>ash m% of sulfide-enriched stream</t>
  </si>
  <si>
    <t>sulfur m% of sulfide-enriched stream</t>
  </si>
  <si>
    <t>Sulfide-enriched material mass % of 1st stage feed</t>
  </si>
  <si>
    <t>Benign tailigns mass</t>
  </si>
  <si>
    <t>Clean coal mass</t>
  </si>
  <si>
    <t>Ist Stage feed mass</t>
  </si>
  <si>
    <t>Coal sample</t>
  </si>
  <si>
    <t>Paper/report</t>
  </si>
  <si>
    <t>Pyritic tailings</t>
  </si>
  <si>
    <t>This table shows the particle size distributions, as well as the ash content of two feed streams to the two-stage flotation process. It may be useful later on, but for now it is only added for interest (Iroala, 2014).</t>
  </si>
  <si>
    <t>Particle size distribution of feed stream</t>
  </si>
  <si>
    <t>This is the results of the sulfur speciation work done on two-stage flotation streams by Fundikwa (2015: 44). It was used to give an indication of how much of the sulfur in the sulfide-enriched stream is sulfide. This is only one set of results, so it is recognised that more sulfur speciation work must be done.</t>
  </si>
  <si>
    <t>Sulfur speciation test results</t>
  </si>
  <si>
    <t>This table shows the results of various two-stage flotation test runs that have been conducted at UCT. The highlighted columns give an idea how big the sulfide-enriched stream is relative to the feed stream and how much sulfur has been concentrated in it.</t>
  </si>
  <si>
    <t>Flotation test results</t>
  </si>
  <si>
    <t xml:space="preserve">The multi-stage separation process aims at separating mine waste into a recovered valuable production section, a sulfide-lean component, which can be used in a variety of applications, and a sulfide-rich component, which this work has focussed on finding ways of reusing. The purpose of the separation step is to recover different streams with specific characteristics for repurposing for other applications to avoid land disposal and the associated environmental risks. This work sheet shows the flotation test results achieved, so that the characteristics of the sulfide-enriched stream can be better understood, as well as the major mineral content of the feed stream to the separation process, so that the environmentally active elements in the stream can be identified. </t>
  </si>
  <si>
    <t>Numbers flagged in light yellow are the essence of a table</t>
  </si>
  <si>
    <t>Numbers flagged in bright yellow are important to the argument</t>
  </si>
  <si>
    <t>References:</t>
  </si>
  <si>
    <r>
      <t xml:space="preserve">Howlett, N. and Marsden, A. (2013) </t>
    </r>
    <r>
      <rPr>
        <i/>
        <sz val="11"/>
        <color theme="1"/>
        <rFont val="Calibri"/>
        <family val="2"/>
        <scheme val="minor"/>
      </rPr>
      <t>Desulphurisation of coal by two-stage froth flotation</t>
    </r>
    <r>
      <rPr>
        <sz val="11"/>
        <color theme="1"/>
        <rFont val="Calibri"/>
        <family val="2"/>
        <scheme val="minor"/>
      </rPr>
      <t>. Cape Town.</t>
    </r>
  </si>
  <si>
    <r>
      <t xml:space="preserve">Kazadi Mbamba, C. </t>
    </r>
    <r>
      <rPr>
        <i/>
        <sz val="11"/>
        <color theme="1"/>
        <rFont val="Calibri"/>
        <family val="2"/>
        <scheme val="minor"/>
      </rPr>
      <t>et al.</t>
    </r>
    <r>
      <rPr>
        <sz val="11"/>
        <color theme="1"/>
        <rFont val="Calibri"/>
        <family val="2"/>
        <scheme val="minor"/>
      </rPr>
      <t xml:space="preserve"> (2012) ‘Mitigating acid rock drainage risks while recovering low-sulfur coal from ultrafine colliery wastes using froth flotation’, </t>
    </r>
    <r>
      <rPr>
        <i/>
        <sz val="11"/>
        <color theme="1"/>
        <rFont val="Calibri"/>
        <family val="2"/>
        <scheme val="minor"/>
      </rPr>
      <t>Minerals Engineering</t>
    </r>
    <r>
      <rPr>
        <sz val="11"/>
        <color theme="1"/>
        <rFont val="Calibri"/>
        <family val="2"/>
        <scheme val="minor"/>
      </rPr>
      <t>. Elsevier Ltd, 29, pp. 13–21. doi: 10.1016/j.mineng.2012.02.001.</t>
    </r>
  </si>
  <si>
    <r>
      <t xml:space="preserve">Magabane, J. and Naidoo, R. (2011) </t>
    </r>
    <r>
      <rPr>
        <i/>
        <sz val="11"/>
        <color theme="1"/>
        <rFont val="Calibri"/>
        <family val="2"/>
        <scheme val="minor"/>
      </rPr>
      <t>Preliminary study of the separation of coal, sulphide and ash-forming minerals from coal</t>
    </r>
    <r>
      <rPr>
        <sz val="11"/>
        <color theme="1"/>
        <rFont val="Calibri"/>
        <family val="2"/>
        <scheme val="minor"/>
      </rPr>
      <t>. Cape Town.</t>
    </r>
  </si>
  <si>
    <r>
      <t>CuFeS</t>
    </r>
    <r>
      <rPr>
        <vertAlign val="subscript"/>
        <sz val="11"/>
        <color theme="1"/>
        <rFont val="Calibri"/>
        <family val="2"/>
        <scheme val="minor"/>
      </rPr>
      <t>2</t>
    </r>
  </si>
  <si>
    <r>
      <t>FeS</t>
    </r>
    <r>
      <rPr>
        <vertAlign val="subscript"/>
        <sz val="11"/>
        <color theme="1"/>
        <rFont val="Calibri"/>
        <family val="2"/>
        <scheme val="minor"/>
      </rPr>
      <t>2</t>
    </r>
  </si>
  <si>
    <t>Pinetown, K. L., Ward, C. R., and Van der Westhuizen, W. A.(2007) 'Quantitative evaluation of minerals in coal deposits in the Witbank and Highveld Coalfields , and the potential impact on acid mine drainage,' International Journal of Coal Geology, 70, pp. 166–183.</t>
  </si>
  <si>
    <t>Raw numbers that had to be converted to be consistent with the rest of the table</t>
  </si>
  <si>
    <t>Iroala, O.J., 2014. Comparison of froth flotation and gravity separation of the Waterberg and Witbank coal ultrafines in terms of mitigating ARD potential. https://open.uct.ac.za/bitstream/handle/11427/13676/thesis_ebe_2014_iroala_oj.pdf;sequence=1</t>
  </si>
  <si>
    <r>
      <t xml:space="preserve">Kotelo, L. O. (2013) </t>
    </r>
    <r>
      <rPr>
        <i/>
        <sz val="11"/>
        <color theme="1"/>
        <rFont val="Calibri"/>
        <family val="2"/>
        <scheme val="minor"/>
      </rPr>
      <t>Characterising the acid mine drainage potential of fine coal wastes</t>
    </r>
    <r>
      <rPr>
        <sz val="11"/>
        <color theme="1"/>
        <rFont val="Calibri"/>
        <family val="2"/>
        <scheme val="minor"/>
      </rPr>
      <t>. University of Cape Town. https://open.uct.ac.za/handle/11427/12574</t>
    </r>
  </si>
  <si>
    <r>
      <t xml:space="preserve">Moyo, A. (2018) </t>
    </r>
    <r>
      <rPr>
        <i/>
        <sz val="11"/>
        <color theme="1"/>
        <rFont val="Calibri"/>
        <family val="2"/>
        <scheme val="minor"/>
      </rPr>
      <t>Characterising the potential environmental risks of South African coal processing wastes</t>
    </r>
    <r>
      <rPr>
        <sz val="11"/>
        <color theme="1"/>
        <rFont val="Calibri"/>
        <family val="2"/>
        <scheme val="minor"/>
      </rPr>
      <t>. University of Cape Town. https://open.uct.ac.za/handle/11427/29832</t>
    </r>
  </si>
  <si>
    <t>Pinetown et al., 2007  and Synman and Botha 1993 (mentioned in Kotelo, 2013) showed that pyrite is the predominant form of sulfide in coal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</si>
</sst>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2" x14ac:knownFonts="1">
    <font>
      <sz val="11"/>
      <color theme="1"/>
      <name val="Calibri"/>
      <family val="2"/>
      <scheme val="minor"/>
    </font>
    <font>
      <b/>
      <sz val="11"/>
      <color theme="1"/>
      <name val="Calibri"/>
      <family val="2"/>
      <scheme val="minor"/>
    </font>
    <font>
      <vertAlign val="subscript"/>
      <sz val="11"/>
      <color theme="1"/>
      <name val="Calibri"/>
      <family val="2"/>
      <scheme val="minor"/>
    </font>
    <font>
      <vertAlign val="superscript"/>
      <sz val="11"/>
      <color theme="1"/>
      <name val="Calibri"/>
      <family val="2"/>
      <scheme val="minor"/>
    </font>
    <font>
      <b/>
      <sz val="16"/>
      <color theme="1"/>
      <name val="Calibri"/>
      <family val="2"/>
      <scheme val="minor"/>
    </font>
    <font>
      <b/>
      <sz val="9"/>
      <color indexed="81"/>
      <name val="Tahoma"/>
      <family val="2"/>
    </font>
    <font>
      <sz val="9"/>
      <color indexed="81"/>
      <name val="Tahoma"/>
      <family val="2"/>
    </font>
    <font>
      <sz val="11"/>
      <name val="Calibri"/>
      <family val="2"/>
      <scheme val="minor"/>
    </font>
    <font>
      <sz val="12"/>
      <color theme="1"/>
      <name val="Calibri"/>
      <family val="2"/>
      <scheme val="minor"/>
    </font>
    <font>
      <sz val="13"/>
      <color theme="1"/>
      <name val="Calibri"/>
      <family val="2"/>
      <scheme val="minor"/>
    </font>
    <font>
      <i/>
      <sz val="11"/>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7" tint="0.59999389629810485"/>
        <bgColor indexed="64"/>
      </patternFill>
    </fill>
  </fills>
  <borders count="3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thin">
        <color indexed="64"/>
      </bottom>
      <diagonal/>
    </border>
  </borders>
  <cellStyleXfs count="1">
    <xf numFmtId="0" fontId="0" fillId="0" borderId="0"/>
  </cellStyleXfs>
  <cellXfs count="181">
    <xf numFmtId="0" fontId="0" fillId="0" borderId="0" xfId="0"/>
    <xf numFmtId="0" fontId="0" fillId="0" borderId="1" xfId="0" applyBorder="1"/>
    <xf numFmtId="0" fontId="0" fillId="0" borderId="2" xfId="0" applyBorder="1"/>
    <xf numFmtId="0" fontId="0" fillId="0" borderId="3" xfId="0" applyBorder="1"/>
    <xf numFmtId="0" fontId="0" fillId="0" borderId="0" xfId="0" applyAlignment="1">
      <alignment vertical="center" wrapText="1"/>
    </xf>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12" xfId="0" applyBorder="1" applyAlignment="1">
      <alignment vertical="center" wrapText="1"/>
    </xf>
    <xf numFmtId="0" fontId="0" fillId="0" borderId="13" xfId="0" applyBorder="1"/>
    <xf numFmtId="164" fontId="0" fillId="0" borderId="0" xfId="0" applyNumberFormat="1"/>
    <xf numFmtId="0" fontId="0" fillId="0" borderId="15" xfId="0" applyBorder="1" applyAlignment="1">
      <alignment vertical="center" wrapText="1"/>
    </xf>
    <xf numFmtId="0" fontId="0" fillId="0" borderId="15" xfId="0" applyBorder="1"/>
    <xf numFmtId="0" fontId="0" fillId="0" borderId="20" xfId="0" applyBorder="1"/>
    <xf numFmtId="0" fontId="0" fillId="0" borderId="24" xfId="0" applyBorder="1"/>
    <xf numFmtId="0" fontId="4" fillId="0" borderId="0" xfId="0" applyFont="1"/>
    <xf numFmtId="0" fontId="0" fillId="0" borderId="25" xfId="0" applyBorder="1"/>
    <xf numFmtId="0" fontId="0" fillId="0" borderId="12" xfId="0" applyBorder="1"/>
    <xf numFmtId="0" fontId="7" fillId="0" borderId="5" xfId="0" applyFont="1" applyBorder="1"/>
    <xf numFmtId="0" fontId="0" fillId="2" borderId="7" xfId="0" applyFill="1" applyBorder="1"/>
    <xf numFmtId="0" fontId="0" fillId="2" borderId="0" xfId="0" applyFill="1"/>
    <xf numFmtId="0" fontId="0" fillId="2" borderId="12" xfId="0" applyFill="1" applyBorder="1"/>
    <xf numFmtId="0" fontId="0" fillId="2" borderId="15" xfId="0" applyFill="1" applyBorder="1"/>
    <xf numFmtId="0" fontId="0" fillId="2" borderId="24" xfId="0" applyFill="1" applyBorder="1"/>
    <xf numFmtId="2" fontId="0" fillId="0" borderId="7" xfId="0" applyNumberFormat="1" applyBorder="1"/>
    <xf numFmtId="2" fontId="0" fillId="0" borderId="0" xfId="0" applyNumberFormat="1"/>
    <xf numFmtId="0" fontId="1" fillId="0" borderId="15" xfId="0" applyFont="1" applyBorder="1"/>
    <xf numFmtId="0" fontId="1" fillId="0" borderId="19" xfId="0" applyFont="1" applyBorder="1"/>
    <xf numFmtId="0" fontId="1" fillId="0" borderId="20" xfId="0" applyFont="1" applyBorder="1"/>
    <xf numFmtId="0" fontId="0" fillId="2" borderId="5" xfId="0" applyFill="1" applyBorder="1"/>
    <xf numFmtId="0" fontId="0" fillId="2" borderId="3" xfId="0" applyFill="1" applyBorder="1"/>
    <xf numFmtId="0" fontId="0" fillId="2" borderId="8" xfId="0" applyFill="1" applyBorder="1"/>
    <xf numFmtId="0" fontId="9" fillId="0" borderId="0" xfId="0" applyFont="1" applyAlignment="1">
      <alignment vertical="center" wrapText="1"/>
    </xf>
    <xf numFmtId="0" fontId="10" fillId="2" borderId="3" xfId="0" applyFont="1" applyFill="1" applyBorder="1" applyAlignment="1">
      <alignment wrapText="1"/>
    </xf>
    <xf numFmtId="0" fontId="10" fillId="2" borderId="2" xfId="0" applyFont="1" applyFill="1" applyBorder="1" applyAlignment="1">
      <alignment wrapText="1"/>
    </xf>
    <xf numFmtId="0" fontId="10" fillId="0" borderId="2" xfId="0" applyFont="1" applyBorder="1" applyAlignment="1">
      <alignment wrapText="1"/>
    </xf>
    <xf numFmtId="0" fontId="10" fillId="0" borderId="2" xfId="0" applyFont="1" applyBorder="1"/>
    <xf numFmtId="0" fontId="10" fillId="0" borderId="29" xfId="0" applyFont="1" applyBorder="1"/>
    <xf numFmtId="0" fontId="1" fillId="0" borderId="0" xfId="0" applyFont="1"/>
    <xf numFmtId="0" fontId="1" fillId="0" borderId="21" xfId="0" applyFont="1" applyBorder="1"/>
    <xf numFmtId="0" fontId="1" fillId="0" borderId="23" xfId="0" applyFont="1" applyBorder="1"/>
    <xf numFmtId="0" fontId="10" fillId="0" borderId="3" xfId="0" applyFont="1" applyBorder="1"/>
    <xf numFmtId="0" fontId="10" fillId="0" borderId="14" xfId="0" applyFont="1" applyBorder="1"/>
    <xf numFmtId="49" fontId="10" fillId="0" borderId="3" xfId="0" applyNumberFormat="1" applyFont="1" applyBorder="1"/>
    <xf numFmtId="49" fontId="10" fillId="0" borderId="2" xfId="0" applyNumberFormat="1" applyFont="1" applyBorder="1"/>
    <xf numFmtId="49" fontId="10" fillId="0" borderId="5" xfId="0" applyNumberFormat="1" applyFont="1" applyBorder="1"/>
    <xf numFmtId="49" fontId="10" fillId="0" borderId="0" xfId="0" applyNumberFormat="1" applyFont="1"/>
    <xf numFmtId="49" fontId="10" fillId="0" borderId="13" xfId="0" applyNumberFormat="1" applyFont="1" applyBorder="1"/>
    <xf numFmtId="0" fontId="1" fillId="3" borderId="21" xfId="0" applyFont="1" applyFill="1" applyBorder="1"/>
    <xf numFmtId="0" fontId="1" fillId="3" borderId="20" xfId="0" applyFont="1" applyFill="1" applyBorder="1"/>
    <xf numFmtId="0" fontId="1" fillId="3" borderId="22" xfId="0" applyFont="1" applyFill="1" applyBorder="1"/>
    <xf numFmtId="49" fontId="10" fillId="3" borderId="3" xfId="0" applyNumberFormat="1" applyFont="1" applyFill="1" applyBorder="1"/>
    <xf numFmtId="49" fontId="10" fillId="3" borderId="2" xfId="0" applyNumberFormat="1" applyFont="1" applyFill="1" applyBorder="1"/>
    <xf numFmtId="49" fontId="10" fillId="3" borderId="1" xfId="0" applyNumberFormat="1" applyFont="1" applyFill="1" applyBorder="1"/>
    <xf numFmtId="0" fontId="0" fillId="3" borderId="5" xfId="0" applyFill="1" applyBorder="1"/>
    <xf numFmtId="0" fontId="0" fillId="3" borderId="0" xfId="0" applyFill="1"/>
    <xf numFmtId="0" fontId="0" fillId="3" borderId="4" xfId="0" applyFill="1" applyBorder="1"/>
    <xf numFmtId="0" fontId="0" fillId="3" borderId="3" xfId="0" applyFill="1" applyBorder="1"/>
    <xf numFmtId="0" fontId="0" fillId="3" borderId="2" xfId="0" applyFill="1" applyBorder="1"/>
    <xf numFmtId="0" fontId="0" fillId="3" borderId="1" xfId="0" applyFill="1" applyBorder="1"/>
    <xf numFmtId="0" fontId="0" fillId="3" borderId="11" xfId="0" applyFill="1" applyBorder="1"/>
    <xf numFmtId="0" fontId="0" fillId="3" borderId="10" xfId="0" applyFill="1" applyBorder="1"/>
    <xf numFmtId="0" fontId="0" fillId="3" borderId="9" xfId="0" applyFill="1" applyBorder="1"/>
    <xf numFmtId="0" fontId="0" fillId="2" borderId="18" xfId="0" applyFill="1" applyBorder="1"/>
    <xf numFmtId="0" fontId="0" fillId="2" borderId="17" xfId="0" applyFill="1" applyBorder="1"/>
    <xf numFmtId="0" fontId="0" fillId="2" borderId="16" xfId="0" applyFill="1" applyBorder="1"/>
    <xf numFmtId="0" fontId="0" fillId="2" borderId="4" xfId="0" applyFill="1" applyBorder="1"/>
    <xf numFmtId="0" fontId="0" fillId="2" borderId="1" xfId="0" applyFill="1" applyBorder="1"/>
    <xf numFmtId="0" fontId="0" fillId="2" borderId="14" xfId="0" applyFill="1" applyBorder="1"/>
    <xf numFmtId="164" fontId="0" fillId="2" borderId="5" xfId="0" applyNumberFormat="1" applyFill="1" applyBorder="1"/>
    <xf numFmtId="164" fontId="0" fillId="2" borderId="0" xfId="0" applyNumberFormat="1" applyFill="1"/>
    <xf numFmtId="0" fontId="0" fillId="2" borderId="13" xfId="0" applyFill="1" applyBorder="1"/>
    <xf numFmtId="164" fontId="0" fillId="2" borderId="3" xfId="0" applyNumberFormat="1" applyFill="1" applyBorder="1"/>
    <xf numFmtId="164" fontId="0" fillId="2" borderId="2" xfId="0" applyNumberFormat="1" applyFill="1" applyBorder="1"/>
    <xf numFmtId="164" fontId="0" fillId="2" borderId="7" xfId="0" applyNumberFormat="1" applyFill="1" applyBorder="1"/>
    <xf numFmtId="0" fontId="0" fillId="2" borderId="6" xfId="0" applyFill="1" applyBorder="1"/>
    <xf numFmtId="0" fontId="0" fillId="4" borderId="15" xfId="0" applyFill="1" applyBorder="1"/>
    <xf numFmtId="0" fontId="0" fillId="4" borderId="0" xfId="0" applyFill="1"/>
    <xf numFmtId="0" fontId="0" fillId="4" borderId="12" xfId="0" applyFill="1" applyBorder="1"/>
    <xf numFmtId="0" fontId="0" fillId="5" borderId="24" xfId="0" applyFill="1" applyBorder="1"/>
    <xf numFmtId="0" fontId="0" fillId="5" borderId="12" xfId="0" applyFill="1" applyBorder="1"/>
    <xf numFmtId="0" fontId="0" fillId="0" borderId="0" xfId="0" applyAlignment="1">
      <alignment vertical="center"/>
    </xf>
    <xf numFmtId="0" fontId="4" fillId="0" borderId="28" xfId="0" applyFont="1" applyBorder="1" applyAlignment="1">
      <alignment horizontal="center" wrapText="1"/>
    </xf>
    <xf numFmtId="0" fontId="0" fillId="0" borderId="0" xfId="0" applyBorder="1"/>
    <xf numFmtId="0" fontId="0" fillId="0" borderId="0" xfId="0" applyBorder="1" applyAlignment="1">
      <alignment wrapText="1"/>
    </xf>
    <xf numFmtId="0" fontId="9" fillId="2" borderId="0" xfId="0" applyFont="1" applyFill="1" applyAlignment="1">
      <alignment vertical="center" wrapText="1"/>
    </xf>
    <xf numFmtId="0" fontId="9" fillId="0" borderId="0" xfId="0" applyFont="1" applyAlignment="1">
      <alignment horizontal="center" vertical="center" wrapText="1"/>
    </xf>
    <xf numFmtId="0" fontId="0" fillId="2" borderId="0" xfId="0" applyFill="1" applyAlignment="1">
      <alignment horizontal="left" vertical="top"/>
    </xf>
    <xf numFmtId="0" fontId="0" fillId="4" borderId="0" xfId="0" applyFill="1" applyAlignment="1">
      <alignment horizontal="left" vertical="top"/>
    </xf>
    <xf numFmtId="0" fontId="0" fillId="0" borderId="15" xfId="0" applyBorder="1" applyAlignment="1">
      <alignment horizontal="left" vertical="center"/>
    </xf>
    <xf numFmtId="0" fontId="0" fillId="0" borderId="12" xfId="0" applyBorder="1" applyAlignment="1">
      <alignment horizontal="left" vertical="center"/>
    </xf>
    <xf numFmtId="0" fontId="1" fillId="0" borderId="21" xfId="0" applyFont="1" applyBorder="1" applyAlignment="1">
      <alignment horizontal="center" vertical="center"/>
    </xf>
    <xf numFmtId="0" fontId="1" fillId="0" borderId="3" xfId="0" applyFont="1" applyBorder="1" applyAlignment="1">
      <alignment horizontal="center" vertical="center"/>
    </xf>
    <xf numFmtId="0" fontId="1" fillId="0" borderId="20" xfId="0" applyFont="1" applyBorder="1" applyAlignment="1">
      <alignment horizontal="center" vertical="center"/>
    </xf>
    <xf numFmtId="0" fontId="1" fillId="0" borderId="2" xfId="0" applyFont="1" applyBorder="1" applyAlignment="1">
      <alignment horizontal="center" vertical="center"/>
    </xf>
    <xf numFmtId="0" fontId="1" fillId="0" borderId="22" xfId="0" applyFont="1" applyBorder="1" applyAlignment="1">
      <alignment horizontal="center" vertical="center"/>
    </xf>
    <xf numFmtId="0" fontId="1" fillId="0" borderId="1" xfId="0" applyFont="1" applyBorder="1" applyAlignment="1">
      <alignment horizontal="center" vertical="center"/>
    </xf>
    <xf numFmtId="0" fontId="1" fillId="0" borderId="24" xfId="0" applyFont="1" applyBorder="1" applyAlignment="1">
      <alignment horizontal="left" vertical="center"/>
    </xf>
    <xf numFmtId="0" fontId="1" fillId="0" borderId="15" xfId="0" applyFont="1" applyBorder="1" applyAlignment="1">
      <alignment horizontal="left" vertical="center"/>
    </xf>
    <xf numFmtId="0" fontId="1" fillId="0" borderId="20" xfId="0" applyFont="1" applyBorder="1" applyAlignment="1">
      <alignment horizontal="left" vertical="center"/>
    </xf>
    <xf numFmtId="0" fontId="1" fillId="0" borderId="0" xfId="0" applyFont="1" applyAlignment="1">
      <alignment horizontal="left" vertical="center"/>
    </xf>
    <xf numFmtId="0" fontId="8" fillId="0" borderId="24" xfId="0" applyFont="1" applyBorder="1" applyAlignment="1">
      <alignment horizontal="center" wrapText="1"/>
    </xf>
    <xf numFmtId="0" fontId="8" fillId="0" borderId="20" xfId="0" applyFont="1" applyBorder="1" applyAlignment="1">
      <alignment horizontal="center" wrapText="1"/>
    </xf>
    <xf numFmtId="0" fontId="8" fillId="0" borderId="19" xfId="0" applyFont="1" applyBorder="1" applyAlignment="1">
      <alignment horizontal="center" wrapText="1"/>
    </xf>
    <xf numFmtId="0" fontId="8" fillId="0" borderId="15" xfId="0" applyFont="1" applyBorder="1" applyAlignment="1">
      <alignment horizontal="center" wrapText="1"/>
    </xf>
    <xf numFmtId="0" fontId="8" fillId="0" borderId="0" xfId="0" applyFont="1" applyAlignment="1">
      <alignment horizontal="center" wrapText="1"/>
    </xf>
    <xf numFmtId="0" fontId="8" fillId="0" borderId="13" xfId="0" applyFont="1" applyBorder="1" applyAlignment="1">
      <alignment horizontal="center" wrapText="1"/>
    </xf>
    <xf numFmtId="0" fontId="8" fillId="0" borderId="12" xfId="0" applyFont="1" applyBorder="1" applyAlignment="1">
      <alignment horizontal="center" wrapText="1"/>
    </xf>
    <xf numFmtId="0" fontId="8" fillId="0" borderId="7" xfId="0" applyFont="1" applyBorder="1" applyAlignment="1">
      <alignment horizontal="center" wrapText="1"/>
    </xf>
    <xf numFmtId="0" fontId="8" fillId="0" borderId="6" xfId="0" applyFont="1" applyBorder="1" applyAlignment="1">
      <alignment horizontal="center" wrapText="1"/>
    </xf>
    <xf numFmtId="0" fontId="0" fillId="0" borderId="20" xfId="0" applyBorder="1" applyAlignment="1">
      <alignment horizontal="center" wrapText="1"/>
    </xf>
    <xf numFmtId="0" fontId="0" fillId="0" borderId="19" xfId="0" applyBorder="1" applyAlignment="1">
      <alignment horizontal="center" wrapText="1"/>
    </xf>
    <xf numFmtId="0" fontId="0" fillId="0" borderId="7" xfId="0" applyBorder="1" applyAlignment="1">
      <alignment horizontal="center" wrapText="1"/>
    </xf>
    <xf numFmtId="0" fontId="0" fillId="0" borderId="6" xfId="0" applyBorder="1" applyAlignment="1">
      <alignment horizontal="center" wrapText="1"/>
    </xf>
    <xf numFmtId="0" fontId="8" fillId="4" borderId="24"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1" fillId="0" borderId="21" xfId="0" applyFont="1" applyBorder="1" applyAlignment="1">
      <alignment horizontal="center"/>
    </xf>
    <xf numFmtId="0" fontId="1" fillId="0" borderId="20" xfId="0" applyFont="1" applyBorder="1" applyAlignment="1">
      <alignment horizontal="center"/>
    </xf>
    <xf numFmtId="0" fontId="1" fillId="0" borderId="19" xfId="0" applyFont="1" applyBorder="1" applyAlignment="1">
      <alignment horizontal="center"/>
    </xf>
    <xf numFmtId="0" fontId="0" fillId="0" borderId="27" xfId="0" applyBorder="1" applyAlignment="1">
      <alignment horizontal="center" wrapText="1"/>
    </xf>
    <xf numFmtId="0" fontId="0" fillId="0" borderId="26" xfId="0" applyBorder="1" applyAlignment="1">
      <alignment horizontal="center" wrapText="1"/>
    </xf>
    <xf numFmtId="0" fontId="4" fillId="0" borderId="24" xfId="0" applyFont="1" applyBorder="1" applyAlignment="1">
      <alignment horizontal="center" wrapText="1"/>
    </xf>
    <xf numFmtId="0" fontId="4" fillId="0" borderId="12" xfId="0" applyFont="1" applyBorder="1" applyAlignment="1">
      <alignment horizontal="center" wrapText="1"/>
    </xf>
    <xf numFmtId="0" fontId="0" fillId="0" borderId="0" xfId="0" applyAlignment="1">
      <alignment horizontal="left" vertical="center"/>
    </xf>
    <xf numFmtId="0" fontId="11" fillId="0" borderId="18" xfId="0" applyFont="1" applyBorder="1" applyAlignment="1">
      <alignment horizontal="center"/>
    </xf>
    <xf numFmtId="0" fontId="11" fillId="0" borderId="17" xfId="0" applyFont="1" applyBorder="1" applyAlignment="1">
      <alignment horizontal="center"/>
    </xf>
    <xf numFmtId="0" fontId="4" fillId="4" borderId="24"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0" fillId="0" borderId="24" xfId="0" applyBorder="1" applyAlignment="1">
      <alignment horizontal="center" wrapText="1"/>
    </xf>
    <xf numFmtId="0" fontId="0" fillId="0" borderId="15" xfId="0" applyBorder="1" applyAlignment="1">
      <alignment horizontal="center" wrapText="1"/>
    </xf>
    <xf numFmtId="0" fontId="0" fillId="0" borderId="13" xfId="0" applyBorder="1" applyAlignment="1">
      <alignment horizontal="center" wrapText="1"/>
    </xf>
    <xf numFmtId="0" fontId="0" fillId="0" borderId="12" xfId="0" applyBorder="1" applyAlignment="1">
      <alignment horizontal="center" wrapText="1"/>
    </xf>
    <xf numFmtId="0" fontId="10" fillId="0" borderId="0" xfId="0" applyFont="1" applyAlignment="1">
      <alignment horizontal="center"/>
    </xf>
    <xf numFmtId="0" fontId="10" fillId="0" borderId="13" xfId="0" applyFont="1" applyBorder="1" applyAlignment="1">
      <alignment horizontal="center"/>
    </xf>
    <xf numFmtId="0" fontId="0" fillId="0" borderId="0" xfId="0" applyBorder="1" applyAlignment="1">
      <alignment horizontal="center" wrapText="1"/>
    </xf>
    <xf numFmtId="0" fontId="0" fillId="0" borderId="28" xfId="0" applyBorder="1" applyAlignment="1">
      <alignment horizontal="center"/>
    </xf>
    <xf numFmtId="0" fontId="0" fillId="0" borderId="27" xfId="0" applyBorder="1" applyAlignment="1">
      <alignment horizontal="center"/>
    </xf>
    <xf numFmtId="0" fontId="0" fillId="0" borderId="26" xfId="0" applyBorder="1" applyAlignment="1">
      <alignment horizontal="center"/>
    </xf>
    <xf numFmtId="0" fontId="4" fillId="0" borderId="28" xfId="0" applyFont="1" applyBorder="1" applyAlignment="1">
      <alignment horizontal="center"/>
    </xf>
    <xf numFmtId="0" fontId="4" fillId="0" borderId="27" xfId="0" applyFont="1" applyBorder="1" applyAlignment="1">
      <alignment horizontal="center"/>
    </xf>
    <xf numFmtId="0" fontId="4" fillId="0" borderId="26" xfId="0" applyFont="1" applyBorder="1" applyAlignment="1">
      <alignment horizontal="center"/>
    </xf>
    <xf numFmtId="0" fontId="4" fillId="0" borderId="28" xfId="0" applyFont="1" applyBorder="1" applyAlignment="1">
      <alignment horizontal="center" wrapText="1"/>
    </xf>
    <xf numFmtId="0" fontId="4" fillId="0" borderId="27" xfId="0" applyFont="1" applyBorder="1" applyAlignment="1">
      <alignment horizontal="center" wrapText="1"/>
    </xf>
    <xf numFmtId="0" fontId="1" fillId="0" borderId="24"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164" fontId="0" fillId="0" borderId="7" xfId="0" applyNumberFormat="1" applyBorder="1"/>
    <xf numFmtId="164" fontId="0" fillId="0" borderId="13" xfId="0" applyNumberFormat="1" applyBorder="1"/>
    <xf numFmtId="164" fontId="0" fillId="0" borderId="6" xfId="0" applyNumberFormat="1" applyBorder="1"/>
    <xf numFmtId="164" fontId="0" fillId="4" borderId="19" xfId="0" applyNumberFormat="1" applyFill="1" applyBorder="1"/>
    <xf numFmtId="164" fontId="0" fillId="4" borderId="13" xfId="0" applyNumberFormat="1" applyFill="1" applyBorder="1"/>
    <xf numFmtId="164" fontId="0" fillId="4" borderId="6" xfId="0" applyNumberFormat="1" applyFill="1" applyBorder="1"/>
    <xf numFmtId="164" fontId="0" fillId="4" borderId="20" xfId="0" applyNumberFormat="1" applyFill="1" applyBorder="1"/>
    <xf numFmtId="164" fontId="0" fillId="4" borderId="0" xfId="0" applyNumberFormat="1" applyFill="1" applyBorder="1"/>
    <xf numFmtId="164" fontId="0" fillId="4" borderId="7" xfId="0" applyNumberFormat="1" applyFill="1" applyBorder="1"/>
    <xf numFmtId="1" fontId="0" fillId="0" borderId="4" xfId="0" applyNumberFormat="1" applyBorder="1"/>
    <xf numFmtId="1" fontId="0" fillId="0" borderId="5" xfId="0" applyNumberFormat="1" applyBorder="1"/>
    <xf numFmtId="2" fontId="0" fillId="4" borderId="0" xfId="0" applyNumberFormat="1" applyFill="1"/>
    <xf numFmtId="165" fontId="0" fillId="2" borderId="20" xfId="0" applyNumberFormat="1" applyFill="1" applyBorder="1"/>
    <xf numFmtId="165" fontId="0" fillId="2" borderId="0" xfId="0" applyNumberFormat="1" applyFill="1"/>
    <xf numFmtId="165" fontId="0" fillId="2" borderId="7" xfId="0" applyNumberFormat="1" applyFill="1" applyBorder="1"/>
    <xf numFmtId="165" fontId="0" fillId="5" borderId="20" xfId="0" applyNumberFormat="1" applyFill="1" applyBorder="1"/>
    <xf numFmtId="165" fontId="0" fillId="5" borderId="7" xfId="0" applyNumberFormat="1" applyFill="1" applyBorder="1"/>
    <xf numFmtId="2" fontId="0" fillId="5" borderId="19" xfId="0" applyNumberFormat="1" applyFill="1" applyBorder="1"/>
    <xf numFmtId="2" fontId="0" fillId="5" borderId="6" xfId="0" applyNumberForma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596900</xdr:colOff>
      <xdr:row>1</xdr:row>
      <xdr:rowOff>6350</xdr:rowOff>
    </xdr:from>
    <xdr:to>
      <xdr:col>8</xdr:col>
      <xdr:colOff>292100</xdr:colOff>
      <xdr:row>18</xdr:row>
      <xdr:rowOff>162983</xdr:rowOff>
    </xdr:to>
    <xdr:pic>
      <xdr:nvPicPr>
        <xdr:cNvPr id="2" name="Picture 1">
          <a:extLst>
            <a:ext uri="{FF2B5EF4-FFF2-40B4-BE49-F238E27FC236}">
              <a16:creationId xmlns:a16="http://schemas.microsoft.com/office/drawing/2014/main" id="{FACAFABB-7AA1-4E87-AB66-1DA62C5EBD2B}"/>
            </a:ext>
          </a:extLst>
        </xdr:cNvPr>
        <xdr:cNvPicPr>
          <a:picLocks noChangeAspect="1"/>
        </xdr:cNvPicPr>
      </xdr:nvPicPr>
      <xdr:blipFill>
        <a:blip xmlns:r="http://schemas.openxmlformats.org/officeDocument/2006/relationships" r:embed="rId1"/>
        <a:stretch>
          <a:fillRect/>
        </a:stretch>
      </xdr:blipFill>
      <xdr:spPr>
        <a:xfrm>
          <a:off x="596900" y="190500"/>
          <a:ext cx="4572000" cy="3429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19</xdr:col>
      <xdr:colOff>431800</xdr:colOff>
      <xdr:row>1</xdr:row>
      <xdr:rowOff>12700</xdr:rowOff>
    </xdr:from>
    <xdr:ext cx="7087589" cy="4429743"/>
    <xdr:pic>
      <xdr:nvPicPr>
        <xdr:cNvPr id="2" name="Picture 1">
          <a:extLst>
            <a:ext uri="{FF2B5EF4-FFF2-40B4-BE49-F238E27FC236}">
              <a16:creationId xmlns:a16="http://schemas.microsoft.com/office/drawing/2014/main" id="{A9FCD01E-AFB0-4432-A09D-CD958FE68EF3}"/>
            </a:ext>
          </a:extLst>
        </xdr:cNvPr>
        <xdr:cNvPicPr>
          <a:picLocks noChangeAspect="1"/>
        </xdr:cNvPicPr>
      </xdr:nvPicPr>
      <xdr:blipFill>
        <a:blip xmlns:r="http://schemas.openxmlformats.org/officeDocument/2006/relationships" r:embed="rId1"/>
        <a:stretch>
          <a:fillRect/>
        </a:stretch>
      </xdr:blipFill>
      <xdr:spPr>
        <a:xfrm>
          <a:off x="12014200" y="196850"/>
          <a:ext cx="7087589" cy="4429743"/>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030BA-7D7A-4862-A2BB-AEAFD84E3053}">
  <dimension ref="B2:S31"/>
  <sheetViews>
    <sheetView topLeftCell="A16" zoomScaleNormal="100" workbookViewId="0">
      <selection activeCell="B31" sqref="B31"/>
    </sheetView>
  </sheetViews>
  <sheetFormatPr defaultRowHeight="14.5" x14ac:dyDescent="0.35"/>
  <sheetData>
    <row r="2" spans="10:19" ht="17" customHeight="1" x14ac:dyDescent="0.35">
      <c r="J2" s="88" t="s">
        <v>120</v>
      </c>
      <c r="K2" s="88"/>
      <c r="L2" s="88"/>
      <c r="M2" s="88"/>
      <c r="N2" s="88"/>
      <c r="O2" s="88"/>
      <c r="P2" s="88"/>
      <c r="Q2" s="88"/>
      <c r="R2" s="88"/>
      <c r="S2" s="88"/>
    </row>
    <row r="3" spans="10:19" ht="17" customHeight="1" x14ac:dyDescent="0.35">
      <c r="J3" s="88"/>
      <c r="K3" s="88"/>
      <c r="L3" s="88"/>
      <c r="M3" s="88"/>
      <c r="N3" s="88"/>
      <c r="O3" s="88"/>
      <c r="P3" s="88"/>
      <c r="Q3" s="88"/>
      <c r="R3" s="88"/>
      <c r="S3" s="88"/>
    </row>
    <row r="4" spans="10:19" ht="17" customHeight="1" x14ac:dyDescent="0.35">
      <c r="J4" s="88"/>
      <c r="K4" s="88"/>
      <c r="L4" s="88"/>
      <c r="M4" s="88"/>
      <c r="N4" s="88"/>
      <c r="O4" s="88"/>
      <c r="P4" s="88"/>
      <c r="Q4" s="88"/>
      <c r="R4" s="88"/>
      <c r="S4" s="88"/>
    </row>
    <row r="5" spans="10:19" ht="17" customHeight="1" x14ac:dyDescent="0.35">
      <c r="J5" s="88"/>
      <c r="K5" s="88"/>
      <c r="L5" s="88"/>
      <c r="M5" s="88"/>
      <c r="N5" s="88"/>
      <c r="O5" s="88"/>
      <c r="P5" s="88"/>
      <c r="Q5" s="88"/>
      <c r="R5" s="88"/>
      <c r="S5" s="88"/>
    </row>
    <row r="6" spans="10:19" ht="14.5" customHeight="1" x14ac:dyDescent="0.35">
      <c r="J6" s="88"/>
      <c r="K6" s="88"/>
      <c r="L6" s="88"/>
      <c r="M6" s="88"/>
      <c r="N6" s="88"/>
      <c r="O6" s="88"/>
      <c r="P6" s="88"/>
      <c r="Q6" s="88"/>
      <c r="R6" s="88"/>
      <c r="S6" s="88"/>
    </row>
    <row r="7" spans="10:19" ht="14.5" customHeight="1" x14ac:dyDescent="0.35">
      <c r="J7" s="88"/>
      <c r="K7" s="88"/>
      <c r="L7" s="88"/>
      <c r="M7" s="88"/>
      <c r="N7" s="88"/>
      <c r="O7" s="88"/>
      <c r="P7" s="88"/>
      <c r="Q7" s="88"/>
      <c r="R7" s="88"/>
      <c r="S7" s="88"/>
    </row>
    <row r="8" spans="10:19" ht="14.5" customHeight="1" x14ac:dyDescent="0.35">
      <c r="J8" s="88"/>
      <c r="K8" s="88"/>
      <c r="L8" s="88"/>
      <c r="M8" s="88"/>
      <c r="N8" s="88"/>
      <c r="O8" s="88"/>
      <c r="P8" s="88"/>
      <c r="Q8" s="88"/>
      <c r="R8" s="88"/>
      <c r="S8" s="88"/>
    </row>
    <row r="9" spans="10:19" ht="14.5" customHeight="1" x14ac:dyDescent="0.35">
      <c r="J9" s="88"/>
      <c r="K9" s="88"/>
      <c r="L9" s="88"/>
      <c r="M9" s="88"/>
      <c r="N9" s="88"/>
      <c r="O9" s="88"/>
      <c r="P9" s="88"/>
      <c r="Q9" s="88"/>
      <c r="R9" s="88"/>
      <c r="S9" s="88"/>
    </row>
    <row r="10" spans="10:19" ht="14.5" customHeight="1" x14ac:dyDescent="0.35">
      <c r="J10" s="88"/>
      <c r="K10" s="88"/>
      <c r="L10" s="88"/>
      <c r="M10" s="88"/>
      <c r="N10" s="88"/>
      <c r="O10" s="88"/>
      <c r="P10" s="88"/>
      <c r="Q10" s="88"/>
      <c r="R10" s="88"/>
      <c r="S10" s="88"/>
    </row>
    <row r="11" spans="10:19" ht="14.5" customHeight="1" x14ac:dyDescent="0.35">
      <c r="J11" s="88"/>
      <c r="K11" s="88"/>
      <c r="L11" s="88"/>
      <c r="M11" s="88"/>
      <c r="N11" s="88"/>
      <c r="O11" s="88"/>
      <c r="P11" s="88"/>
      <c r="Q11" s="88"/>
      <c r="R11" s="88"/>
      <c r="S11" s="88"/>
    </row>
    <row r="12" spans="10:19" ht="14.5" customHeight="1" x14ac:dyDescent="0.35">
      <c r="J12" s="88"/>
      <c r="K12" s="88"/>
      <c r="L12" s="88"/>
      <c r="M12" s="88"/>
      <c r="N12" s="88"/>
      <c r="O12" s="88"/>
      <c r="P12" s="88"/>
      <c r="Q12" s="88"/>
      <c r="R12" s="88"/>
      <c r="S12" s="88"/>
    </row>
    <row r="13" spans="10:19" ht="14.5" customHeight="1" x14ac:dyDescent="0.35">
      <c r="J13" s="88"/>
      <c r="K13" s="88"/>
      <c r="L13" s="88"/>
      <c r="M13" s="88"/>
      <c r="N13" s="88"/>
      <c r="O13" s="88"/>
      <c r="P13" s="88"/>
      <c r="Q13" s="88"/>
      <c r="R13" s="88"/>
      <c r="S13" s="88"/>
    </row>
    <row r="14" spans="10:19" ht="14.5" customHeight="1" x14ac:dyDescent="0.35">
      <c r="J14" s="88"/>
      <c r="K14" s="88"/>
      <c r="L14" s="88"/>
      <c r="M14" s="88"/>
      <c r="N14" s="88"/>
      <c r="O14" s="88"/>
      <c r="P14" s="88"/>
      <c r="Q14" s="88"/>
      <c r="R14" s="88"/>
      <c r="S14" s="88"/>
    </row>
    <row r="15" spans="10:19" ht="14.5" customHeight="1" x14ac:dyDescent="0.35">
      <c r="J15" s="34"/>
      <c r="K15" s="34"/>
      <c r="L15" s="34"/>
      <c r="M15" s="34"/>
      <c r="N15" s="34"/>
      <c r="O15" s="34"/>
      <c r="P15" s="34"/>
      <c r="Q15" s="34"/>
      <c r="R15" s="34"/>
      <c r="S15" s="34"/>
    </row>
    <row r="16" spans="10:19" ht="14.5" customHeight="1" x14ac:dyDescent="0.35">
      <c r="J16" s="89" t="s">
        <v>121</v>
      </c>
      <c r="K16" s="89"/>
      <c r="L16" s="89"/>
      <c r="M16" s="89"/>
      <c r="N16" s="89"/>
      <c r="O16" s="89"/>
      <c r="P16" s="89"/>
      <c r="Q16" s="87"/>
      <c r="R16" s="34"/>
      <c r="S16" s="34"/>
    </row>
    <row r="17" spans="2:17" ht="14.5" customHeight="1" x14ac:dyDescent="0.35">
      <c r="J17" s="90" t="s">
        <v>122</v>
      </c>
      <c r="K17" s="90"/>
      <c r="L17" s="90"/>
      <c r="M17" s="90"/>
      <c r="N17" s="90"/>
      <c r="O17" s="90"/>
      <c r="P17" s="90"/>
      <c r="Q17" s="79"/>
    </row>
    <row r="18" spans="2:17" ht="14.5" customHeight="1" x14ac:dyDescent="0.35">
      <c r="J18" s="57" t="s">
        <v>130</v>
      </c>
      <c r="K18" s="57"/>
      <c r="L18" s="57"/>
      <c r="M18" s="57"/>
      <c r="N18" s="57"/>
      <c r="O18" s="57"/>
      <c r="P18" s="57"/>
      <c r="Q18" s="57"/>
    </row>
    <row r="19" spans="2:17" ht="14.5" customHeight="1" x14ac:dyDescent="0.35"/>
    <row r="23" spans="2:17" ht="21" x14ac:dyDescent="0.5">
      <c r="B23" s="17" t="s">
        <v>123</v>
      </c>
    </row>
    <row r="24" spans="2:17" x14ac:dyDescent="0.35">
      <c r="B24" s="83" t="s">
        <v>124</v>
      </c>
    </row>
    <row r="25" spans="2:17" x14ac:dyDescent="0.35">
      <c r="B25" s="83" t="s">
        <v>131</v>
      </c>
    </row>
    <row r="26" spans="2:17" x14ac:dyDescent="0.35">
      <c r="B26" s="83" t="s">
        <v>125</v>
      </c>
    </row>
    <row r="27" spans="2:17" x14ac:dyDescent="0.35">
      <c r="B27" s="83" t="s">
        <v>132</v>
      </c>
    </row>
    <row r="28" spans="2:17" x14ac:dyDescent="0.35">
      <c r="B28" s="83" t="s">
        <v>126</v>
      </c>
    </row>
    <row r="29" spans="2:17" x14ac:dyDescent="0.35">
      <c r="B29" t="s">
        <v>133</v>
      </c>
    </row>
    <row r="30" spans="2:17" x14ac:dyDescent="0.35">
      <c r="B30" s="83" t="s">
        <v>129</v>
      </c>
    </row>
    <row r="31" spans="2:17" x14ac:dyDescent="0.35">
      <c r="B31" s="83"/>
    </row>
  </sheetData>
  <mergeCells count="3">
    <mergeCell ref="J2:S14"/>
    <mergeCell ref="J16:P16"/>
    <mergeCell ref="J17:P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9E06D-ACA2-41D9-9102-3A645C98A22E}">
  <dimension ref="A1:AE30"/>
  <sheetViews>
    <sheetView tabSelected="1" topLeftCell="E1" zoomScale="80" zoomScaleNormal="80" workbookViewId="0">
      <selection activeCell="P18" sqref="P18"/>
    </sheetView>
  </sheetViews>
  <sheetFormatPr defaultRowHeight="14.5" x14ac:dyDescent="0.35"/>
  <cols>
    <col min="1" max="1" width="23.6328125" bestFit="1" customWidth="1"/>
    <col min="2" max="2" width="23.6328125" customWidth="1"/>
    <col min="3" max="3" width="16.7265625" bestFit="1" customWidth="1"/>
    <col min="4" max="4" width="14.08984375" bestFit="1" customWidth="1"/>
    <col min="5" max="5" width="17.6328125" bestFit="1" customWidth="1"/>
    <col min="6" max="6" width="17.26953125" customWidth="1"/>
    <col min="7" max="7" width="17.54296875" customWidth="1"/>
    <col min="8" max="8" width="17.36328125" customWidth="1"/>
    <col min="9" max="9" width="17.453125" customWidth="1"/>
    <col min="12" max="12" width="33.6328125" bestFit="1" customWidth="1"/>
    <col min="14" max="14" width="15.08984375" bestFit="1" customWidth="1"/>
    <col min="15" max="15" width="16.1796875" bestFit="1" customWidth="1"/>
    <col min="16" max="16" width="17" bestFit="1" customWidth="1"/>
    <col min="17" max="17" width="10.81640625" bestFit="1" customWidth="1"/>
  </cols>
  <sheetData>
    <row r="1" spans="1:31" ht="42.5" customHeight="1" thickBot="1" x14ac:dyDescent="0.55000000000000004">
      <c r="A1" s="84" t="s">
        <v>119</v>
      </c>
      <c r="B1" s="128" t="s">
        <v>118</v>
      </c>
      <c r="C1" s="128"/>
      <c r="D1" s="128"/>
      <c r="E1" s="128"/>
      <c r="F1" s="128"/>
      <c r="G1" s="128"/>
      <c r="H1" s="128"/>
      <c r="I1" s="128"/>
      <c r="J1" s="129"/>
      <c r="L1" s="130" t="s">
        <v>117</v>
      </c>
      <c r="M1" s="112" t="s">
        <v>116</v>
      </c>
      <c r="N1" s="112"/>
      <c r="O1" s="112"/>
      <c r="P1" s="112"/>
      <c r="Q1" s="113"/>
      <c r="R1" s="86"/>
      <c r="U1" s="157" t="s">
        <v>115</v>
      </c>
      <c r="V1" s="158"/>
      <c r="W1" s="158"/>
      <c r="X1" s="128" t="s">
        <v>114</v>
      </c>
      <c r="Y1" s="128"/>
      <c r="Z1" s="128"/>
      <c r="AA1" s="128"/>
      <c r="AB1" s="128"/>
      <c r="AC1" s="128"/>
      <c r="AD1" s="128"/>
      <c r="AE1" s="129"/>
    </row>
    <row r="2" spans="1:31" ht="15" thickBot="1" x14ac:dyDescent="0.4">
      <c r="A2" s="99" t="s">
        <v>112</v>
      </c>
      <c r="B2" s="101" t="s">
        <v>111</v>
      </c>
      <c r="C2" s="93" t="s">
        <v>110</v>
      </c>
      <c r="D2" s="95" t="s">
        <v>109</v>
      </c>
      <c r="E2" s="97" t="s">
        <v>108</v>
      </c>
      <c r="F2" s="125" t="s">
        <v>113</v>
      </c>
      <c r="G2" s="126"/>
      <c r="H2" s="126"/>
      <c r="I2" s="126"/>
      <c r="J2" s="127"/>
      <c r="L2" s="131"/>
      <c r="M2" s="114"/>
      <c r="N2" s="114"/>
      <c r="O2" s="114"/>
      <c r="P2" s="114"/>
      <c r="Q2" s="115"/>
      <c r="R2" s="86"/>
    </row>
    <row r="3" spans="1:31" ht="44" customHeight="1" x14ac:dyDescent="0.35">
      <c r="A3" s="100"/>
      <c r="B3" s="102"/>
      <c r="C3" s="94"/>
      <c r="D3" s="96"/>
      <c r="E3" s="98"/>
      <c r="F3" s="35" t="s">
        <v>107</v>
      </c>
      <c r="G3" s="36" t="s">
        <v>106</v>
      </c>
      <c r="H3" s="37" t="s">
        <v>105</v>
      </c>
      <c r="I3" s="38" t="s">
        <v>104</v>
      </c>
      <c r="J3" s="39" t="s">
        <v>1</v>
      </c>
      <c r="L3" s="159" t="s">
        <v>103</v>
      </c>
      <c r="M3" s="160" t="s">
        <v>102</v>
      </c>
      <c r="N3" s="160" t="s">
        <v>101</v>
      </c>
      <c r="O3" s="160" t="s">
        <v>100</v>
      </c>
      <c r="P3" s="160" t="s">
        <v>99</v>
      </c>
      <c r="Q3" s="161" t="s">
        <v>98</v>
      </c>
    </row>
    <row r="4" spans="1:31" x14ac:dyDescent="0.35">
      <c r="A4" s="14" t="s">
        <v>97</v>
      </c>
      <c r="B4" t="s">
        <v>96</v>
      </c>
      <c r="C4" s="6">
        <v>100</v>
      </c>
      <c r="D4">
        <v>41</v>
      </c>
      <c r="E4">
        <v>36</v>
      </c>
      <c r="F4" s="31">
        <v>23</v>
      </c>
      <c r="G4" s="22">
        <v>18.7</v>
      </c>
      <c r="H4">
        <v>53.8</v>
      </c>
      <c r="I4" s="12">
        <f t="shared" ref="I4:I19" si="0">1.08*H4+0.55*G4</f>
        <v>68.388999999999996</v>
      </c>
      <c r="J4" s="163">
        <f t="shared" ref="J4:J19" si="1">100-I4</f>
        <v>31.611000000000004</v>
      </c>
      <c r="L4" s="14" t="s">
        <v>95</v>
      </c>
      <c r="M4">
        <v>100</v>
      </c>
      <c r="N4">
        <v>30.2</v>
      </c>
      <c r="O4">
        <v>69.8</v>
      </c>
      <c r="P4">
        <v>2</v>
      </c>
      <c r="Q4" s="11">
        <v>68</v>
      </c>
    </row>
    <row r="5" spans="1:31" x14ac:dyDescent="0.35">
      <c r="A5" s="14" t="s">
        <v>94</v>
      </c>
      <c r="B5" t="s">
        <v>93</v>
      </c>
      <c r="C5" s="6">
        <v>100</v>
      </c>
      <c r="D5">
        <v>19.7</v>
      </c>
      <c r="E5">
        <v>67.2</v>
      </c>
      <c r="F5" s="31">
        <v>13.1</v>
      </c>
      <c r="G5" s="22">
        <v>2.68</v>
      </c>
      <c r="H5">
        <v>28.9</v>
      </c>
      <c r="I5" s="12">
        <f t="shared" si="0"/>
        <v>32.686</v>
      </c>
      <c r="J5" s="163">
        <f t="shared" si="1"/>
        <v>67.313999999999993</v>
      </c>
      <c r="L5" s="28" t="s">
        <v>92</v>
      </c>
      <c r="Q5" s="11"/>
    </row>
    <row r="6" spans="1:31" x14ac:dyDescent="0.35">
      <c r="A6" s="91" t="s">
        <v>91</v>
      </c>
      <c r="B6" s="132" t="s">
        <v>43</v>
      </c>
      <c r="C6" s="6">
        <v>100</v>
      </c>
      <c r="D6">
        <v>41.2</v>
      </c>
      <c r="E6">
        <f t="shared" ref="E6:E17" si="2">C6-D6-F6</f>
        <v>56.699999999999996</v>
      </c>
      <c r="F6" s="31">
        <v>2.1</v>
      </c>
      <c r="G6" s="22">
        <v>11.9</v>
      </c>
      <c r="H6">
        <v>49.3</v>
      </c>
      <c r="I6" s="12">
        <f t="shared" si="0"/>
        <v>59.789000000000001</v>
      </c>
      <c r="J6" s="163">
        <f t="shared" si="1"/>
        <v>40.210999999999999</v>
      </c>
      <c r="L6" s="14" t="s">
        <v>90</v>
      </c>
      <c r="M6">
        <v>1.07</v>
      </c>
      <c r="N6" s="27">
        <v>1.1399999999999999</v>
      </c>
      <c r="O6">
        <v>1.04</v>
      </c>
      <c r="P6">
        <v>12.8</v>
      </c>
      <c r="Q6" s="11">
        <v>0.69</v>
      </c>
    </row>
    <row r="7" spans="1:31" x14ac:dyDescent="0.35">
      <c r="A7" s="91"/>
      <c r="B7" s="132"/>
      <c r="C7" s="6">
        <v>100</v>
      </c>
      <c r="D7">
        <v>43.2</v>
      </c>
      <c r="E7">
        <f t="shared" si="2"/>
        <v>56</v>
      </c>
      <c r="F7" s="31">
        <v>0.8</v>
      </c>
      <c r="G7" s="22">
        <v>10.9</v>
      </c>
      <c r="H7">
        <v>57.4</v>
      </c>
      <c r="I7" s="12">
        <f t="shared" si="0"/>
        <v>67.987000000000009</v>
      </c>
      <c r="J7" s="163">
        <f t="shared" si="1"/>
        <v>32.012999999999991</v>
      </c>
      <c r="L7" s="14" t="s">
        <v>89</v>
      </c>
      <c r="M7">
        <v>2.8000000000000001E-2</v>
      </c>
      <c r="N7" s="27">
        <v>0.03</v>
      </c>
      <c r="O7">
        <v>0.03</v>
      </c>
      <c r="P7">
        <v>0.36</v>
      </c>
      <c r="Q7" s="11">
        <v>0.02</v>
      </c>
    </row>
    <row r="8" spans="1:31" x14ac:dyDescent="0.35">
      <c r="A8" s="91"/>
      <c r="B8" s="132"/>
      <c r="C8" s="6">
        <v>100</v>
      </c>
      <c r="D8">
        <v>44</v>
      </c>
      <c r="E8">
        <f t="shared" si="2"/>
        <v>54.3</v>
      </c>
      <c r="F8" s="31">
        <v>1.7</v>
      </c>
      <c r="G8" s="22">
        <v>13.2</v>
      </c>
      <c r="H8">
        <v>51.3</v>
      </c>
      <c r="I8" s="12">
        <f t="shared" si="0"/>
        <v>62.664000000000001</v>
      </c>
      <c r="J8" s="163">
        <f t="shared" si="1"/>
        <v>37.335999999999999</v>
      </c>
      <c r="L8" s="14" t="s">
        <v>88</v>
      </c>
      <c r="M8">
        <v>0.82199999999999995</v>
      </c>
      <c r="N8" s="27">
        <v>1.5</v>
      </c>
      <c r="O8">
        <v>0.53</v>
      </c>
      <c r="P8">
        <v>15.1</v>
      </c>
      <c r="Q8" s="11">
        <v>0.1</v>
      </c>
    </row>
    <row r="9" spans="1:31" x14ac:dyDescent="0.35">
      <c r="A9" s="91"/>
      <c r="B9" s="132"/>
      <c r="C9" s="6">
        <v>100</v>
      </c>
      <c r="D9">
        <v>46.8</v>
      </c>
      <c r="E9">
        <f t="shared" si="2"/>
        <v>52.400000000000006</v>
      </c>
      <c r="F9" s="31">
        <v>0.8</v>
      </c>
      <c r="G9" s="22">
        <v>10.8</v>
      </c>
      <c r="H9">
        <v>57.6</v>
      </c>
      <c r="I9" s="12">
        <f t="shared" si="0"/>
        <v>68.14800000000001</v>
      </c>
      <c r="J9" s="163">
        <f t="shared" si="1"/>
        <v>31.85199999999999</v>
      </c>
      <c r="L9" s="14" t="s">
        <v>87</v>
      </c>
      <c r="M9">
        <v>1.92</v>
      </c>
      <c r="N9" s="27">
        <v>2.66</v>
      </c>
      <c r="O9">
        <v>1.6</v>
      </c>
      <c r="P9">
        <v>28.3</v>
      </c>
      <c r="Q9" s="11">
        <v>0.81</v>
      </c>
    </row>
    <row r="10" spans="1:31" x14ac:dyDescent="0.35">
      <c r="A10" s="91"/>
      <c r="B10" s="132"/>
      <c r="C10" s="6">
        <v>100</v>
      </c>
      <c r="D10">
        <v>33.5</v>
      </c>
      <c r="E10">
        <f t="shared" si="2"/>
        <v>65</v>
      </c>
      <c r="F10" s="31">
        <v>1.5</v>
      </c>
      <c r="G10" s="22">
        <v>10.7</v>
      </c>
      <c r="H10">
        <v>43.5</v>
      </c>
      <c r="I10" s="12">
        <f t="shared" si="0"/>
        <v>52.865000000000002</v>
      </c>
      <c r="J10" s="163">
        <f t="shared" si="1"/>
        <v>47.134999999999998</v>
      </c>
      <c r="L10" s="14" t="s">
        <v>86</v>
      </c>
      <c r="M10">
        <v>49.1</v>
      </c>
      <c r="N10" s="27">
        <v>24.3</v>
      </c>
      <c r="O10">
        <v>59.8</v>
      </c>
      <c r="P10">
        <v>49.1</v>
      </c>
      <c r="Q10" s="11">
        <v>62.29</v>
      </c>
    </row>
    <row r="11" spans="1:31" ht="15" thickBot="1" x14ac:dyDescent="0.4">
      <c r="A11" s="91"/>
      <c r="B11" s="132"/>
      <c r="C11" s="6">
        <v>100</v>
      </c>
      <c r="D11">
        <v>20.6</v>
      </c>
      <c r="E11">
        <f t="shared" si="2"/>
        <v>78</v>
      </c>
      <c r="F11" s="31">
        <v>1.4</v>
      </c>
      <c r="G11" s="22">
        <v>9</v>
      </c>
      <c r="H11">
        <v>45.4</v>
      </c>
      <c r="I11" s="12">
        <f t="shared" si="0"/>
        <v>53.982000000000006</v>
      </c>
      <c r="J11" s="163">
        <f t="shared" si="1"/>
        <v>46.017999999999994</v>
      </c>
      <c r="L11" s="19" t="s">
        <v>85</v>
      </c>
      <c r="M11" s="8">
        <v>49</v>
      </c>
      <c r="N11" s="26">
        <v>73</v>
      </c>
      <c r="O11" s="8">
        <v>38.6</v>
      </c>
      <c r="P11" s="8">
        <v>22.6</v>
      </c>
      <c r="Q11" s="7">
        <v>36.9</v>
      </c>
    </row>
    <row r="12" spans="1:31" x14ac:dyDescent="0.35">
      <c r="A12" s="91"/>
      <c r="B12" s="132" t="s">
        <v>44</v>
      </c>
      <c r="C12" s="6">
        <v>100</v>
      </c>
      <c r="D12">
        <v>8.6999999999999993</v>
      </c>
      <c r="E12">
        <f t="shared" si="2"/>
        <v>85.1</v>
      </c>
      <c r="F12" s="31">
        <v>6.2</v>
      </c>
      <c r="G12" s="22">
        <v>5.4</v>
      </c>
      <c r="H12">
        <v>27.3</v>
      </c>
      <c r="I12" s="12">
        <f t="shared" si="0"/>
        <v>32.454000000000001</v>
      </c>
      <c r="J12" s="163">
        <f t="shared" si="1"/>
        <v>67.545999999999992</v>
      </c>
      <c r="L12" s="25" t="s">
        <v>62</v>
      </c>
      <c r="M12" s="174">
        <f>M6/M9</f>
        <v>0.55729166666666674</v>
      </c>
      <c r="N12" s="103" t="s">
        <v>134</v>
      </c>
      <c r="O12" s="104"/>
      <c r="P12" s="104"/>
      <c r="Q12" s="105"/>
    </row>
    <row r="13" spans="1:31" x14ac:dyDescent="0.35">
      <c r="A13" s="91"/>
      <c r="B13" s="132"/>
      <c r="C13" s="6">
        <v>100</v>
      </c>
      <c r="D13">
        <v>17.7</v>
      </c>
      <c r="E13">
        <f t="shared" si="2"/>
        <v>76.8</v>
      </c>
      <c r="F13" s="31">
        <v>5.5</v>
      </c>
      <c r="G13" s="22">
        <v>6.1</v>
      </c>
      <c r="H13">
        <v>26.6</v>
      </c>
      <c r="I13" s="12">
        <f t="shared" si="0"/>
        <v>32.083000000000006</v>
      </c>
      <c r="J13" s="163">
        <f t="shared" si="1"/>
        <v>67.917000000000002</v>
      </c>
      <c r="L13" s="24" t="s">
        <v>84</v>
      </c>
      <c r="M13" s="175">
        <f>P6/P9</f>
        <v>0.45229681978798586</v>
      </c>
      <c r="N13" s="106"/>
      <c r="O13" s="107"/>
      <c r="P13" s="107"/>
      <c r="Q13" s="108"/>
    </row>
    <row r="14" spans="1:31" ht="14.5" customHeight="1" thickBot="1" x14ac:dyDescent="0.4">
      <c r="A14" s="91"/>
      <c r="B14" s="132"/>
      <c r="C14" s="6">
        <v>100</v>
      </c>
      <c r="D14">
        <v>45.8</v>
      </c>
      <c r="E14">
        <f t="shared" si="2"/>
        <v>48.6</v>
      </c>
      <c r="F14" s="31">
        <v>5.6</v>
      </c>
      <c r="G14" s="22">
        <v>7.9</v>
      </c>
      <c r="H14">
        <v>47.1</v>
      </c>
      <c r="I14" s="12">
        <f t="shared" si="0"/>
        <v>55.213000000000001</v>
      </c>
      <c r="J14" s="163">
        <f t="shared" si="1"/>
        <v>44.786999999999999</v>
      </c>
      <c r="L14" s="23" t="s">
        <v>83</v>
      </c>
      <c r="M14" s="176">
        <f>M13/M12</f>
        <v>0.81159803176909606</v>
      </c>
      <c r="N14" s="109"/>
      <c r="O14" s="110"/>
      <c r="P14" s="110"/>
      <c r="Q14" s="111"/>
    </row>
    <row r="15" spans="1:31" x14ac:dyDescent="0.35">
      <c r="A15" s="91"/>
      <c r="B15" s="132"/>
      <c r="C15" s="6">
        <v>100</v>
      </c>
      <c r="D15">
        <v>43.1</v>
      </c>
      <c r="E15">
        <f t="shared" si="2"/>
        <v>51.9</v>
      </c>
      <c r="F15" s="31">
        <v>5</v>
      </c>
      <c r="G15" s="22">
        <v>6.6</v>
      </c>
      <c r="H15">
        <v>40</v>
      </c>
      <c r="I15" s="12">
        <f t="shared" si="0"/>
        <v>46.830000000000005</v>
      </c>
      <c r="J15" s="163">
        <f t="shared" si="1"/>
        <v>53.169999999999995</v>
      </c>
    </row>
    <row r="16" spans="1:31" ht="15" thickBot="1" x14ac:dyDescent="0.4">
      <c r="A16" s="91"/>
      <c r="B16" s="132"/>
      <c r="C16" s="6">
        <v>100</v>
      </c>
      <c r="D16">
        <v>35.200000000000003</v>
      </c>
      <c r="E16">
        <f t="shared" si="2"/>
        <v>61.9</v>
      </c>
      <c r="F16" s="31">
        <v>2.9</v>
      </c>
      <c r="G16" s="22">
        <v>8.1999999999999993</v>
      </c>
      <c r="H16">
        <v>34</v>
      </c>
      <c r="I16" s="12">
        <f t="shared" si="0"/>
        <v>41.23</v>
      </c>
      <c r="J16" s="163">
        <f t="shared" si="1"/>
        <v>58.77</v>
      </c>
    </row>
    <row r="17" spans="1:14" x14ac:dyDescent="0.35">
      <c r="A17" s="91"/>
      <c r="B17" s="132"/>
      <c r="C17" s="6">
        <v>100</v>
      </c>
      <c r="D17">
        <v>43.6</v>
      </c>
      <c r="E17">
        <f t="shared" si="2"/>
        <v>50.3</v>
      </c>
      <c r="F17" s="31">
        <v>6.1</v>
      </c>
      <c r="G17" s="22">
        <v>7.7</v>
      </c>
      <c r="H17">
        <v>39.4</v>
      </c>
      <c r="I17" s="12">
        <f t="shared" si="0"/>
        <v>46.786999999999999</v>
      </c>
      <c r="J17" s="163">
        <f t="shared" si="1"/>
        <v>53.213000000000001</v>
      </c>
      <c r="L17" s="130" t="s">
        <v>82</v>
      </c>
      <c r="M17" s="112" t="s">
        <v>81</v>
      </c>
      <c r="N17" s="113"/>
    </row>
    <row r="18" spans="1:14" x14ac:dyDescent="0.35">
      <c r="A18" s="91" t="s">
        <v>80</v>
      </c>
      <c r="B18" t="s">
        <v>43</v>
      </c>
      <c r="C18" s="6">
        <v>100</v>
      </c>
      <c r="D18">
        <v>30.2</v>
      </c>
      <c r="E18">
        <v>67.599999999999994</v>
      </c>
      <c r="F18" s="31">
        <v>2.2000000000000002</v>
      </c>
      <c r="G18" s="22">
        <v>17.600000000000001</v>
      </c>
      <c r="H18">
        <v>60</v>
      </c>
      <c r="I18" s="12">
        <f t="shared" si="0"/>
        <v>74.480000000000018</v>
      </c>
      <c r="J18" s="163">
        <f t="shared" si="1"/>
        <v>25.519999999999982</v>
      </c>
      <c r="L18" s="145"/>
      <c r="M18" s="150"/>
      <c r="N18" s="146"/>
    </row>
    <row r="19" spans="1:14" ht="15" thickBot="1" x14ac:dyDescent="0.4">
      <c r="A19" s="92"/>
      <c r="B19" s="8" t="s">
        <v>44</v>
      </c>
      <c r="C19" s="9">
        <v>100</v>
      </c>
      <c r="D19" s="8">
        <v>26</v>
      </c>
      <c r="E19" s="8">
        <v>63</v>
      </c>
      <c r="F19" s="33">
        <v>11</v>
      </c>
      <c r="G19" s="21">
        <v>10.7</v>
      </c>
      <c r="H19" s="8">
        <v>36</v>
      </c>
      <c r="I19" s="162">
        <f t="shared" si="0"/>
        <v>44.765000000000001</v>
      </c>
      <c r="J19" s="164">
        <f t="shared" si="1"/>
        <v>55.234999999999999</v>
      </c>
      <c r="L19" s="147"/>
      <c r="M19" s="114"/>
      <c r="N19" s="115"/>
    </row>
    <row r="20" spans="1:14" ht="14.5" customHeight="1" x14ac:dyDescent="0.35">
      <c r="C20" s="144" t="s">
        <v>79</v>
      </c>
      <c r="D20" s="113"/>
      <c r="E20" s="16" t="s">
        <v>78</v>
      </c>
      <c r="F20" s="168">
        <f>AVERAGE(F4:F19)</f>
        <v>5.5562500000000004</v>
      </c>
      <c r="G20" s="168">
        <f>AVERAGE(G4:G19)</f>
        <v>9.879999999999999</v>
      </c>
      <c r="H20" s="168">
        <f>AVERAGE(H4:H19)</f>
        <v>43.6</v>
      </c>
      <c r="I20" s="15" t="s">
        <v>78</v>
      </c>
      <c r="J20" s="165">
        <f>AVERAGE(J4:J19)</f>
        <v>47.477999999999994</v>
      </c>
      <c r="L20" s="16"/>
      <c r="M20" s="30" t="s">
        <v>44</v>
      </c>
      <c r="N20" s="29" t="s">
        <v>43</v>
      </c>
    </row>
    <row r="21" spans="1:14" x14ac:dyDescent="0.35">
      <c r="C21" s="145"/>
      <c r="D21" s="146"/>
      <c r="E21" s="14" t="s">
        <v>77</v>
      </c>
      <c r="F21" s="169">
        <f>MAX(F4:F19)</f>
        <v>23</v>
      </c>
      <c r="G21" s="169">
        <f>MAX(G4:G19)</f>
        <v>18.7</v>
      </c>
      <c r="H21" s="169">
        <f>MAX(H4:H19)</f>
        <v>60</v>
      </c>
      <c r="I21" s="85" t="s">
        <v>76</v>
      </c>
      <c r="J21" s="166">
        <f>MAX(J4:J19)</f>
        <v>67.917000000000002</v>
      </c>
      <c r="L21" s="14" t="s">
        <v>75</v>
      </c>
      <c r="M21" s="148" t="s">
        <v>74</v>
      </c>
      <c r="N21" s="149"/>
    </row>
    <row r="22" spans="1:14" ht="15" thickBot="1" x14ac:dyDescent="0.4">
      <c r="C22" s="147"/>
      <c r="D22" s="115"/>
      <c r="E22" s="19" t="s">
        <v>73</v>
      </c>
      <c r="F22" s="170">
        <f>MIN(F4:F19)</f>
        <v>0.8</v>
      </c>
      <c r="G22" s="170">
        <f>MIN(G4:G19)</f>
        <v>2.68</v>
      </c>
      <c r="H22" s="170">
        <f>MIN(H4:H19)</f>
        <v>26.6</v>
      </c>
      <c r="I22" s="8" t="s">
        <v>73</v>
      </c>
      <c r="J22" s="167">
        <f>MIN(J4:J19)</f>
        <v>25.519999999999982</v>
      </c>
      <c r="L22" s="14" t="s">
        <v>72</v>
      </c>
      <c r="M22">
        <v>2.58</v>
      </c>
      <c r="N22" s="11">
        <v>0.98</v>
      </c>
    </row>
    <row r="23" spans="1:14" ht="15" thickBot="1" x14ac:dyDescent="0.4">
      <c r="C23" s="86"/>
      <c r="D23" s="86"/>
      <c r="L23" s="14" t="s">
        <v>71</v>
      </c>
      <c r="M23">
        <v>1.44</v>
      </c>
      <c r="N23" s="11">
        <v>0.5</v>
      </c>
    </row>
    <row r="24" spans="1:14" ht="14.5" customHeight="1" x14ac:dyDescent="0.35">
      <c r="F24" s="135" t="s">
        <v>69</v>
      </c>
      <c r="G24" s="136"/>
      <c r="H24" s="136"/>
      <c r="I24" s="136"/>
      <c r="J24" s="137"/>
      <c r="L24" s="14" t="s">
        <v>68</v>
      </c>
      <c r="M24">
        <v>0.16</v>
      </c>
      <c r="N24" s="11">
        <v>0.56000000000000005</v>
      </c>
    </row>
    <row r="25" spans="1:14" ht="15" customHeight="1" thickBot="1" x14ac:dyDescent="0.5">
      <c r="C25" s="133" t="s">
        <v>70</v>
      </c>
      <c r="D25" s="134"/>
      <c r="F25" s="138"/>
      <c r="G25" s="139"/>
      <c r="H25" s="139"/>
      <c r="I25" s="139"/>
      <c r="J25" s="140"/>
      <c r="L25" s="19" t="s">
        <v>0</v>
      </c>
      <c r="M25" s="8">
        <v>4.18</v>
      </c>
      <c r="N25" s="7">
        <v>2.04</v>
      </c>
    </row>
    <row r="26" spans="1:14" ht="15" customHeight="1" thickBot="1" x14ac:dyDescent="0.4">
      <c r="C26" s="20" t="s">
        <v>67</v>
      </c>
      <c r="D26" s="171">
        <f>C28+D28*2</f>
        <v>119.97499999999999</v>
      </c>
      <c r="F26" s="141"/>
      <c r="G26" s="142"/>
      <c r="H26" s="142"/>
      <c r="I26" s="142"/>
      <c r="J26" s="143"/>
      <c r="L26" s="81" t="s">
        <v>62</v>
      </c>
      <c r="M26" s="177">
        <f>M22/M25</f>
        <v>0.61722488038277523</v>
      </c>
      <c r="N26" s="179">
        <f>N22/N25</f>
        <v>0.48039215686274506</v>
      </c>
    </row>
    <row r="27" spans="1:14" ht="15" thickBot="1" x14ac:dyDescent="0.4">
      <c r="C27" s="6" t="s">
        <v>66</v>
      </c>
      <c r="D27" s="5" t="s">
        <v>65</v>
      </c>
      <c r="F27" s="78" t="s">
        <v>64</v>
      </c>
      <c r="G27" s="79">
        <f>G22</f>
        <v>2.68</v>
      </c>
      <c r="H27" s="116" t="s">
        <v>63</v>
      </c>
      <c r="I27" s="117"/>
      <c r="J27" s="118"/>
      <c r="L27" s="82" t="s">
        <v>60</v>
      </c>
      <c r="M27" s="178">
        <f>M26*M14</f>
        <v>0.50093849807757618</v>
      </c>
      <c r="N27" s="180">
        <f>N26*M14</f>
        <v>0.38988532898711475</v>
      </c>
    </row>
    <row r="28" spans="1:14" x14ac:dyDescent="0.35">
      <c r="C28" s="172">
        <v>55.844999999999999</v>
      </c>
      <c r="D28" s="171">
        <v>32.064999999999998</v>
      </c>
      <c r="F28" s="78" t="s">
        <v>61</v>
      </c>
      <c r="G28" s="173">
        <f>G27*D26/D28/2*M13</f>
        <v>2.2677117317463038</v>
      </c>
      <c r="H28" s="119"/>
      <c r="I28" s="120"/>
      <c r="J28" s="121"/>
    </row>
    <row r="29" spans="1:14" ht="14.5" customHeight="1" x14ac:dyDescent="0.35">
      <c r="C29" s="3"/>
      <c r="D29" s="1"/>
      <c r="F29" s="78" t="s">
        <v>59</v>
      </c>
      <c r="G29" s="79">
        <f>G4</f>
        <v>18.7</v>
      </c>
      <c r="H29" s="119"/>
      <c r="I29" s="120"/>
      <c r="J29" s="121"/>
    </row>
    <row r="30" spans="1:14" ht="15" thickBot="1" x14ac:dyDescent="0.4">
      <c r="C30" s="18"/>
      <c r="D30" s="18"/>
      <c r="F30" s="80" t="s">
        <v>58</v>
      </c>
      <c r="G30" s="170">
        <f>G29*D26/D28/2*M13</f>
        <v>15.823212456588015</v>
      </c>
      <c r="H30" s="122"/>
      <c r="I30" s="123"/>
      <c r="J30" s="124"/>
    </row>
  </sheetData>
  <mergeCells count="23">
    <mergeCell ref="U1:W1"/>
    <mergeCell ref="X1:AE1"/>
    <mergeCell ref="N12:Q14"/>
    <mergeCell ref="M1:Q2"/>
    <mergeCell ref="H27:J30"/>
    <mergeCell ref="F2:J2"/>
    <mergeCell ref="B1:J1"/>
    <mergeCell ref="L1:L2"/>
    <mergeCell ref="B6:B11"/>
    <mergeCell ref="B12:B17"/>
    <mergeCell ref="C25:D25"/>
    <mergeCell ref="F24:J26"/>
    <mergeCell ref="C20:D22"/>
    <mergeCell ref="M21:N21"/>
    <mergeCell ref="L17:L19"/>
    <mergeCell ref="M17:N19"/>
    <mergeCell ref="A6:A17"/>
    <mergeCell ref="A18:A19"/>
    <mergeCell ref="C2:C3"/>
    <mergeCell ref="D2:D3"/>
    <mergeCell ref="E2:E3"/>
    <mergeCell ref="A2:A3"/>
    <mergeCell ref="B2:B3"/>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B66E0-C40B-4954-96AF-DA331C146E31}">
  <dimension ref="B2:Z24"/>
  <sheetViews>
    <sheetView zoomScale="70" zoomScaleNormal="70" workbookViewId="0">
      <selection activeCell="E20" sqref="E20"/>
    </sheetView>
  </sheetViews>
  <sheetFormatPr defaultRowHeight="14.5" x14ac:dyDescent="0.35"/>
  <cols>
    <col min="2" max="2" width="15.54296875" customWidth="1"/>
    <col min="3" max="3" width="17.36328125" customWidth="1"/>
  </cols>
  <sheetData>
    <row r="2" spans="2:26" ht="15" thickBot="1" x14ac:dyDescent="0.4"/>
    <row r="3" spans="2:26" ht="21.5" thickBot="1" x14ac:dyDescent="0.55000000000000004">
      <c r="B3" s="154" t="s">
        <v>57</v>
      </c>
      <c r="C3" s="155"/>
      <c r="D3" s="155"/>
      <c r="E3" s="155"/>
      <c r="F3" s="155"/>
      <c r="G3" s="155"/>
      <c r="H3" s="156"/>
      <c r="I3" s="151" t="s">
        <v>56</v>
      </c>
      <c r="J3" s="152"/>
      <c r="K3" s="152"/>
      <c r="L3" s="152"/>
      <c r="M3" s="152"/>
      <c r="N3" s="152"/>
      <c r="O3" s="152"/>
      <c r="P3" s="152"/>
      <c r="Q3" s="152"/>
      <c r="R3" s="152"/>
      <c r="S3" s="152"/>
      <c r="T3" s="152"/>
      <c r="U3" s="152"/>
      <c r="V3" s="152"/>
      <c r="W3" s="152"/>
      <c r="X3" s="152"/>
      <c r="Y3" s="152"/>
      <c r="Z3" s="153"/>
    </row>
    <row r="4" spans="2:26" x14ac:dyDescent="0.35">
      <c r="B4" s="16" t="s">
        <v>55</v>
      </c>
      <c r="C4" s="15"/>
      <c r="D4" s="15"/>
      <c r="E4" s="15"/>
      <c r="F4" s="15"/>
      <c r="G4" s="15"/>
      <c r="H4" s="41" t="s">
        <v>54</v>
      </c>
      <c r="I4" s="30"/>
      <c r="J4" s="42" t="s">
        <v>53</v>
      </c>
      <c r="K4" s="50" t="s">
        <v>52</v>
      </c>
      <c r="L4" s="51"/>
      <c r="M4" s="51"/>
      <c r="N4" s="51"/>
      <c r="O4" s="52"/>
      <c r="P4" s="41" t="s">
        <v>52</v>
      </c>
      <c r="Q4" s="30"/>
      <c r="R4" s="30"/>
      <c r="S4" s="30"/>
      <c r="T4" s="30"/>
      <c r="U4" s="41" t="s">
        <v>51</v>
      </c>
      <c r="V4" s="30"/>
      <c r="W4" s="30"/>
      <c r="X4" s="30"/>
      <c r="Y4" s="30"/>
      <c r="Z4" s="29"/>
    </row>
    <row r="5" spans="2:26" x14ac:dyDescent="0.35">
      <c r="B5" s="28" t="s">
        <v>50</v>
      </c>
      <c r="C5" s="40" t="s">
        <v>49</v>
      </c>
      <c r="D5" s="40" t="s">
        <v>48</v>
      </c>
      <c r="E5" s="40" t="s">
        <v>47</v>
      </c>
      <c r="F5" s="40" t="s">
        <v>46</v>
      </c>
      <c r="G5" s="40" t="s">
        <v>45</v>
      </c>
      <c r="H5" s="43" t="s">
        <v>44</v>
      </c>
      <c r="I5" s="38" t="s">
        <v>43</v>
      </c>
      <c r="J5" s="44"/>
      <c r="K5" s="53">
        <v>-75</v>
      </c>
      <c r="L5" s="54" t="s">
        <v>42</v>
      </c>
      <c r="M5" s="54" t="s">
        <v>41</v>
      </c>
      <c r="N5" s="54" t="s">
        <v>40</v>
      </c>
      <c r="O5" s="55" t="s">
        <v>39</v>
      </c>
      <c r="P5" s="45">
        <v>-75</v>
      </c>
      <c r="Q5" s="46" t="s">
        <v>42</v>
      </c>
      <c r="R5" s="46" t="s">
        <v>41</v>
      </c>
      <c r="S5" s="46" t="s">
        <v>40</v>
      </c>
      <c r="T5" s="46" t="s">
        <v>39</v>
      </c>
      <c r="U5" s="47" t="s">
        <v>38</v>
      </c>
      <c r="V5" s="48" t="s">
        <v>37</v>
      </c>
      <c r="W5" s="48" t="s">
        <v>36</v>
      </c>
      <c r="X5" s="48" t="s">
        <v>38</v>
      </c>
      <c r="Y5" s="48" t="s">
        <v>37</v>
      </c>
      <c r="Z5" s="49" t="s">
        <v>36</v>
      </c>
    </row>
    <row r="6" spans="2:26" ht="16.5" x14ac:dyDescent="0.35">
      <c r="B6" s="13" t="s">
        <v>35</v>
      </c>
      <c r="C6" s="4" t="s">
        <v>34</v>
      </c>
      <c r="D6" s="12">
        <f t="shared" ref="D6:D20" si="0">AVERAGE(H6:J6,P6:Z6)</f>
        <v>47.115936943022497</v>
      </c>
      <c r="E6" s="12">
        <f t="shared" ref="E6:E20" si="1">MAX(H6:J6,P6:Z6)</f>
        <v>76.599999999999994</v>
      </c>
      <c r="F6" s="12">
        <f t="shared" ref="F6:F20" si="2">MIN(H6:J6,P6:Z6)</f>
        <v>30.3</v>
      </c>
      <c r="G6">
        <f t="shared" ref="G6:G19" si="3">_xlfn.STDEV.P(H6:J6,P6:Z6)</f>
        <v>14.639363544880945</v>
      </c>
      <c r="H6" s="65">
        <v>46</v>
      </c>
      <c r="I6" s="66">
        <v>38</v>
      </c>
      <c r="J6" s="67">
        <v>59.16</v>
      </c>
      <c r="K6" s="56">
        <v>21.6</v>
      </c>
      <c r="L6" s="57">
        <v>19.8</v>
      </c>
      <c r="M6" s="57">
        <v>22.5</v>
      </c>
      <c r="N6" s="57">
        <v>24.9</v>
      </c>
      <c r="O6" s="58">
        <v>22.6</v>
      </c>
      <c r="P6" s="71">
        <f t="shared" ref="P6:T8" si="4">K6/(K$24-K$23)*100</f>
        <v>34.782608695652172</v>
      </c>
      <c r="Q6" s="72">
        <f t="shared" si="4"/>
        <v>32.352941176470587</v>
      </c>
      <c r="R6" s="72">
        <f t="shared" si="4"/>
        <v>33.382789317507417</v>
      </c>
      <c r="S6" s="72">
        <f t="shared" si="4"/>
        <v>38.604651162790695</v>
      </c>
      <c r="T6" s="72">
        <f t="shared" si="4"/>
        <v>47.780126849894287</v>
      </c>
      <c r="U6" s="31">
        <v>39.56</v>
      </c>
      <c r="V6" s="22">
        <v>76.599999999999994</v>
      </c>
      <c r="W6" s="22">
        <v>74.67</v>
      </c>
      <c r="X6" s="22">
        <v>30.3</v>
      </c>
      <c r="Y6" s="22">
        <v>60.14</v>
      </c>
      <c r="Z6" s="73">
        <v>48.29</v>
      </c>
    </row>
    <row r="7" spans="2:26" ht="16.5" x14ac:dyDescent="0.35">
      <c r="B7" s="13" t="s">
        <v>33</v>
      </c>
      <c r="C7" s="4" t="s">
        <v>32</v>
      </c>
      <c r="D7" s="12">
        <f t="shared" si="0"/>
        <v>32.448471355726262</v>
      </c>
      <c r="E7" s="12">
        <f t="shared" si="1"/>
        <v>41</v>
      </c>
      <c r="F7" s="12">
        <f t="shared" si="2"/>
        <v>6.87</v>
      </c>
      <c r="G7">
        <f t="shared" si="3"/>
        <v>10.092944563016474</v>
      </c>
      <c r="H7" s="31">
        <v>41</v>
      </c>
      <c r="I7" s="68">
        <v>41</v>
      </c>
      <c r="J7" s="67">
        <v>29.4</v>
      </c>
      <c r="K7" s="56">
        <v>23.9</v>
      </c>
      <c r="L7" s="57">
        <v>20.2</v>
      </c>
      <c r="M7" s="57">
        <v>27.4</v>
      </c>
      <c r="N7" s="57">
        <v>24.2</v>
      </c>
      <c r="O7" s="58">
        <v>17.899999999999999</v>
      </c>
      <c r="P7" s="71">
        <f t="shared" si="4"/>
        <v>38.486312399355874</v>
      </c>
      <c r="Q7" s="72">
        <f t="shared" si="4"/>
        <v>33.006535947712415</v>
      </c>
      <c r="R7" s="72">
        <f t="shared" si="4"/>
        <v>40.652818991097917</v>
      </c>
      <c r="S7" s="72">
        <f t="shared" si="4"/>
        <v>37.519379844961236</v>
      </c>
      <c r="T7" s="72">
        <f t="shared" si="4"/>
        <v>37.843551797040163</v>
      </c>
      <c r="U7" s="31">
        <v>38.5</v>
      </c>
      <c r="V7" s="22">
        <v>6.87</v>
      </c>
      <c r="W7" s="22">
        <v>22.18</v>
      </c>
      <c r="X7" s="22">
        <v>32.369999999999997</v>
      </c>
      <c r="Y7" s="22">
        <v>16.09</v>
      </c>
      <c r="Z7" s="73">
        <v>39.36</v>
      </c>
    </row>
    <row r="8" spans="2:26" ht="16.5" x14ac:dyDescent="0.35">
      <c r="B8" s="13" t="s">
        <v>31</v>
      </c>
      <c r="C8" s="4" t="s">
        <v>30</v>
      </c>
      <c r="D8" s="12">
        <f t="shared" si="0"/>
        <v>4.3542466728167426</v>
      </c>
      <c r="E8" s="12">
        <f t="shared" si="1"/>
        <v>11.272141706924316</v>
      </c>
      <c r="F8" s="12">
        <f t="shared" si="2"/>
        <v>0</v>
      </c>
      <c r="G8">
        <f t="shared" si="3"/>
        <v>4.0817669050105883</v>
      </c>
      <c r="H8" s="31" t="s">
        <v>5</v>
      </c>
      <c r="I8" s="68">
        <v>4</v>
      </c>
      <c r="J8" s="67">
        <v>2.9</v>
      </c>
      <c r="K8" s="56">
        <v>7</v>
      </c>
      <c r="L8" s="57">
        <v>6.3</v>
      </c>
      <c r="M8" s="57">
        <v>6.7</v>
      </c>
      <c r="N8" s="57">
        <v>5.5</v>
      </c>
      <c r="O8" s="58">
        <v>2.2000000000000002</v>
      </c>
      <c r="P8" s="71">
        <f t="shared" si="4"/>
        <v>11.272141706924316</v>
      </c>
      <c r="Q8" s="72">
        <f t="shared" si="4"/>
        <v>10.294117647058824</v>
      </c>
      <c r="R8" s="72">
        <f t="shared" si="4"/>
        <v>9.9406528189910972</v>
      </c>
      <c r="S8" s="72">
        <f t="shared" si="4"/>
        <v>8.5271317829457356</v>
      </c>
      <c r="T8" s="72">
        <f t="shared" si="4"/>
        <v>4.6511627906976747</v>
      </c>
      <c r="U8" s="31">
        <v>2.57</v>
      </c>
      <c r="V8" s="22">
        <v>0.01</v>
      </c>
      <c r="W8" s="22">
        <v>0</v>
      </c>
      <c r="X8" s="22">
        <v>2.42</v>
      </c>
      <c r="Y8" s="22">
        <v>0.02</v>
      </c>
      <c r="Z8" s="73">
        <v>0</v>
      </c>
    </row>
    <row r="9" spans="2:26" ht="16.5" x14ac:dyDescent="0.35">
      <c r="B9" s="13" t="s">
        <v>29</v>
      </c>
      <c r="C9" s="4" t="s">
        <v>28</v>
      </c>
      <c r="D9" s="12">
        <f t="shared" si="0"/>
        <v>1.9744444444444449</v>
      </c>
      <c r="E9" s="12">
        <f t="shared" si="1"/>
        <v>5</v>
      </c>
      <c r="F9" s="12">
        <f t="shared" si="2"/>
        <v>0</v>
      </c>
      <c r="G9">
        <f t="shared" si="3"/>
        <v>2.0143160466526768</v>
      </c>
      <c r="H9" s="31">
        <v>5</v>
      </c>
      <c r="I9" s="68">
        <v>5</v>
      </c>
      <c r="J9" s="67">
        <v>4.03</v>
      </c>
      <c r="K9" s="56" t="s">
        <v>3</v>
      </c>
      <c r="L9" s="57" t="s">
        <v>3</v>
      </c>
      <c r="M9" s="57" t="s">
        <v>3</v>
      </c>
      <c r="N9" s="57" t="s">
        <v>3</v>
      </c>
      <c r="O9" s="58" t="s">
        <v>3</v>
      </c>
      <c r="P9" s="31" t="s">
        <v>3</v>
      </c>
      <c r="Q9" s="22" t="s">
        <v>3</v>
      </c>
      <c r="R9" s="22" t="s">
        <v>3</v>
      </c>
      <c r="S9" s="22" t="s">
        <v>3</v>
      </c>
      <c r="T9" s="22" t="s">
        <v>3</v>
      </c>
      <c r="U9" s="31">
        <v>0.39</v>
      </c>
      <c r="V9" s="22">
        <v>0.17</v>
      </c>
      <c r="W9" s="22">
        <v>0</v>
      </c>
      <c r="X9" s="22">
        <v>1.34</v>
      </c>
      <c r="Y9" s="22">
        <v>1.84</v>
      </c>
      <c r="Z9" s="73">
        <v>0</v>
      </c>
    </row>
    <row r="10" spans="2:26" ht="16.5" x14ac:dyDescent="0.35">
      <c r="B10" s="13" t="s">
        <v>27</v>
      </c>
      <c r="C10" s="4" t="s">
        <v>26</v>
      </c>
      <c r="D10" s="12">
        <f t="shared" si="0"/>
        <v>1.7304400744830726</v>
      </c>
      <c r="E10" s="12">
        <f t="shared" si="1"/>
        <v>8</v>
      </c>
      <c r="F10" s="12">
        <f t="shared" si="2"/>
        <v>0</v>
      </c>
      <c r="G10">
        <f t="shared" si="3"/>
        <v>2.5637363452123769</v>
      </c>
      <c r="H10" s="31" t="s">
        <v>23</v>
      </c>
      <c r="I10" s="68">
        <v>8</v>
      </c>
      <c r="J10" s="67">
        <v>0.33</v>
      </c>
      <c r="K10" s="56">
        <v>1.2</v>
      </c>
      <c r="L10" s="57">
        <v>1.1000000000000001</v>
      </c>
      <c r="M10" s="57">
        <v>0.7</v>
      </c>
      <c r="N10" s="57">
        <v>0.8</v>
      </c>
      <c r="O10" s="58">
        <v>0.5</v>
      </c>
      <c r="P10" s="71">
        <f t="shared" ref="P10:T11" si="5">K10/(K$24-K$23)*100</f>
        <v>1.932367149758454</v>
      </c>
      <c r="Q10" s="72">
        <f t="shared" si="5"/>
        <v>1.797385620915033</v>
      </c>
      <c r="R10" s="72">
        <f t="shared" si="5"/>
        <v>1.038575667655786</v>
      </c>
      <c r="S10" s="72">
        <f t="shared" si="5"/>
        <v>1.2403100775193798</v>
      </c>
      <c r="T10" s="72">
        <f t="shared" si="5"/>
        <v>1.0570824524312894</v>
      </c>
      <c r="U10" s="31">
        <v>0</v>
      </c>
      <c r="V10" s="22">
        <v>0</v>
      </c>
      <c r="W10" s="22">
        <v>0</v>
      </c>
      <c r="X10" s="22">
        <v>7.04</v>
      </c>
      <c r="Y10" s="22">
        <v>0.06</v>
      </c>
      <c r="Z10" s="73">
        <v>0</v>
      </c>
    </row>
    <row r="11" spans="2:26" ht="16.5" x14ac:dyDescent="0.35">
      <c r="B11" s="13" t="s">
        <v>25</v>
      </c>
      <c r="C11" s="4" t="s">
        <v>24</v>
      </c>
      <c r="D11" s="12">
        <f t="shared" si="0"/>
        <v>1.715189943049954</v>
      </c>
      <c r="E11" s="12">
        <f t="shared" si="1"/>
        <v>8.0065359477124183</v>
      </c>
      <c r="F11" s="12">
        <f t="shared" si="2"/>
        <v>0</v>
      </c>
      <c r="G11">
        <f t="shared" si="3"/>
        <v>2.3229400080934335</v>
      </c>
      <c r="H11" s="31" t="s">
        <v>23</v>
      </c>
      <c r="I11" s="68" t="s">
        <v>5</v>
      </c>
      <c r="J11" s="67">
        <v>0.55000000000000004</v>
      </c>
      <c r="K11" s="56">
        <v>2.4</v>
      </c>
      <c r="L11" s="57">
        <v>4.9000000000000004</v>
      </c>
      <c r="M11" s="57">
        <v>1.5</v>
      </c>
      <c r="N11" s="57">
        <v>1.7</v>
      </c>
      <c r="O11" s="58">
        <v>1.4</v>
      </c>
      <c r="P11" s="71">
        <f t="shared" si="5"/>
        <v>3.8647342995169081</v>
      </c>
      <c r="Q11" s="72">
        <f t="shared" si="5"/>
        <v>8.0065359477124183</v>
      </c>
      <c r="R11" s="72">
        <f t="shared" si="5"/>
        <v>2.2255192878338277</v>
      </c>
      <c r="S11" s="72">
        <f t="shared" si="5"/>
        <v>2.635658914728682</v>
      </c>
      <c r="T11" s="72">
        <f t="shared" si="5"/>
        <v>2.9598308668076103</v>
      </c>
      <c r="U11" s="31">
        <v>0.1</v>
      </c>
      <c r="V11" s="22">
        <v>0.04</v>
      </c>
      <c r="W11" s="22">
        <v>0</v>
      </c>
      <c r="X11" s="22">
        <v>0.2</v>
      </c>
      <c r="Y11" s="22">
        <v>0</v>
      </c>
      <c r="Z11" s="73">
        <v>0</v>
      </c>
    </row>
    <row r="12" spans="2:26" ht="29" x14ac:dyDescent="0.35">
      <c r="B12" s="13" t="s">
        <v>22</v>
      </c>
      <c r="C12" s="4" t="s">
        <v>21</v>
      </c>
      <c r="D12" s="12">
        <f t="shared" si="0"/>
        <v>1.5516666666666665</v>
      </c>
      <c r="E12" s="12">
        <f t="shared" si="1"/>
        <v>3.08</v>
      </c>
      <c r="F12" s="12">
        <f t="shared" si="2"/>
        <v>0.28000000000000003</v>
      </c>
      <c r="G12">
        <f t="shared" si="3"/>
        <v>0.97760620338093662</v>
      </c>
      <c r="H12" s="31" t="s">
        <v>3</v>
      </c>
      <c r="I12" s="68" t="s">
        <v>3</v>
      </c>
      <c r="J12" s="67" t="s">
        <v>3</v>
      </c>
      <c r="K12" s="56" t="s">
        <v>3</v>
      </c>
      <c r="L12" s="57" t="s">
        <v>3</v>
      </c>
      <c r="M12" s="57" t="s">
        <v>3</v>
      </c>
      <c r="N12" s="57" t="s">
        <v>3</v>
      </c>
      <c r="O12" s="58" t="s">
        <v>3</v>
      </c>
      <c r="P12" s="31" t="s">
        <v>3</v>
      </c>
      <c r="Q12" s="22" t="s">
        <v>3</v>
      </c>
      <c r="R12" s="22" t="s">
        <v>3</v>
      </c>
      <c r="S12" s="22" t="s">
        <v>3</v>
      </c>
      <c r="T12" s="22" t="s">
        <v>3</v>
      </c>
      <c r="U12" s="31">
        <v>2.59</v>
      </c>
      <c r="V12" s="22">
        <v>0.81</v>
      </c>
      <c r="W12" s="22">
        <v>0.28000000000000003</v>
      </c>
      <c r="X12" s="22">
        <v>3.08</v>
      </c>
      <c r="Y12" s="22">
        <v>1.27</v>
      </c>
      <c r="Z12" s="73">
        <v>1.28</v>
      </c>
    </row>
    <row r="13" spans="2:26" ht="16.5" x14ac:dyDescent="0.35">
      <c r="B13" s="13" t="s">
        <v>20</v>
      </c>
      <c r="C13" s="4" t="s">
        <v>19</v>
      </c>
      <c r="D13" s="12">
        <f t="shared" si="0"/>
        <v>1.3966666666666667</v>
      </c>
      <c r="E13" s="12">
        <f t="shared" si="1"/>
        <v>2.4900000000000002</v>
      </c>
      <c r="F13" s="12">
        <f t="shared" si="2"/>
        <v>0</v>
      </c>
      <c r="G13">
        <f t="shared" si="3"/>
        <v>1.0653585729175359</v>
      </c>
      <c r="H13" s="31" t="s">
        <v>3</v>
      </c>
      <c r="I13" s="68" t="s">
        <v>3</v>
      </c>
      <c r="J13" s="67" t="s">
        <v>3</v>
      </c>
      <c r="K13" s="56" t="s">
        <v>3</v>
      </c>
      <c r="L13" s="57" t="s">
        <v>3</v>
      </c>
      <c r="M13" s="57" t="s">
        <v>3</v>
      </c>
      <c r="N13" s="57" t="s">
        <v>3</v>
      </c>
      <c r="O13" s="58" t="s">
        <v>3</v>
      </c>
      <c r="P13" s="31" t="s">
        <v>3</v>
      </c>
      <c r="Q13" s="22" t="s">
        <v>3</v>
      </c>
      <c r="R13" s="22" t="s">
        <v>3</v>
      </c>
      <c r="S13" s="22" t="s">
        <v>3</v>
      </c>
      <c r="T13" s="22" t="s">
        <v>3</v>
      </c>
      <c r="U13" s="31">
        <v>2.4900000000000002</v>
      </c>
      <c r="V13" s="22">
        <v>1.27</v>
      </c>
      <c r="W13" s="22">
        <v>2.4300000000000002</v>
      </c>
      <c r="X13" s="22">
        <v>0</v>
      </c>
      <c r="Y13" s="22">
        <v>0</v>
      </c>
      <c r="Z13" s="73">
        <v>2.19</v>
      </c>
    </row>
    <row r="14" spans="2:26" ht="17.5" x14ac:dyDescent="0.35">
      <c r="B14" s="13" t="s">
        <v>18</v>
      </c>
      <c r="C14" s="4" t="s">
        <v>17</v>
      </c>
      <c r="D14" s="12">
        <f t="shared" si="0"/>
        <v>0.94714285714285729</v>
      </c>
      <c r="E14" s="12">
        <f t="shared" si="1"/>
        <v>4.7300000000000004</v>
      </c>
      <c r="F14" s="12">
        <f t="shared" si="2"/>
        <v>0</v>
      </c>
      <c r="G14">
        <f t="shared" si="3"/>
        <v>1.6012469630680628</v>
      </c>
      <c r="H14" s="31" t="s">
        <v>5</v>
      </c>
      <c r="I14" s="68" t="s">
        <v>5</v>
      </c>
      <c r="J14" s="67">
        <v>0.76</v>
      </c>
      <c r="K14" s="56" t="s">
        <v>3</v>
      </c>
      <c r="L14" s="57" t="s">
        <v>3</v>
      </c>
      <c r="M14" s="57" t="s">
        <v>3</v>
      </c>
      <c r="N14" s="57" t="s">
        <v>3</v>
      </c>
      <c r="O14" s="58" t="s">
        <v>3</v>
      </c>
      <c r="P14" s="31" t="s">
        <v>3</v>
      </c>
      <c r="Q14" s="22" t="s">
        <v>3</v>
      </c>
      <c r="R14" s="22" t="s">
        <v>3</v>
      </c>
      <c r="S14" s="22" t="s">
        <v>3</v>
      </c>
      <c r="T14" s="22" t="s">
        <v>3</v>
      </c>
      <c r="U14" s="31">
        <v>0.01</v>
      </c>
      <c r="V14" s="22">
        <v>0</v>
      </c>
      <c r="W14" s="22">
        <v>0</v>
      </c>
      <c r="X14" s="22">
        <v>1.1299999999999999</v>
      </c>
      <c r="Y14" s="22">
        <v>4.7300000000000004</v>
      </c>
      <c r="Z14" s="73">
        <v>0</v>
      </c>
    </row>
    <row r="15" spans="2:26" ht="16.5" x14ac:dyDescent="0.35">
      <c r="B15" s="13" t="s">
        <v>16</v>
      </c>
      <c r="C15" s="4" t="s">
        <v>15</v>
      </c>
      <c r="D15" s="12">
        <f t="shared" si="0"/>
        <v>0.875</v>
      </c>
      <c r="E15" s="12">
        <f t="shared" si="1"/>
        <v>1.95</v>
      </c>
      <c r="F15" s="12">
        <f t="shared" si="2"/>
        <v>0</v>
      </c>
      <c r="G15">
        <f t="shared" si="3"/>
        <v>0.79544012973950473</v>
      </c>
      <c r="H15" s="31" t="s">
        <v>3</v>
      </c>
      <c r="I15" s="68" t="s">
        <v>3</v>
      </c>
      <c r="J15" s="67" t="s">
        <v>3</v>
      </c>
      <c r="K15" s="56" t="s">
        <v>3</v>
      </c>
      <c r="L15" s="57" t="s">
        <v>3</v>
      </c>
      <c r="M15" s="57" t="s">
        <v>3</v>
      </c>
      <c r="N15" s="57" t="s">
        <v>3</v>
      </c>
      <c r="O15" s="58" t="s">
        <v>3</v>
      </c>
      <c r="P15" s="31" t="s">
        <v>3</v>
      </c>
      <c r="Q15" s="22" t="s">
        <v>3</v>
      </c>
      <c r="R15" s="22" t="s">
        <v>3</v>
      </c>
      <c r="S15" s="22" t="s">
        <v>3</v>
      </c>
      <c r="T15" s="22" t="s">
        <v>3</v>
      </c>
      <c r="U15" s="31">
        <v>0.32</v>
      </c>
      <c r="V15" s="22">
        <v>1.34</v>
      </c>
      <c r="W15" s="22">
        <v>1.95</v>
      </c>
      <c r="X15" s="22">
        <v>0</v>
      </c>
      <c r="Y15" s="22">
        <v>0</v>
      </c>
      <c r="Z15" s="73">
        <v>1.64</v>
      </c>
    </row>
    <row r="16" spans="2:26" ht="16.5" x14ac:dyDescent="0.35">
      <c r="B16" s="13" t="s">
        <v>14</v>
      </c>
      <c r="C16" s="4" t="s">
        <v>13</v>
      </c>
      <c r="D16" s="12">
        <f t="shared" si="0"/>
        <v>0.54166666666666663</v>
      </c>
      <c r="E16" s="12">
        <f t="shared" si="1"/>
        <v>1.0900000000000001</v>
      </c>
      <c r="F16" s="12">
        <f t="shared" si="2"/>
        <v>0</v>
      </c>
      <c r="G16">
        <f t="shared" si="3"/>
        <v>0.42076979718394975</v>
      </c>
      <c r="H16" s="31" t="s">
        <v>3</v>
      </c>
      <c r="I16" s="68" t="s">
        <v>3</v>
      </c>
      <c r="J16" s="67" t="s">
        <v>3</v>
      </c>
      <c r="K16" s="56" t="s">
        <v>3</v>
      </c>
      <c r="L16" s="57" t="s">
        <v>3</v>
      </c>
      <c r="M16" s="57" t="s">
        <v>3</v>
      </c>
      <c r="N16" s="57" t="s">
        <v>3</v>
      </c>
      <c r="O16" s="58" t="s">
        <v>3</v>
      </c>
      <c r="P16" s="31" t="s">
        <v>3</v>
      </c>
      <c r="Q16" s="22" t="s">
        <v>3</v>
      </c>
      <c r="R16" s="22" t="s">
        <v>3</v>
      </c>
      <c r="S16" s="22" t="s">
        <v>3</v>
      </c>
      <c r="T16" s="22" t="s">
        <v>3</v>
      </c>
      <c r="U16" s="31">
        <v>0.95</v>
      </c>
      <c r="V16" s="22">
        <v>0.61</v>
      </c>
      <c r="W16" s="22">
        <v>0.6</v>
      </c>
      <c r="X16" s="22">
        <v>0</v>
      </c>
      <c r="Y16" s="22">
        <v>0</v>
      </c>
      <c r="Z16" s="73">
        <v>1.0900000000000001</v>
      </c>
    </row>
    <row r="17" spans="2:26" ht="16.5" x14ac:dyDescent="0.35">
      <c r="B17" s="13" t="s">
        <v>12</v>
      </c>
      <c r="C17" s="4" t="s">
        <v>11</v>
      </c>
      <c r="D17" s="12">
        <f t="shared" si="0"/>
        <v>0.50142857142857145</v>
      </c>
      <c r="E17" s="12">
        <f t="shared" si="1"/>
        <v>1.86</v>
      </c>
      <c r="F17" s="12">
        <f t="shared" si="2"/>
        <v>0</v>
      </c>
      <c r="G17">
        <f t="shared" si="3"/>
        <v>0.79481226123673065</v>
      </c>
      <c r="H17" s="31" t="s">
        <v>5</v>
      </c>
      <c r="I17" s="68" t="s">
        <v>5</v>
      </c>
      <c r="J17" s="67">
        <v>1.65</v>
      </c>
      <c r="K17" s="56" t="s">
        <v>3</v>
      </c>
      <c r="L17" s="57" t="s">
        <v>3</v>
      </c>
      <c r="M17" s="57" t="s">
        <v>3</v>
      </c>
      <c r="N17" s="57" t="s">
        <v>3</v>
      </c>
      <c r="O17" s="58" t="s">
        <v>3</v>
      </c>
      <c r="P17" s="31" t="s">
        <v>3</v>
      </c>
      <c r="Q17" s="22" t="s">
        <v>3</v>
      </c>
      <c r="R17" s="22" t="s">
        <v>3</v>
      </c>
      <c r="S17" s="22" t="s">
        <v>3</v>
      </c>
      <c r="T17" s="22" t="s">
        <v>3</v>
      </c>
      <c r="U17" s="31">
        <v>0</v>
      </c>
      <c r="V17" s="22">
        <v>0</v>
      </c>
      <c r="W17" s="22">
        <v>0</v>
      </c>
      <c r="X17" s="22">
        <v>0</v>
      </c>
      <c r="Y17" s="22">
        <v>1.86</v>
      </c>
      <c r="Z17" s="73">
        <v>0</v>
      </c>
    </row>
    <row r="18" spans="2:26" ht="33" x14ac:dyDescent="0.35">
      <c r="B18" s="13" t="s">
        <v>10</v>
      </c>
      <c r="C18" s="4" t="s">
        <v>9</v>
      </c>
      <c r="D18" s="12">
        <f t="shared" si="0"/>
        <v>0.47333333333333338</v>
      </c>
      <c r="E18" s="12">
        <f t="shared" si="1"/>
        <v>1.35</v>
      </c>
      <c r="F18" s="12">
        <f t="shared" si="2"/>
        <v>0.01</v>
      </c>
      <c r="G18">
        <f t="shared" si="3"/>
        <v>0.62023293115481137</v>
      </c>
      <c r="H18" s="31" t="s">
        <v>3</v>
      </c>
      <c r="I18" s="68" t="s">
        <v>3</v>
      </c>
      <c r="J18" s="67" t="s">
        <v>3</v>
      </c>
      <c r="K18" s="56" t="s">
        <v>3</v>
      </c>
      <c r="L18" s="57" t="s">
        <v>3</v>
      </c>
      <c r="M18" s="57" t="s">
        <v>3</v>
      </c>
      <c r="N18" s="57" t="s">
        <v>3</v>
      </c>
      <c r="O18" s="58" t="s">
        <v>3</v>
      </c>
      <c r="P18" s="31" t="s">
        <v>3</v>
      </c>
      <c r="Q18" s="22" t="s">
        <v>3</v>
      </c>
      <c r="R18" s="22" t="s">
        <v>3</v>
      </c>
      <c r="S18" s="22" t="s">
        <v>3</v>
      </c>
      <c r="T18" s="22" t="s">
        <v>3</v>
      </c>
      <c r="U18" s="31">
        <v>1.35</v>
      </c>
      <c r="V18" s="22">
        <v>0.06</v>
      </c>
      <c r="W18" s="22">
        <v>0.01</v>
      </c>
      <c r="X18" s="22" t="s">
        <v>3</v>
      </c>
      <c r="Y18" s="22" t="s">
        <v>3</v>
      </c>
      <c r="Z18" s="73" t="s">
        <v>3</v>
      </c>
    </row>
    <row r="19" spans="2:26" ht="16.5" x14ac:dyDescent="0.35">
      <c r="B19" s="13" t="s">
        <v>8</v>
      </c>
      <c r="C19" s="4" t="s">
        <v>7</v>
      </c>
      <c r="D19" s="12">
        <f t="shared" si="0"/>
        <v>0.18666666666666668</v>
      </c>
      <c r="E19" s="12">
        <f t="shared" si="1"/>
        <v>0.47</v>
      </c>
      <c r="F19" s="12">
        <f t="shared" si="2"/>
        <v>0.04</v>
      </c>
      <c r="G19">
        <f t="shared" si="3"/>
        <v>0.20038851153585513</v>
      </c>
      <c r="H19" s="31" t="s">
        <v>3</v>
      </c>
      <c r="I19" s="68" t="s">
        <v>3</v>
      </c>
      <c r="J19" s="67" t="s">
        <v>3</v>
      </c>
      <c r="K19" s="56" t="s">
        <v>3</v>
      </c>
      <c r="L19" s="57" t="s">
        <v>3</v>
      </c>
      <c r="M19" s="57" t="s">
        <v>3</v>
      </c>
      <c r="N19" s="57" t="s">
        <v>3</v>
      </c>
      <c r="O19" s="58" t="s">
        <v>3</v>
      </c>
      <c r="P19" s="31" t="s">
        <v>3</v>
      </c>
      <c r="Q19" s="22" t="s">
        <v>3</v>
      </c>
      <c r="R19" s="22" t="s">
        <v>3</v>
      </c>
      <c r="S19" s="22" t="s">
        <v>3</v>
      </c>
      <c r="T19" s="22" t="s">
        <v>3</v>
      </c>
      <c r="U19" s="31">
        <v>0.04</v>
      </c>
      <c r="V19" s="22">
        <v>0.47</v>
      </c>
      <c r="W19" s="22">
        <v>0.05</v>
      </c>
      <c r="X19" s="22" t="s">
        <v>3</v>
      </c>
      <c r="Y19" s="22" t="s">
        <v>3</v>
      </c>
      <c r="Z19" s="73" t="s">
        <v>3</v>
      </c>
    </row>
    <row r="20" spans="2:26" ht="16.5" x14ac:dyDescent="0.35">
      <c r="B20" s="13" t="s">
        <v>6</v>
      </c>
      <c r="C20" s="4" t="s">
        <v>128</v>
      </c>
      <c r="D20" s="12">
        <f t="shared" si="0"/>
        <v>5.3101560574921258</v>
      </c>
      <c r="E20" s="12">
        <f t="shared" si="1"/>
        <v>11.72106824925816</v>
      </c>
      <c r="F20" s="12">
        <f t="shared" si="2"/>
        <v>0.5</v>
      </c>
      <c r="H20" s="32">
        <v>5</v>
      </c>
      <c r="I20" s="69" t="s">
        <v>5</v>
      </c>
      <c r="J20" s="70">
        <v>1.1299999999999999</v>
      </c>
      <c r="K20" s="59">
        <v>4.4000000000000004</v>
      </c>
      <c r="L20" s="60">
        <v>6.8</v>
      </c>
      <c r="M20" s="60">
        <v>7.9</v>
      </c>
      <c r="N20" s="60">
        <v>6.9</v>
      </c>
      <c r="O20" s="61">
        <v>2.6</v>
      </c>
      <c r="P20" s="74">
        <f>K20/(K$24-K$23)*100</f>
        <v>7.0853462157809997</v>
      </c>
      <c r="Q20" s="75">
        <f>L20/(L$24-L$23)*100</f>
        <v>11.111111111111112</v>
      </c>
      <c r="R20" s="75">
        <f>M20/(M$24-M$23)*100</f>
        <v>11.72106824925816</v>
      </c>
      <c r="S20" s="75">
        <f>N20/(N$24-N$23)*100</f>
        <v>10.697674418604652</v>
      </c>
      <c r="T20" s="75">
        <f>O20/(O$24-O$23)*100</f>
        <v>5.4968287526427062</v>
      </c>
      <c r="U20" s="31">
        <v>4.7</v>
      </c>
      <c r="V20" s="22">
        <v>4.01</v>
      </c>
      <c r="W20" s="22">
        <v>3.93</v>
      </c>
      <c r="X20" s="22">
        <v>0.88</v>
      </c>
      <c r="Y20" s="22">
        <v>0.5</v>
      </c>
      <c r="Z20" s="73">
        <v>2.77</v>
      </c>
    </row>
    <row r="21" spans="2:26" ht="17" thickBot="1" x14ac:dyDescent="0.5">
      <c r="B21" s="10" t="s">
        <v>4</v>
      </c>
      <c r="C21" s="8" t="s">
        <v>127</v>
      </c>
      <c r="D21" s="8"/>
      <c r="E21" s="8"/>
      <c r="F21" s="8"/>
      <c r="G21" s="8"/>
      <c r="H21" s="21"/>
      <c r="I21" s="21"/>
      <c r="J21" s="21"/>
      <c r="K21" s="62"/>
      <c r="L21" s="63"/>
      <c r="M21" s="63"/>
      <c r="N21" s="63"/>
      <c r="O21" s="64"/>
      <c r="P21" s="76"/>
      <c r="Q21" s="76"/>
      <c r="R21" s="76"/>
      <c r="S21" s="76"/>
      <c r="T21" s="76"/>
      <c r="U21" s="33">
        <v>0.28000000000000003</v>
      </c>
      <c r="V21" s="21">
        <v>0</v>
      </c>
      <c r="W21" s="21">
        <v>0.76</v>
      </c>
      <c r="X21" s="21" t="s">
        <v>3</v>
      </c>
      <c r="Y21" s="21" t="s">
        <v>3</v>
      </c>
      <c r="Z21" s="77" t="s">
        <v>3</v>
      </c>
    </row>
    <row r="22" spans="2:26" ht="58" x14ac:dyDescent="0.35">
      <c r="B22" s="4" t="s">
        <v>2</v>
      </c>
      <c r="K22" s="6">
        <v>1.6</v>
      </c>
      <c r="L22">
        <v>2.1</v>
      </c>
      <c r="M22">
        <v>0.7</v>
      </c>
      <c r="N22">
        <v>0.5</v>
      </c>
      <c r="O22" s="5">
        <v>0.1</v>
      </c>
    </row>
    <row r="23" spans="2:26" x14ac:dyDescent="0.35">
      <c r="B23" s="4" t="s">
        <v>1</v>
      </c>
      <c r="K23" s="6">
        <v>37.9</v>
      </c>
      <c r="L23">
        <v>38.4</v>
      </c>
      <c r="M23">
        <v>32.4</v>
      </c>
      <c r="N23">
        <v>35.5</v>
      </c>
      <c r="O23" s="5">
        <v>52.6</v>
      </c>
    </row>
    <row r="24" spans="2:26" x14ac:dyDescent="0.35">
      <c r="B24" s="4" t="s">
        <v>0</v>
      </c>
      <c r="K24" s="3">
        <f>SUM(K6:K23)</f>
        <v>100</v>
      </c>
      <c r="L24" s="2">
        <f>SUM(L6:L23)</f>
        <v>99.6</v>
      </c>
      <c r="M24" s="2">
        <f>SUM(M6:M23)</f>
        <v>99.800000000000011</v>
      </c>
      <c r="N24" s="2">
        <f>SUM(N6:N23)</f>
        <v>100</v>
      </c>
      <c r="O24" s="1">
        <f>SUM(O6:O23)</f>
        <v>99.9</v>
      </c>
    </row>
  </sheetData>
  <mergeCells count="2">
    <mergeCell ref="I3:Z3"/>
    <mergeCell ref="B3:H3"/>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97D17CAA950EE4D924D1965124D0307" ma:contentTypeVersion="12" ma:contentTypeDescription="Create a new document." ma:contentTypeScope="" ma:versionID="aa86fb85562cc322bf30dc6ba7280b76">
  <xsd:schema xmlns:xsd="http://www.w3.org/2001/XMLSchema" xmlns:xs="http://www.w3.org/2001/XMLSchema" xmlns:p="http://schemas.microsoft.com/office/2006/metadata/properties" xmlns:ns2="342d088f-befc-4512-a35e-849730f478ef" xmlns:ns3="1d74b71d-250a-4272-b26b-d6d60bb5357a" targetNamespace="http://schemas.microsoft.com/office/2006/metadata/properties" ma:root="true" ma:fieldsID="5b0ec5c26990940b698fff333ec66bab" ns2:_="" ns3:_="">
    <xsd:import namespace="342d088f-befc-4512-a35e-849730f478ef"/>
    <xsd:import namespace="1d74b71d-250a-4272-b26b-d6d60bb5357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2d088f-befc-4512-a35e-849730f478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74b71d-250a-4272-b26b-d6d60bb5357a"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6B2E3E-03C8-48FF-92E4-5B48C5D47C08}">
  <ds:schemaRefs>
    <ds:schemaRef ds:uri="http://schemas.microsoft.com/sharepoint/v3/contenttype/forms"/>
  </ds:schemaRefs>
</ds:datastoreItem>
</file>

<file path=customXml/itemProps2.xml><?xml version="1.0" encoding="utf-8"?>
<ds:datastoreItem xmlns:ds="http://schemas.openxmlformats.org/officeDocument/2006/customXml" ds:itemID="{E8D35D10-F255-4A0B-B3AC-A9AB13786C04}">
  <ds:schemaRefs>
    <ds:schemaRef ds:uri="http://purl.org/dc/elements/1.1/"/>
    <ds:schemaRef ds:uri="http://schemas.microsoft.com/office/2006/metadata/properties"/>
    <ds:schemaRef ds:uri="http://purl.org/dc/terms/"/>
    <ds:schemaRef ds:uri="1d74b71d-250a-4272-b26b-d6d60bb5357a"/>
    <ds:schemaRef ds:uri="342d088f-befc-4512-a35e-849730f478ef"/>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B1DE28F4-C370-43A9-A0E5-0D442902C3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2d088f-befc-4512-a35e-849730f478ef"/>
    <ds:schemaRef ds:uri="1d74b71d-250a-4272-b26b-d6d60bb535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Two-stage flotation process</vt:lpstr>
      <vt:lpstr>Flotation test results</vt:lpstr>
      <vt:lpstr>Major mineral content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Helene-Marie</dc:creator>
  <cp:lastModifiedBy>Helene-Marie</cp:lastModifiedBy>
  <dcterms:created xsi:type="dcterms:W3CDTF">2021-07-07T14:33:14Z</dcterms:created>
  <dcterms:modified xsi:type="dcterms:W3CDTF">2022-01-07T08:55:31Z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0x010100897D17CAA950EE4D924D1965124D0307</vt:lpwstr>
  </property>
</Properties>
</file>