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uctcloud.sharepoint.com/sites/CeBERMineWaste-2013_Helene-Marie-Stander_S-Stream_Decision-Making/Shared Documents/2013_Helene-Marie-Stander_S-Stream_Decision-Making/Research Papers/Soil amelioration paper/"/>
    </mc:Choice>
  </mc:AlternateContent>
  <xr:revisionPtr revIDLastSave="225" documentId="8_{BC0443DC-E594-4A0D-BD6E-B260759E8CA5}" xr6:coauthVersionLast="47" xr6:coauthVersionMax="47" xr10:uidLastSave="{7506E936-088D-460F-9E16-CF73B260EADE}"/>
  <bookViews>
    <workbookView xWindow="-110" yWindow="-110" windowWidth="19420" windowHeight="10420" activeTab="1" xr2:uid="{CCCD8B47-96FD-4CB9-A789-3908305D7F50}"/>
  </bookViews>
  <sheets>
    <sheet name="Two-stage flotation process" sheetId="1" r:id="rId1"/>
    <sheet name="Flotation test results" sheetId="3" r:id="rId2"/>
    <sheet name="Major mineral cont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3" l="1"/>
  <c r="F21" i="3"/>
  <c r="F20" i="3"/>
  <c r="H22" i="3" l="1"/>
  <c r="H21" i="3"/>
  <c r="H20" i="3"/>
  <c r="I4" i="3"/>
  <c r="J4" i="3" s="1"/>
  <c r="I5" i="3"/>
  <c r="J5" i="3" s="1"/>
  <c r="E6" i="3"/>
  <c r="I6" i="3"/>
  <c r="J6" i="3" s="1"/>
  <c r="E7" i="3"/>
  <c r="I7" i="3"/>
  <c r="J7" i="3" s="1"/>
  <c r="E8" i="3"/>
  <c r="I8" i="3"/>
  <c r="J8" i="3" s="1"/>
  <c r="E9" i="3"/>
  <c r="I9" i="3"/>
  <c r="J9" i="3" s="1"/>
  <c r="E10" i="3"/>
  <c r="I10" i="3"/>
  <c r="J10" i="3" s="1"/>
  <c r="E11" i="3"/>
  <c r="I11" i="3"/>
  <c r="J11" i="3" s="1"/>
  <c r="E12" i="3"/>
  <c r="I12" i="3"/>
  <c r="J12" i="3" s="1"/>
  <c r="M12" i="3"/>
  <c r="E13" i="3"/>
  <c r="I13" i="3"/>
  <c r="J13" i="3" s="1"/>
  <c r="M13" i="3"/>
  <c r="E14" i="3"/>
  <c r="I14" i="3"/>
  <c r="J14" i="3" s="1"/>
  <c r="E15" i="3"/>
  <c r="I15" i="3"/>
  <c r="J15" i="3" s="1"/>
  <c r="E16" i="3"/>
  <c r="I16" i="3"/>
  <c r="J16" i="3" s="1"/>
  <c r="E17" i="3"/>
  <c r="I17" i="3"/>
  <c r="J17" i="3"/>
  <c r="I18" i="3"/>
  <c r="J18" i="3" s="1"/>
  <c r="I19" i="3"/>
  <c r="J19" i="3" s="1"/>
  <c r="G20" i="3"/>
  <c r="G21" i="3"/>
  <c r="G22" i="3"/>
  <c r="G27" i="3" s="1"/>
  <c r="M26" i="3"/>
  <c r="N26" i="3"/>
  <c r="D26" i="3"/>
  <c r="G29" i="3"/>
  <c r="Q6" i="2"/>
  <c r="Q8" i="2"/>
  <c r="R8" i="2"/>
  <c r="D9" i="2"/>
  <c r="E9" i="2"/>
  <c r="F9" i="2"/>
  <c r="G9" i="2"/>
  <c r="Q10" i="2"/>
  <c r="R10" i="2"/>
  <c r="Q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Q20" i="2"/>
  <c r="K24" i="2"/>
  <c r="P7" i="2" s="1"/>
  <c r="L24" i="2"/>
  <c r="Q7" i="2" s="1"/>
  <c r="M24" i="2"/>
  <c r="R6" i="2" s="1"/>
  <c r="N24" i="2"/>
  <c r="S8" i="2" s="1"/>
  <c r="O24" i="2"/>
  <c r="T7" i="2" s="1"/>
  <c r="G28" i="3" l="1"/>
  <c r="M14" i="3"/>
  <c r="M27" i="3" s="1"/>
  <c r="G30" i="3"/>
  <c r="J20" i="3"/>
  <c r="J21" i="3"/>
  <c r="J22" i="3"/>
  <c r="T20" i="2"/>
  <c r="P20" i="2"/>
  <c r="T11" i="2"/>
  <c r="P11" i="2"/>
  <c r="S7" i="2"/>
  <c r="T6" i="2"/>
  <c r="P6" i="2"/>
  <c r="S20" i="2"/>
  <c r="S11" i="2"/>
  <c r="T10" i="2"/>
  <c r="P10" i="2"/>
  <c r="R7" i="2"/>
  <c r="D7" i="2" s="1"/>
  <c r="S6" i="2"/>
  <c r="R20" i="2"/>
  <c r="R11" i="2"/>
  <c r="S10" i="2"/>
  <c r="T8" i="2"/>
  <c r="P8" i="2"/>
  <c r="N27" i="3" l="1"/>
  <c r="F7" i="2"/>
  <c r="E11" i="2"/>
  <c r="F11" i="2"/>
  <c r="G11" i="2"/>
  <c r="D11" i="2"/>
  <c r="F10" i="2"/>
  <c r="G10" i="2"/>
  <c r="D10" i="2"/>
  <c r="E10" i="2"/>
  <c r="G8" i="2"/>
  <c r="D8" i="2"/>
  <c r="E8" i="2"/>
  <c r="F8" i="2"/>
  <c r="E20" i="2"/>
  <c r="F20" i="2"/>
  <c r="D20" i="2"/>
  <c r="E7" i="2"/>
  <c r="G7" i="2"/>
  <c r="E6" i="2"/>
  <c r="F6" i="2"/>
  <c r="G6" i="2"/>
  <c r="D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Helene-Marie</author>
  </authors>
  <commentList>
    <comment ref="I3" authorId="0" shapeId="0" xr:uid="{92ACEA65-109E-4E08-8175-D55DAC5CDE00}">
      <text>
        <r>
          <rPr>
            <b/>
            <sz val="9"/>
            <color indexed="81"/>
            <rFont val="Tahoma"/>
            <family val="2"/>
          </rPr>
          <t>Helene-Marie:</t>
        </r>
        <r>
          <rPr>
            <sz val="9"/>
            <color indexed="81"/>
            <rFont val="Tahoma"/>
            <family val="2"/>
          </rPr>
          <t xml:space="preserve">
Calculation from Moyo 2018 p. 59</t>
        </r>
      </text>
    </comment>
    <comment ref="M13" authorId="0" shapeId="0" xr:uid="{F637E75E-08FA-4DB7-9DEE-F4E1490D0F72}">
      <text>
        <r>
          <rPr>
            <b/>
            <sz val="9"/>
            <color indexed="81"/>
            <rFont val="Tahoma"/>
            <family val="2"/>
          </rPr>
          <t>Helene-Marie:</t>
        </r>
        <r>
          <rPr>
            <sz val="9"/>
            <color indexed="81"/>
            <rFont val="Tahoma"/>
            <family val="2"/>
          </rPr>
          <t xml:space="preserve">
I have taken 45% as the proportion of pyrite in the sulfide-enriched stream, based on Fundikwa's numbers. I realise that this is only one measurement, but it is all I have to go on. I have sanity-checked it with Iroala's feed sulfur speciation results below.</t>
        </r>
      </text>
    </comment>
    <comment ref="L27" authorId="0" shapeId="0" xr:uid="{34DAB3C5-D325-4C84-8881-3D9199F482D7}">
      <text>
        <r>
          <rPr>
            <b/>
            <sz val="9"/>
            <color indexed="81"/>
            <rFont val="Tahoma"/>
            <family val="2"/>
          </rPr>
          <t>Helene-Marie:</t>
        </r>
        <r>
          <rPr>
            <sz val="9"/>
            <color indexed="81"/>
            <rFont val="Tahoma"/>
            <family val="2"/>
          </rPr>
          <t xml:space="preserve">
The figures for the possible pyrite % in the sulfide-enriched stream, assuming that the proportion of pyrite will change like it did for Fundikwa's numbers, is between 50% and 39%, which is on average similar to Fundikwa's 45%, so it passed a cursory sanity check.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Helene-Marie</author>
  </authors>
  <commentList>
    <comment ref="H4" authorId="0" shapeId="0" xr:uid="{FFB9745E-A44E-4093-8941-E4881F8BA6A4}">
      <text>
        <r>
          <rPr>
            <b/>
            <sz val="9"/>
            <color indexed="81"/>
            <rFont val="Tahoma"/>
            <family val="2"/>
          </rPr>
          <t>Helene-Marie:</t>
        </r>
        <r>
          <rPr>
            <sz val="9"/>
            <color indexed="81"/>
            <rFont val="Tahoma"/>
            <family val="2"/>
          </rPr>
          <t xml:space="preserve">
X-ray diffraction results
It is assumed, but not stated, that these are mass % in mineral matter, since the numbers add up to high 90's and there is normally significant amounts of coal in fine coal waste.</t>
        </r>
      </text>
    </comment>
    <comment ref="J4" authorId="0" shapeId="0" xr:uid="{E5F9C4A7-390A-4000-A469-398A3C495230}">
      <text>
        <r>
          <rPr>
            <b/>
            <sz val="9"/>
            <color indexed="81"/>
            <rFont val="Tahoma"/>
            <family val="2"/>
          </rPr>
          <t>Helene-Marie:</t>
        </r>
        <r>
          <rPr>
            <sz val="9"/>
            <color indexed="81"/>
            <rFont val="Tahoma"/>
            <family val="2"/>
          </rPr>
          <t xml:space="preserve">
X-ray diffraction analyses
It is assumed, but not stated, that these are mass % in mineral matter figures, since the numbers add up to 99,91</t>
        </r>
      </text>
    </comment>
    <comment ref="K4" authorId="0" shapeId="0" xr:uid="{9A7981D1-7A72-4B60-95B9-A1CB92A34C29}">
      <text>
        <r>
          <rPr>
            <b/>
            <sz val="9"/>
            <color indexed="81"/>
            <rFont val="Tahoma"/>
            <family val="2"/>
          </rPr>
          <t>Helene-Marie:</t>
        </r>
        <r>
          <rPr>
            <sz val="9"/>
            <color indexed="81"/>
            <rFont val="Tahoma"/>
            <family val="2"/>
          </rPr>
          <t xml:space="preserve">
These figures are straight from the thesis and is clearly mass% of stream total, not mass% mineral matter, so I converted them.</t>
        </r>
      </text>
    </comment>
    <comment ref="L4" authorId="0" shapeId="0" xr:uid="{DA4D5553-B3B0-4248-84FD-DD4B159ABBEE}">
      <text>
        <r>
          <rPr>
            <b/>
            <sz val="9"/>
            <color indexed="81"/>
            <rFont val="Tahoma"/>
            <family val="2"/>
          </rPr>
          <t>Helene-Marie:</t>
        </r>
        <r>
          <rPr>
            <sz val="9"/>
            <color indexed="81"/>
            <rFont val="Tahoma"/>
            <family val="2"/>
          </rPr>
          <t xml:space="preserve">
These are QEMSCAN results</t>
        </r>
      </text>
    </comment>
    <comment ref="P4" authorId="0" shapeId="0" xr:uid="{02B8E60E-801D-4CAB-B59B-D121E1D5C219}">
      <text>
        <r>
          <rPr>
            <b/>
            <sz val="9"/>
            <color indexed="81"/>
            <rFont val="Tahoma"/>
            <family val="2"/>
          </rPr>
          <t>Helene-Marie:</t>
        </r>
        <r>
          <rPr>
            <sz val="9"/>
            <color indexed="81"/>
            <rFont val="Tahoma"/>
            <family val="2"/>
          </rPr>
          <t xml:space="preserve">
These figures were reworked to be mass % in mineral matter</t>
        </r>
      </text>
    </comment>
    <comment ref="Q4" authorId="0" shapeId="0" xr:uid="{84893F1D-11DA-4505-938B-1B922FEB5745}">
      <text>
        <r>
          <rPr>
            <b/>
            <sz val="9"/>
            <color indexed="81"/>
            <rFont val="Tahoma"/>
            <family val="2"/>
          </rPr>
          <t>Helene-Marie:</t>
        </r>
        <r>
          <rPr>
            <sz val="9"/>
            <color indexed="81"/>
            <rFont val="Tahoma"/>
            <family val="2"/>
          </rPr>
          <t xml:space="preserve">
These are QEMSCAN results</t>
        </r>
      </text>
    </comment>
    <comment ref="U5" authorId="0" shapeId="0" xr:uid="{0283709C-1443-495B-9BA7-02A84A96422C}">
      <text>
        <r>
          <rPr>
            <b/>
            <sz val="9"/>
            <color indexed="81"/>
            <rFont val="Tahoma"/>
            <family val="2"/>
          </rPr>
          <t>Helene-Marie:</t>
        </r>
        <r>
          <rPr>
            <sz val="9"/>
            <color indexed="81"/>
            <rFont val="Tahoma"/>
            <family val="2"/>
          </rPr>
          <t xml:space="preserve">
QEMSCAN results</t>
        </r>
      </text>
    </comment>
    <comment ref="V5" authorId="0" shapeId="0" xr:uid="{9B14C63C-E4EB-4C8A-B342-BEF8CBD174C0}">
      <text>
        <r>
          <rPr>
            <b/>
            <sz val="9"/>
            <color indexed="81"/>
            <rFont val="Tahoma"/>
            <family val="2"/>
          </rPr>
          <t>Helene-Marie:</t>
        </r>
        <r>
          <rPr>
            <sz val="9"/>
            <color indexed="81"/>
            <rFont val="Tahoma"/>
            <family val="2"/>
          </rPr>
          <t xml:space="preserve">
QEMSCAN results</t>
        </r>
      </text>
    </comment>
    <comment ref="W5" authorId="0" shapeId="0" xr:uid="{9B2B8583-49B8-472D-8726-38FF9A897A48}">
      <text>
        <r>
          <rPr>
            <b/>
            <sz val="9"/>
            <color indexed="81"/>
            <rFont val="Tahoma"/>
            <family val="2"/>
          </rPr>
          <t>Helene-Marie:</t>
        </r>
        <r>
          <rPr>
            <sz val="9"/>
            <color indexed="81"/>
            <rFont val="Tahoma"/>
            <family val="2"/>
          </rPr>
          <t xml:space="preserve">
QEMSCAN results</t>
        </r>
      </text>
    </comment>
    <comment ref="X5" authorId="0" shapeId="0" xr:uid="{2B1A0EA5-CF4D-4573-B7C9-FB83B7A3788C}">
      <text>
        <r>
          <rPr>
            <b/>
            <sz val="9"/>
            <color indexed="81"/>
            <rFont val="Tahoma"/>
            <family val="2"/>
          </rPr>
          <t>Helene-Marie:</t>
        </r>
        <r>
          <rPr>
            <sz val="9"/>
            <color indexed="81"/>
            <rFont val="Tahoma"/>
            <family val="2"/>
          </rPr>
          <t xml:space="preserve">
QXRD results</t>
        </r>
      </text>
    </comment>
    <comment ref="Y5" authorId="0" shapeId="0" xr:uid="{303B16D1-87B9-4CDC-AC07-4844B69F13E7}">
      <text>
        <r>
          <rPr>
            <b/>
            <sz val="9"/>
            <color indexed="81"/>
            <rFont val="Tahoma"/>
            <family val="2"/>
          </rPr>
          <t>Helene-Marie:</t>
        </r>
        <r>
          <rPr>
            <sz val="9"/>
            <color indexed="81"/>
            <rFont val="Tahoma"/>
            <family val="2"/>
          </rPr>
          <t xml:space="preserve">
QXRD results</t>
        </r>
      </text>
    </comment>
    <comment ref="Z5" authorId="0" shapeId="0" xr:uid="{09134E54-C134-4205-8232-3CF7F2C06D84}">
      <text>
        <r>
          <rPr>
            <b/>
            <sz val="9"/>
            <color indexed="81"/>
            <rFont val="Tahoma"/>
            <family val="2"/>
          </rPr>
          <t>Helene-Marie:</t>
        </r>
        <r>
          <rPr>
            <sz val="9"/>
            <color indexed="81"/>
            <rFont val="Tahoma"/>
            <family val="2"/>
          </rPr>
          <t xml:space="preserve">
QXRD results</t>
        </r>
      </text>
    </comment>
    <comment ref="B22" authorId="0" shapeId="0" xr:uid="{491F181C-1555-458C-B80C-B110CCEE6BA5}">
      <text>
        <r>
          <rPr>
            <b/>
            <sz val="9"/>
            <color indexed="81"/>
            <rFont val="Tahoma"/>
            <family val="2"/>
          </rPr>
          <t>Helene-Marie:</t>
        </r>
        <r>
          <rPr>
            <sz val="9"/>
            <color indexed="81"/>
            <rFont val="Tahoma"/>
            <family val="2"/>
          </rPr>
          <t xml:space="preserve">
These were added to convert the numbers in Kotelo (2013) so that they are on the same basis as the other results.</t>
        </r>
      </text>
    </comment>
    <comment ref="B23" authorId="0" shapeId="0" xr:uid="{71F52942-6D39-4CD8-8D75-CE8F1CA13A1D}">
      <text>
        <r>
          <rPr>
            <b/>
            <sz val="9"/>
            <color indexed="81"/>
            <rFont val="Tahoma"/>
            <family val="2"/>
          </rPr>
          <t>Helene-Marie:</t>
        </r>
        <r>
          <rPr>
            <sz val="9"/>
            <color indexed="81"/>
            <rFont val="Tahoma"/>
            <family val="2"/>
          </rPr>
          <t xml:space="preserve">
Helene-Marie:
These were added to convert the numbers in Kotelo (2013) so that they are on the same basis as the other results.</t>
        </r>
      </text>
    </comment>
  </commentList>
</comments>
</file>

<file path=xl/sharedStrings.xml><?xml version="1.0" encoding="utf-8"?>
<sst xmlns="http://schemas.openxmlformats.org/spreadsheetml/2006/main" count="277" uniqueCount="135">
  <si>
    <t>Total</t>
  </si>
  <si>
    <t>coal</t>
  </si>
  <si>
    <t>sulfate minerals (Gypsum + epsomite + jarosite)</t>
  </si>
  <si>
    <t>no mention</t>
  </si>
  <si>
    <t>Chalcopyrite</t>
  </si>
  <si>
    <t>&lt;2</t>
  </si>
  <si>
    <t>Pyrite</t>
  </si>
  <si>
    <r>
      <t>Ca</t>
    </r>
    <r>
      <rPr>
        <vertAlign val="subscript"/>
        <sz val="11"/>
        <color theme="1"/>
        <rFont val="Calibri"/>
        <family val="2"/>
        <scheme val="minor"/>
      </rPr>
      <t>5</t>
    </r>
    <r>
      <rPr>
        <sz val="11"/>
        <color theme="1"/>
        <rFont val="Calibri"/>
        <family val="2"/>
        <scheme val="minor"/>
      </rPr>
      <t>(PO</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3</t>
    </r>
    <r>
      <rPr>
        <sz val="11"/>
        <color theme="1"/>
        <rFont val="Calibri"/>
        <family val="2"/>
        <scheme val="minor"/>
      </rPr>
      <t>(OH,F,Cl)</t>
    </r>
  </si>
  <si>
    <t>Apatite</t>
  </si>
  <si>
    <r>
      <t>NaCa</t>
    </r>
    <r>
      <rPr>
        <vertAlign val="subscript"/>
        <sz val="11"/>
        <color theme="1"/>
        <rFont val="Calibri"/>
        <family val="2"/>
        <scheme val="minor"/>
      </rPr>
      <t>2</t>
    </r>
    <r>
      <rPr>
        <sz val="11"/>
        <color theme="1"/>
        <rFont val="Calibri"/>
        <family val="2"/>
        <scheme val="minor"/>
      </rPr>
      <t>(Mg,Fe,Al)</t>
    </r>
    <r>
      <rPr>
        <vertAlign val="subscript"/>
        <sz val="11"/>
        <color theme="1"/>
        <rFont val="Calibri"/>
        <family val="2"/>
        <scheme val="minor"/>
      </rPr>
      <t>5</t>
    </r>
    <r>
      <rPr>
        <sz val="11"/>
        <color theme="1"/>
        <rFont val="Calibri"/>
        <family val="2"/>
        <scheme val="minor"/>
      </rPr>
      <t>(Al,Si)</t>
    </r>
    <r>
      <rPr>
        <vertAlign val="subscript"/>
        <sz val="11"/>
        <color theme="1"/>
        <rFont val="Calibri"/>
        <family val="2"/>
        <scheme val="minor"/>
      </rPr>
      <t>8</t>
    </r>
    <r>
      <rPr>
        <sz val="11"/>
        <color theme="1"/>
        <rFont val="Calibri"/>
        <family val="2"/>
        <scheme val="minor"/>
      </rPr>
      <t>O</t>
    </r>
    <r>
      <rPr>
        <vertAlign val="subscript"/>
        <sz val="11"/>
        <color theme="1"/>
        <rFont val="Calibri"/>
        <family val="2"/>
        <scheme val="minor"/>
      </rPr>
      <t>22</t>
    </r>
    <r>
      <rPr>
        <sz val="11"/>
        <color theme="1"/>
        <rFont val="Calibri"/>
        <family val="2"/>
        <scheme val="minor"/>
      </rPr>
      <t>(OH)</t>
    </r>
    <r>
      <rPr>
        <vertAlign val="subscript"/>
        <sz val="11"/>
        <color theme="1"/>
        <rFont val="Calibri"/>
        <family val="2"/>
        <scheme val="minor"/>
      </rPr>
      <t>2</t>
    </r>
  </si>
  <si>
    <t>Amphibole</t>
  </si>
  <si>
    <r>
      <t>MgSO</t>
    </r>
    <r>
      <rPr>
        <vertAlign val="subscript"/>
        <sz val="11"/>
        <color theme="1"/>
        <rFont val="Calibri"/>
        <family val="2"/>
        <scheme val="minor"/>
      </rPr>
      <t>4</t>
    </r>
    <r>
      <rPr>
        <sz val="11"/>
        <color theme="1"/>
        <rFont val="Calibri"/>
        <family val="2"/>
        <scheme val="minor"/>
      </rPr>
      <t>.7H</t>
    </r>
    <r>
      <rPr>
        <vertAlign val="subscript"/>
        <sz val="11"/>
        <color theme="1"/>
        <rFont val="Calibri"/>
        <family val="2"/>
        <scheme val="minor"/>
      </rPr>
      <t>2</t>
    </r>
    <r>
      <rPr>
        <sz val="11"/>
        <color theme="1"/>
        <rFont val="Calibri"/>
        <family val="2"/>
        <scheme val="minor"/>
      </rPr>
      <t>O</t>
    </r>
  </si>
  <si>
    <t>Epsomite</t>
  </si>
  <si>
    <r>
      <t>KAl</t>
    </r>
    <r>
      <rPr>
        <vertAlign val="subscript"/>
        <sz val="11"/>
        <color theme="1"/>
        <rFont val="Calibri"/>
        <family val="2"/>
        <scheme val="minor"/>
      </rPr>
      <t>2</t>
    </r>
    <r>
      <rPr>
        <sz val="11"/>
        <color theme="1"/>
        <rFont val="Calibri"/>
        <family val="2"/>
        <scheme val="minor"/>
      </rPr>
      <t>[AlSi</t>
    </r>
    <r>
      <rPr>
        <vertAlign val="subscript"/>
        <sz val="11"/>
        <color theme="1"/>
        <rFont val="Calibri"/>
        <family val="2"/>
        <scheme val="minor"/>
      </rPr>
      <t>3</t>
    </r>
    <r>
      <rPr>
        <sz val="11"/>
        <color theme="1"/>
        <rFont val="Calibri"/>
        <family val="2"/>
        <scheme val="minor"/>
      </rPr>
      <t>O</t>
    </r>
    <r>
      <rPr>
        <vertAlign val="subscript"/>
        <sz val="11"/>
        <color theme="1"/>
        <rFont val="Calibri"/>
        <family val="2"/>
        <scheme val="minor"/>
      </rPr>
      <t>10</t>
    </r>
    <r>
      <rPr>
        <sz val="11"/>
        <color theme="1"/>
        <rFont val="Calibri"/>
        <family val="2"/>
        <scheme val="minor"/>
      </rPr>
      <t>](OH)</t>
    </r>
    <r>
      <rPr>
        <vertAlign val="subscript"/>
        <sz val="11"/>
        <color theme="1"/>
        <rFont val="Calibri"/>
        <family val="2"/>
        <scheme val="minor"/>
      </rPr>
      <t>2</t>
    </r>
  </si>
  <si>
    <t>Muscovite</t>
  </si>
  <si>
    <r>
      <t>TiO</t>
    </r>
    <r>
      <rPr>
        <vertAlign val="subscript"/>
        <sz val="11"/>
        <color theme="1"/>
        <rFont val="Calibri"/>
        <family val="2"/>
        <scheme val="minor"/>
      </rPr>
      <t>2</t>
    </r>
  </si>
  <si>
    <t>Rutile</t>
  </si>
  <si>
    <r>
      <t>KFe</t>
    </r>
    <r>
      <rPr>
        <vertAlign val="superscript"/>
        <sz val="11"/>
        <color theme="1"/>
        <rFont val="Calibri"/>
        <family val="2"/>
        <scheme val="minor"/>
      </rPr>
      <t>3+</t>
    </r>
    <r>
      <rPr>
        <vertAlign val="subscript"/>
        <sz val="11"/>
        <color theme="1"/>
        <rFont val="Calibri"/>
        <family val="2"/>
        <scheme val="minor"/>
      </rPr>
      <t>3</t>
    </r>
    <r>
      <rPr>
        <sz val="11"/>
        <color theme="1"/>
        <rFont val="Calibri"/>
        <family val="2"/>
        <scheme val="minor"/>
      </rPr>
      <t>(OH)</t>
    </r>
    <r>
      <rPr>
        <vertAlign val="subscript"/>
        <sz val="11"/>
        <color theme="1"/>
        <rFont val="Calibri"/>
        <family val="2"/>
        <scheme val="minor"/>
      </rPr>
      <t>6</t>
    </r>
    <r>
      <rPr>
        <sz val="11"/>
        <color theme="1"/>
        <rFont val="Calibri"/>
        <family val="2"/>
        <scheme val="minor"/>
      </rPr>
      <t>(SO</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2</t>
    </r>
  </si>
  <si>
    <t>Jarosite</t>
  </si>
  <si>
    <r>
      <t>KAlSi</t>
    </r>
    <r>
      <rPr>
        <vertAlign val="subscript"/>
        <sz val="11"/>
        <color theme="1"/>
        <rFont val="Calibri"/>
        <family val="2"/>
        <scheme val="minor"/>
      </rPr>
      <t>3</t>
    </r>
    <r>
      <rPr>
        <sz val="11"/>
        <color theme="1"/>
        <rFont val="Calibri"/>
        <family val="2"/>
        <scheme val="minor"/>
      </rPr>
      <t>O</t>
    </r>
    <r>
      <rPr>
        <vertAlign val="subscript"/>
        <sz val="11"/>
        <color theme="1"/>
        <rFont val="Calibri"/>
        <family val="2"/>
        <scheme val="minor"/>
      </rPr>
      <t>8</t>
    </r>
  </si>
  <si>
    <t>K-feldspar</t>
  </si>
  <si>
    <t>FeOOH</t>
  </si>
  <si>
    <t>Iron-oxyhydroxide</t>
  </si>
  <si>
    <t>not detectable</t>
  </si>
  <si>
    <r>
      <t>FeCO</t>
    </r>
    <r>
      <rPr>
        <vertAlign val="subscript"/>
        <sz val="11"/>
        <color theme="1"/>
        <rFont val="Calibri"/>
        <family val="2"/>
        <scheme val="minor"/>
      </rPr>
      <t>3</t>
    </r>
  </si>
  <si>
    <t>Siderite</t>
  </si>
  <si>
    <r>
      <t>CaMg(CO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</si>
  <si>
    <t>Dolomite</t>
  </si>
  <si>
    <r>
      <t>CaSO</t>
    </r>
    <r>
      <rPr>
        <vertAlign val="subscript"/>
        <sz val="11"/>
        <color theme="1"/>
        <rFont val="Calibri"/>
        <family val="2"/>
        <scheme val="minor"/>
      </rPr>
      <t>4</t>
    </r>
    <r>
      <rPr>
        <sz val="11"/>
        <color theme="1"/>
        <rFont val="Calibri"/>
        <family val="2"/>
        <scheme val="minor"/>
      </rPr>
      <t>.2H</t>
    </r>
    <r>
      <rPr>
        <vertAlign val="subscript"/>
        <sz val="11"/>
        <color theme="1"/>
        <rFont val="Calibri"/>
        <family val="2"/>
        <scheme val="minor"/>
      </rPr>
      <t>2</t>
    </r>
    <r>
      <rPr>
        <sz val="11"/>
        <color theme="1"/>
        <rFont val="Calibri"/>
        <family val="2"/>
        <scheme val="minor"/>
      </rPr>
      <t>O</t>
    </r>
  </si>
  <si>
    <t>Gypsum</t>
  </si>
  <si>
    <r>
      <t>CaCO</t>
    </r>
    <r>
      <rPr>
        <vertAlign val="subscript"/>
        <sz val="11"/>
        <color theme="1"/>
        <rFont val="Calibri"/>
        <family val="2"/>
        <scheme val="minor"/>
      </rPr>
      <t>3</t>
    </r>
  </si>
  <si>
    <t>Calcite</t>
  </si>
  <si>
    <r>
      <t>SiO</t>
    </r>
    <r>
      <rPr>
        <vertAlign val="subscript"/>
        <sz val="11"/>
        <color theme="1"/>
        <rFont val="Calibri"/>
        <family val="2"/>
        <scheme val="minor"/>
      </rPr>
      <t>2</t>
    </r>
  </si>
  <si>
    <t>Quartz</t>
  </si>
  <si>
    <r>
      <t>Al</t>
    </r>
    <r>
      <rPr>
        <vertAlign val="subscript"/>
        <sz val="11"/>
        <color theme="1"/>
        <rFont val="Calibri"/>
        <family val="2"/>
        <scheme val="minor"/>
      </rPr>
      <t>2</t>
    </r>
    <r>
      <rPr>
        <sz val="11"/>
        <color theme="1"/>
        <rFont val="Calibri"/>
        <family val="2"/>
        <scheme val="minor"/>
      </rPr>
      <t>Si</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(OH)</t>
    </r>
    <r>
      <rPr>
        <vertAlign val="subscript"/>
        <sz val="11"/>
        <color theme="1"/>
        <rFont val="Calibri"/>
        <family val="2"/>
        <scheme val="minor"/>
      </rPr>
      <t>4</t>
    </r>
  </si>
  <si>
    <t>Kaolinite</t>
  </si>
  <si>
    <t>Sample C</t>
  </si>
  <si>
    <t>Sample B</t>
  </si>
  <si>
    <t>Sample A</t>
  </si>
  <si>
    <t>+212 -355</t>
  </si>
  <si>
    <t>+180 -212</t>
  </si>
  <si>
    <t>+106 -180</t>
  </si>
  <si>
    <t>+75 -106</t>
  </si>
  <si>
    <t>Waterberg</t>
  </si>
  <si>
    <t>Witbank</t>
  </si>
  <si>
    <t>content std dev</t>
  </si>
  <si>
    <t>Min content</t>
  </si>
  <si>
    <t>Max content</t>
  </si>
  <si>
    <t>Content avg</t>
  </si>
  <si>
    <t>Chemical formula</t>
  </si>
  <si>
    <t>Mineral</t>
  </si>
  <si>
    <t>Moyo (2018)</t>
  </si>
  <si>
    <t>Kotelo (2013)</t>
  </si>
  <si>
    <t>Kazadi-Mbamba (2011)</t>
  </si>
  <si>
    <t>Iroala (2014)</t>
  </si>
  <si>
    <t>Everything, except Kotelo (2013)'s first numbers in mass % of mineral matter.</t>
  </si>
  <si>
    <t>These are measurements of the feed stream to the two-stage flotation process, not the sulfide-enriched material. It is used to get an idea of what minerals might be present in the material.</t>
  </si>
  <si>
    <t>Major mineral components present in coal tailings waste</t>
  </si>
  <si>
    <t>Max FeS2</t>
  </si>
  <si>
    <t>Max S</t>
  </si>
  <si>
    <t>Pyrite as probable % of sulfur in sulfide-rich stream</t>
  </si>
  <si>
    <t>Min FeS2</t>
  </si>
  <si>
    <t>Pyrite as % of sulfur in feed</t>
  </si>
  <si>
    <t>This table uses the data on this spreadsheet to show how much pyrite is likely to be in our material.</t>
  </si>
  <si>
    <t>Min S</t>
  </si>
  <si>
    <t>S</t>
  </si>
  <si>
    <t>Fe</t>
  </si>
  <si>
    <t>FeS2</t>
  </si>
  <si>
    <t xml:space="preserve">Organic </t>
  </si>
  <si>
    <t>Calculation of min &amp; max pyrite expected in s-enriched material</t>
  </si>
  <si>
    <t>Pyrite composition</t>
  </si>
  <si>
    <t>Sulfate</t>
  </si>
  <si>
    <t xml:space="preserve">Sulfide </t>
  </si>
  <si>
    <t>MIN</t>
  </si>
  <si>
    <t>Average %</t>
  </si>
  <si>
    <t xml:space="preserve">Forms of Sulfur </t>
  </si>
  <si>
    <t>MAX</t>
  </si>
  <si>
    <t xml:space="preserve">MAX </t>
  </si>
  <si>
    <t>Average</t>
  </si>
  <si>
    <t>These numbers give a sense of how much sulfur and coal can be expected in the sulfide-enriched stream</t>
  </si>
  <si>
    <t>Iroala, 2014</t>
  </si>
  <si>
    <t>These results were used to give an indication of the variability of sulfur speciation of different coals (Iroala, 2014: 49)</t>
  </si>
  <si>
    <t>Sulfur speciation in feed stream</t>
  </si>
  <si>
    <t>Change in proportion</t>
  </si>
  <si>
    <t>Pyrite as % of sulfur in sulfide concentrate</t>
  </si>
  <si>
    <t>Fixed Carbon and Volatile matter</t>
  </si>
  <si>
    <t xml:space="preserve">Ash </t>
  </si>
  <si>
    <t xml:space="preserve"> Total Sulfur</t>
  </si>
  <si>
    <t>Organic Sulfur</t>
  </si>
  <si>
    <t>Sulfates</t>
  </si>
  <si>
    <t>Sulfide Sulfur</t>
  </si>
  <si>
    <t>Howlett &amp; Marsden 2013</t>
  </si>
  <si>
    <t xml:space="preserve">Stream Compositions (%) </t>
  </si>
  <si>
    <t>Middelburg</t>
  </si>
  <si>
    <t>Kazadi-Mbamba et al. 2012</t>
  </si>
  <si>
    <t>Total Solids Deportment from Feed (%)</t>
  </si>
  <si>
    <t>Big Coal Mining Company</t>
  </si>
  <si>
    <t>Magabane &amp; Naidoo, 2011</t>
  </si>
  <si>
    <t>Sulfide Lean</t>
  </si>
  <si>
    <t>Sulfide Rich Stream</t>
  </si>
  <si>
    <t>First Stage Tailings</t>
  </si>
  <si>
    <t>Coal concentrate</t>
  </si>
  <si>
    <t>Feed</t>
  </si>
  <si>
    <t>Stream name</t>
  </si>
  <si>
    <t>Mineral content</t>
  </si>
  <si>
    <t>ash m% of sulfide-enriched stream</t>
  </si>
  <si>
    <t>sulfur m% of sulfide-enriched stream</t>
  </si>
  <si>
    <t>Sulfide-enriched material mass % of 1st stage feed</t>
  </si>
  <si>
    <t>Benign tailigns mass</t>
  </si>
  <si>
    <t>Clean coal mass</t>
  </si>
  <si>
    <t>Ist Stage feed mass</t>
  </si>
  <si>
    <t>Coal sample</t>
  </si>
  <si>
    <t>Paper/report</t>
  </si>
  <si>
    <t>Pyritic tailings</t>
  </si>
  <si>
    <t>This table shows the particle size distributions, as well as the ash content of two feed streams to the two-stage flotation process. It may be useful later on, but for now it is only added for interest (Iroala, 2014).</t>
  </si>
  <si>
    <t>Particle size distribution of feed stream</t>
  </si>
  <si>
    <t>This is the results of the sulfur speciation work done on two-stage flotation streams by Fundikwa (2015: 44). It was used to give an indication of how much of the sulfur in the sulfide-enriched stream is sulfide. This is only one set of results, so it is recognised that more sulfur speciation work must be done.</t>
  </si>
  <si>
    <t>Sulfur speciation test results</t>
  </si>
  <si>
    <t>This table shows the results of various two-stage flotation test runs that have been conducted at UCT. The highlighted columns give an idea how big the sulfide-enriched stream is relative to the feed stream and how much sulfur has been concentrated in it.</t>
  </si>
  <si>
    <t>Flotation test results</t>
  </si>
  <si>
    <t xml:space="preserve">The multi-stage separation process aims at separating mine waste into a recovered valuable production section, a sulfide-lean component, which can be used in a variety of applications, and a sulfide-rich component, which this work has focussed on finding ways of reusing. The purpose of the separation step is to recover different streams with specific characteristics for repurposing for other applications to avoid land disposal and the associated environmental risks. This work sheet shows the flotation test results achieved, so that the characteristics of the sulfide-enriched stream can be better understood, as well as the major mineral content of the feed stream to the separation process, so that the environmentally active elements in the stream can be identified. </t>
  </si>
  <si>
    <t>Numbers flagged in light yellow are the essence of a table</t>
  </si>
  <si>
    <t>Numbers flagged in bright yellow are important to the argument</t>
  </si>
  <si>
    <t>References:</t>
  </si>
  <si>
    <r>
      <t xml:space="preserve">Howlett, N. and Marsden, A. (2013) </t>
    </r>
    <r>
      <rPr>
        <i/>
        <sz val="11"/>
        <color theme="1"/>
        <rFont val="Calibri"/>
        <family val="2"/>
        <scheme val="minor"/>
      </rPr>
      <t>Desulphurisation of coal by two-stage froth flotation</t>
    </r>
    <r>
      <rPr>
        <sz val="11"/>
        <color theme="1"/>
        <rFont val="Calibri"/>
        <family val="2"/>
        <scheme val="minor"/>
      </rPr>
      <t>. Cape Town.</t>
    </r>
  </si>
  <si>
    <r>
      <t xml:space="preserve">Kazadi Mbamba, C. </t>
    </r>
    <r>
      <rPr>
        <i/>
        <sz val="11"/>
        <color theme="1"/>
        <rFont val="Calibri"/>
        <family val="2"/>
        <scheme val="minor"/>
      </rPr>
      <t>et al.</t>
    </r>
    <r>
      <rPr>
        <sz val="11"/>
        <color theme="1"/>
        <rFont val="Calibri"/>
        <family val="2"/>
        <scheme val="minor"/>
      </rPr>
      <t xml:space="preserve"> (2012) ‘Mitigating acid rock drainage risks while recovering low-sulfur coal from ultrafine colliery wastes using froth flotation’, </t>
    </r>
    <r>
      <rPr>
        <i/>
        <sz val="11"/>
        <color theme="1"/>
        <rFont val="Calibri"/>
        <family val="2"/>
        <scheme val="minor"/>
      </rPr>
      <t>Minerals Engineering</t>
    </r>
    <r>
      <rPr>
        <sz val="11"/>
        <color theme="1"/>
        <rFont val="Calibri"/>
        <family val="2"/>
        <scheme val="minor"/>
      </rPr>
      <t>. Elsevier Ltd, 29, pp. 13–21. doi: 10.1016/j.mineng.2012.02.001.</t>
    </r>
  </si>
  <si>
    <r>
      <t xml:space="preserve">Magabane, J. and Naidoo, R. (2011) </t>
    </r>
    <r>
      <rPr>
        <i/>
        <sz val="11"/>
        <color theme="1"/>
        <rFont val="Calibri"/>
        <family val="2"/>
        <scheme val="minor"/>
      </rPr>
      <t>Preliminary study of the separation of coal, sulphide and ash-forming minerals from coal</t>
    </r>
    <r>
      <rPr>
        <sz val="11"/>
        <color theme="1"/>
        <rFont val="Calibri"/>
        <family val="2"/>
        <scheme val="minor"/>
      </rPr>
      <t>. Cape Town.</t>
    </r>
  </si>
  <si>
    <r>
      <t>CuFeS</t>
    </r>
    <r>
      <rPr>
        <vertAlign val="subscript"/>
        <sz val="11"/>
        <color theme="1"/>
        <rFont val="Calibri"/>
        <family val="2"/>
        <scheme val="minor"/>
      </rPr>
      <t>2</t>
    </r>
  </si>
  <si>
    <r>
      <t>FeS</t>
    </r>
    <r>
      <rPr>
        <vertAlign val="subscript"/>
        <sz val="11"/>
        <color theme="1"/>
        <rFont val="Calibri"/>
        <family val="2"/>
        <scheme val="minor"/>
      </rPr>
      <t>2</t>
    </r>
  </si>
  <si>
    <t>Pinetown, K. L., Ward, C. R., and Van der Westhuizen, W. A.(2007) 'Quantitative evaluation of minerals in coal deposits in the Witbank and Highveld Coalfields , and the potential impact on acid mine drainage,' International Journal of Coal Geology, 70, pp. 166–183.</t>
  </si>
  <si>
    <t>Raw numbers that had to be converted to be consistent with the rest of the table</t>
  </si>
  <si>
    <t>Iroala, O.J., 2014. Comparison of froth flotation and gravity separation of the Waterberg and Witbank coal ultrafines in terms of mitigating ARD potential. https://open.uct.ac.za/bitstream/handle/11427/13676/thesis_ebe_2014_iroala_oj.pdf;sequence=1</t>
  </si>
  <si>
    <r>
      <t xml:space="preserve">Kotelo, L. O. (2013) </t>
    </r>
    <r>
      <rPr>
        <i/>
        <sz val="11"/>
        <color theme="1"/>
        <rFont val="Calibri"/>
        <family val="2"/>
        <scheme val="minor"/>
      </rPr>
      <t>Characterising the acid mine drainage potential of fine coal wastes</t>
    </r>
    <r>
      <rPr>
        <sz val="11"/>
        <color theme="1"/>
        <rFont val="Calibri"/>
        <family val="2"/>
        <scheme val="minor"/>
      </rPr>
      <t>. University of Cape Town. https://open.uct.ac.za/handle/11427/12574</t>
    </r>
  </si>
  <si>
    <r>
      <t xml:space="preserve">Moyo, A. (2018) </t>
    </r>
    <r>
      <rPr>
        <i/>
        <sz val="11"/>
        <color theme="1"/>
        <rFont val="Calibri"/>
        <family val="2"/>
        <scheme val="minor"/>
      </rPr>
      <t>Characterising the potential environmental risks of South African coal processing wastes</t>
    </r>
    <r>
      <rPr>
        <sz val="11"/>
        <color theme="1"/>
        <rFont val="Calibri"/>
        <family val="2"/>
        <scheme val="minor"/>
      </rPr>
      <t>. University of Cape Town. https://open.uct.ac.za/handle/11427/29832</t>
    </r>
  </si>
  <si>
    <t>Pinetown et al., 2007  and Synman and Botha 1993 (mentioned in Kotelo, 2013) showed that pyrite is the predominant form of sulfide in coal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</si>
</sst>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sz val="11"/>
      <name val="Calibri"/>
      <family val="2"/>
      <scheme val="minor"/>
    </font>
    <font>
      <sz val="12"/>
      <color theme="1"/>
      <name val="Calibri"/>
      <family val="2"/>
      <scheme val="minor"/>
    </font>
    <font>
      <sz val="13"/>
      <color theme="1"/>
      <name val="Calibri"/>
      <family val="2"/>
      <scheme val="minor"/>
    </font>
    <font>
      <i/>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81">
    <xf numFmtId="0" fontId="0" fillId="0" borderId="0" xfId="0"/>
    <xf numFmtId="0" fontId="0" fillId="0" borderId="1" xfId="0" applyBorder="1"/>
    <xf numFmtId="0" fontId="0" fillId="0" borderId="2" xfId="0" applyBorder="1"/>
    <xf numFmtId="0" fontId="0" fillId="0" borderId="3" xfId="0" applyBorder="1"/>
    <xf numFmtId="0" fontId="0" fillId="0" borderId="0" xfId="0" applyAlignment="1">
      <alignmen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2" xfId="0" applyBorder="1" applyAlignment="1">
      <alignment vertical="center" wrapText="1"/>
    </xf>
    <xf numFmtId="0" fontId="0" fillId="0" borderId="13" xfId="0" applyBorder="1"/>
    <xf numFmtId="164" fontId="0" fillId="0" borderId="0" xfId="0" applyNumberFormat="1"/>
    <xf numFmtId="0" fontId="0" fillId="0" borderId="15" xfId="0" applyBorder="1" applyAlignment="1">
      <alignment vertical="center" wrapText="1"/>
    </xf>
    <xf numFmtId="0" fontId="0" fillId="0" borderId="15" xfId="0" applyBorder="1"/>
    <xf numFmtId="0" fontId="0" fillId="0" borderId="20" xfId="0" applyBorder="1"/>
    <xf numFmtId="0" fontId="0" fillId="0" borderId="24" xfId="0" applyBorder="1"/>
    <xf numFmtId="0" fontId="4" fillId="0" borderId="0" xfId="0" applyFont="1"/>
    <xf numFmtId="0" fontId="0" fillId="0" borderId="25" xfId="0" applyBorder="1"/>
    <xf numFmtId="0" fontId="0" fillId="0" borderId="12" xfId="0" applyBorder="1"/>
    <xf numFmtId="0" fontId="7" fillId="0" borderId="5" xfId="0" applyFont="1" applyBorder="1"/>
    <xf numFmtId="0" fontId="0" fillId="2" borderId="7" xfId="0" applyFill="1" applyBorder="1"/>
    <xf numFmtId="0" fontId="0" fillId="2" borderId="0" xfId="0" applyFill="1"/>
    <xf numFmtId="0" fontId="0" fillId="2" borderId="12" xfId="0" applyFill="1" applyBorder="1"/>
    <xf numFmtId="0" fontId="0" fillId="2" borderId="15" xfId="0" applyFill="1" applyBorder="1"/>
    <xf numFmtId="0" fontId="0" fillId="2" borderId="24" xfId="0" applyFill="1" applyBorder="1"/>
    <xf numFmtId="2" fontId="0" fillId="0" borderId="7" xfId="0" applyNumberFormat="1" applyBorder="1"/>
    <xf numFmtId="2" fontId="0" fillId="0" borderId="0" xfId="0" applyNumberFormat="1"/>
    <xf numFmtId="0" fontId="1" fillId="0" borderId="15" xfId="0" applyFont="1" applyBorder="1"/>
    <xf numFmtId="0" fontId="1" fillId="0" borderId="19" xfId="0" applyFont="1" applyBorder="1"/>
    <xf numFmtId="0" fontId="1" fillId="0" borderId="20" xfId="0" applyFont="1" applyBorder="1"/>
    <xf numFmtId="0" fontId="0" fillId="2" borderId="5" xfId="0" applyFill="1" applyBorder="1"/>
    <xf numFmtId="0" fontId="0" fillId="2" borderId="3" xfId="0" applyFill="1" applyBorder="1"/>
    <xf numFmtId="0" fontId="0" fillId="2" borderId="8" xfId="0" applyFill="1" applyBorder="1"/>
    <xf numFmtId="0" fontId="9" fillId="0" borderId="0" xfId="0" applyFont="1" applyAlignment="1">
      <alignment vertical="center" wrapText="1"/>
    </xf>
    <xf numFmtId="0" fontId="10" fillId="2" borderId="3" xfId="0" applyFont="1" applyFill="1" applyBorder="1" applyAlignment="1">
      <alignment wrapText="1"/>
    </xf>
    <xf numFmtId="0" fontId="10" fillId="2" borderId="2" xfId="0" applyFont="1" applyFill="1" applyBorder="1" applyAlignment="1">
      <alignment wrapText="1"/>
    </xf>
    <xf numFmtId="0" fontId="10" fillId="0" borderId="2" xfId="0" applyFont="1" applyBorder="1" applyAlignment="1">
      <alignment wrapText="1"/>
    </xf>
    <xf numFmtId="0" fontId="10" fillId="0" borderId="2" xfId="0" applyFont="1" applyBorder="1"/>
    <xf numFmtId="0" fontId="10" fillId="0" borderId="29" xfId="0" applyFont="1" applyBorder="1"/>
    <xf numFmtId="0" fontId="1" fillId="0" borderId="0" xfId="0" applyFont="1"/>
    <xf numFmtId="0" fontId="1" fillId="0" borderId="21" xfId="0" applyFont="1" applyBorder="1"/>
    <xf numFmtId="0" fontId="1" fillId="0" borderId="23" xfId="0" applyFont="1" applyBorder="1"/>
    <xf numFmtId="0" fontId="10" fillId="0" borderId="3" xfId="0" applyFont="1" applyBorder="1"/>
    <xf numFmtId="0" fontId="10" fillId="0" borderId="14" xfId="0" applyFont="1" applyBorder="1"/>
    <xf numFmtId="49" fontId="10" fillId="0" borderId="3" xfId="0" applyNumberFormat="1" applyFont="1" applyBorder="1"/>
    <xf numFmtId="49" fontId="10" fillId="0" borderId="2" xfId="0" applyNumberFormat="1" applyFont="1" applyBorder="1"/>
    <xf numFmtId="49" fontId="10" fillId="0" borderId="5" xfId="0" applyNumberFormat="1" applyFont="1" applyBorder="1"/>
    <xf numFmtId="49" fontId="10" fillId="0" borderId="0" xfId="0" applyNumberFormat="1" applyFont="1"/>
    <xf numFmtId="49" fontId="10" fillId="0" borderId="13" xfId="0" applyNumberFormat="1" applyFont="1" applyBorder="1"/>
    <xf numFmtId="0" fontId="1" fillId="3" borderId="21" xfId="0" applyFont="1" applyFill="1" applyBorder="1"/>
    <xf numFmtId="0" fontId="1" fillId="3" borderId="20" xfId="0" applyFont="1" applyFill="1" applyBorder="1"/>
    <xf numFmtId="0" fontId="1" fillId="3" borderId="22" xfId="0" applyFont="1" applyFill="1" applyBorder="1"/>
    <xf numFmtId="49" fontId="10" fillId="3" borderId="3" xfId="0" applyNumberFormat="1" applyFont="1" applyFill="1" applyBorder="1"/>
    <xf numFmtId="49" fontId="10" fillId="3" borderId="2" xfId="0" applyNumberFormat="1" applyFont="1" applyFill="1" applyBorder="1"/>
    <xf numFmtId="49" fontId="10" fillId="3" borderId="1" xfId="0" applyNumberFormat="1" applyFont="1" applyFill="1" applyBorder="1"/>
    <xf numFmtId="0" fontId="0" fillId="3" borderId="5" xfId="0" applyFill="1" applyBorder="1"/>
    <xf numFmtId="0" fontId="0" fillId="3" borderId="0" xfId="0" applyFill="1"/>
    <xf numFmtId="0" fontId="0" fillId="3" borderId="4" xfId="0" applyFill="1" applyBorder="1"/>
    <xf numFmtId="0" fontId="0" fillId="3" borderId="3" xfId="0" applyFill="1" applyBorder="1"/>
    <xf numFmtId="0" fontId="0" fillId="3" borderId="2" xfId="0" applyFill="1" applyBorder="1"/>
    <xf numFmtId="0" fontId="0" fillId="3" borderId="1" xfId="0" applyFill="1" applyBorder="1"/>
    <xf numFmtId="0" fontId="0" fillId="3" borderId="11" xfId="0" applyFill="1" applyBorder="1"/>
    <xf numFmtId="0" fontId="0" fillId="3" borderId="10" xfId="0" applyFill="1" applyBorder="1"/>
    <xf numFmtId="0" fontId="0" fillId="3" borderId="9" xfId="0" applyFill="1" applyBorder="1"/>
    <xf numFmtId="0" fontId="0" fillId="2" borderId="18" xfId="0" applyFill="1" applyBorder="1"/>
    <xf numFmtId="0" fontId="0" fillId="2" borderId="17" xfId="0" applyFill="1" applyBorder="1"/>
    <xf numFmtId="0" fontId="0" fillId="2" borderId="16" xfId="0" applyFill="1" applyBorder="1"/>
    <xf numFmtId="0" fontId="0" fillId="2" borderId="4" xfId="0" applyFill="1" applyBorder="1"/>
    <xf numFmtId="0" fontId="0" fillId="2" borderId="1" xfId="0" applyFill="1" applyBorder="1"/>
    <xf numFmtId="0" fontId="0" fillId="2" borderId="14" xfId="0" applyFill="1" applyBorder="1"/>
    <xf numFmtId="164" fontId="0" fillId="2" borderId="5" xfId="0" applyNumberFormat="1" applyFill="1" applyBorder="1"/>
    <xf numFmtId="164" fontId="0" fillId="2" borderId="0" xfId="0" applyNumberFormat="1" applyFill="1"/>
    <xf numFmtId="0" fontId="0" fillId="2" borderId="13" xfId="0" applyFill="1" applyBorder="1"/>
    <xf numFmtId="164" fontId="0" fillId="2" borderId="3" xfId="0" applyNumberFormat="1" applyFill="1" applyBorder="1"/>
    <xf numFmtId="164" fontId="0" fillId="2" borderId="2" xfId="0" applyNumberFormat="1" applyFill="1" applyBorder="1"/>
    <xf numFmtId="164" fontId="0" fillId="2" borderId="7" xfId="0" applyNumberFormat="1" applyFill="1" applyBorder="1"/>
    <xf numFmtId="0" fontId="0" fillId="2" borderId="6" xfId="0" applyFill="1" applyBorder="1"/>
    <xf numFmtId="0" fontId="0" fillId="4" borderId="15" xfId="0" applyFill="1" applyBorder="1"/>
    <xf numFmtId="0" fontId="0" fillId="4" borderId="0" xfId="0" applyFill="1"/>
    <xf numFmtId="0" fontId="0" fillId="4" borderId="12" xfId="0" applyFill="1" applyBorder="1"/>
    <xf numFmtId="0" fontId="0" fillId="5" borderId="24" xfId="0" applyFill="1" applyBorder="1"/>
    <xf numFmtId="0" fontId="0" fillId="5" borderId="12" xfId="0" applyFill="1" applyBorder="1"/>
    <xf numFmtId="0" fontId="0" fillId="0" borderId="0" xfId="0" applyAlignment="1">
      <alignment vertical="center"/>
    </xf>
    <xf numFmtId="0" fontId="4" fillId="0" borderId="28" xfId="0" applyFont="1" applyBorder="1" applyAlignment="1">
      <alignment horizontal="center" wrapText="1"/>
    </xf>
    <xf numFmtId="0" fontId="0" fillId="0" borderId="0" xfId="0" applyBorder="1"/>
    <xf numFmtId="0" fontId="0" fillId="0" borderId="0" xfId="0" applyBorder="1" applyAlignment="1">
      <alignment wrapText="1"/>
    </xf>
    <xf numFmtId="0" fontId="9" fillId="2" borderId="0" xfId="0" applyFont="1" applyFill="1" applyAlignment="1">
      <alignment vertical="center" wrapText="1"/>
    </xf>
    <xf numFmtId="0" fontId="9" fillId="0" borderId="0" xfId="0" applyFont="1" applyAlignment="1">
      <alignment horizontal="center" vertical="center" wrapText="1"/>
    </xf>
    <xf numFmtId="0" fontId="0" fillId="2" borderId="0" xfId="0" applyFill="1" applyAlignment="1">
      <alignment horizontal="left" vertical="top"/>
    </xf>
    <xf numFmtId="0" fontId="0" fillId="4" borderId="0" xfId="0" applyFill="1" applyAlignment="1">
      <alignment horizontal="left" vertical="top"/>
    </xf>
    <xf numFmtId="0" fontId="0" fillId="0" borderId="15" xfId="0" applyBorder="1" applyAlignment="1">
      <alignment horizontal="left" vertical="center"/>
    </xf>
    <xf numFmtId="0" fontId="0" fillId="0" borderId="12" xfId="0" applyBorder="1" applyAlignment="1">
      <alignment horizontal="left"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Alignment="1">
      <alignment horizontal="left" vertical="center"/>
    </xf>
    <xf numFmtId="0" fontId="8" fillId="0" borderId="24" xfId="0" applyFont="1" applyBorder="1" applyAlignment="1">
      <alignment horizontal="center" wrapText="1"/>
    </xf>
    <xf numFmtId="0" fontId="8" fillId="0" borderId="20" xfId="0" applyFont="1" applyBorder="1" applyAlignment="1">
      <alignment horizontal="center" wrapText="1"/>
    </xf>
    <xf numFmtId="0" fontId="8" fillId="0" borderId="19" xfId="0" applyFont="1" applyBorder="1" applyAlignment="1">
      <alignment horizontal="center" wrapText="1"/>
    </xf>
    <xf numFmtId="0" fontId="8" fillId="0" borderId="15" xfId="0" applyFont="1" applyBorder="1" applyAlignment="1">
      <alignment horizontal="center" wrapText="1"/>
    </xf>
    <xf numFmtId="0" fontId="8" fillId="0" borderId="0" xfId="0" applyFont="1" applyAlignment="1">
      <alignment horizontal="center" wrapText="1"/>
    </xf>
    <xf numFmtId="0" fontId="8" fillId="0" borderId="13" xfId="0" applyFont="1" applyBorder="1" applyAlignment="1">
      <alignment horizontal="center" wrapText="1"/>
    </xf>
    <xf numFmtId="0" fontId="8" fillId="0" borderId="12" xfId="0" applyFont="1" applyBorder="1" applyAlignment="1">
      <alignment horizontal="center" wrapText="1"/>
    </xf>
    <xf numFmtId="0" fontId="8" fillId="0" borderId="7" xfId="0" applyFont="1" applyBorder="1" applyAlignment="1">
      <alignment horizontal="center" wrapText="1"/>
    </xf>
    <xf numFmtId="0" fontId="8" fillId="0" borderId="6" xfId="0" applyFont="1"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8" fillId="4" borderId="24"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 fillId="0" borderId="21"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0" fontId="0" fillId="0" borderId="27" xfId="0" applyBorder="1" applyAlignment="1">
      <alignment horizontal="center" wrapText="1"/>
    </xf>
    <xf numFmtId="0" fontId="0" fillId="0" borderId="26" xfId="0"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0" fillId="0" borderId="0" xfId="0" applyAlignment="1">
      <alignment horizontal="left" vertical="center"/>
    </xf>
    <xf numFmtId="0" fontId="11" fillId="0" borderId="18" xfId="0" applyFont="1" applyBorder="1" applyAlignment="1">
      <alignment horizontal="center"/>
    </xf>
    <xf numFmtId="0" fontId="11" fillId="0" borderId="17" xfId="0" applyFont="1" applyBorder="1" applyAlignment="1">
      <alignment horizontal="center"/>
    </xf>
    <xf numFmtId="0" fontId="4" fillId="4" borderId="24"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24" xfId="0"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10" fillId="0" borderId="0" xfId="0" applyFont="1" applyAlignment="1">
      <alignment horizontal="center"/>
    </xf>
    <xf numFmtId="0" fontId="10" fillId="0" borderId="13" xfId="0" applyFont="1" applyBorder="1" applyAlignment="1">
      <alignment horizontal="center"/>
    </xf>
    <xf numFmtId="0" fontId="0" fillId="0" borderId="0" xfId="0" applyBorder="1" applyAlignment="1">
      <alignment horizontal="center" wrapText="1"/>
    </xf>
    <xf numFmtId="0" fontId="0" fillId="0" borderId="28"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4" fillId="0" borderId="26" xfId="0" applyFont="1" applyBorder="1" applyAlignment="1">
      <alignment horizontal="center"/>
    </xf>
    <xf numFmtId="0" fontId="4" fillId="0" borderId="2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164" fontId="0" fillId="0" borderId="7" xfId="0" applyNumberFormat="1" applyBorder="1"/>
    <xf numFmtId="164" fontId="0" fillId="0" borderId="13" xfId="0" applyNumberFormat="1" applyBorder="1"/>
    <xf numFmtId="164" fontId="0" fillId="0" borderId="6" xfId="0" applyNumberFormat="1" applyBorder="1"/>
    <xf numFmtId="164" fontId="0" fillId="4" borderId="19" xfId="0" applyNumberFormat="1" applyFill="1" applyBorder="1"/>
    <xf numFmtId="164" fontId="0" fillId="4" borderId="13" xfId="0" applyNumberFormat="1" applyFill="1" applyBorder="1"/>
    <xf numFmtId="164" fontId="0" fillId="4" borderId="6" xfId="0" applyNumberFormat="1" applyFill="1" applyBorder="1"/>
    <xf numFmtId="164" fontId="0" fillId="4" borderId="20" xfId="0" applyNumberFormat="1" applyFill="1" applyBorder="1"/>
    <xf numFmtId="164" fontId="0" fillId="4" borderId="0" xfId="0" applyNumberFormat="1" applyFill="1" applyBorder="1"/>
    <xf numFmtId="164" fontId="0" fillId="4" borderId="7" xfId="0" applyNumberFormat="1" applyFill="1" applyBorder="1"/>
    <xf numFmtId="1" fontId="0" fillId="0" borderId="4" xfId="0" applyNumberFormat="1" applyBorder="1"/>
    <xf numFmtId="1" fontId="0" fillId="0" borderId="5" xfId="0" applyNumberFormat="1" applyBorder="1"/>
    <xf numFmtId="2" fontId="0" fillId="4" borderId="0" xfId="0" applyNumberFormat="1" applyFill="1"/>
    <xf numFmtId="165" fontId="0" fillId="2" borderId="20" xfId="0" applyNumberFormat="1" applyFill="1" applyBorder="1"/>
    <xf numFmtId="165" fontId="0" fillId="2" borderId="0" xfId="0" applyNumberFormat="1" applyFill="1"/>
    <xf numFmtId="165" fontId="0" fillId="2" borderId="7" xfId="0" applyNumberFormat="1" applyFill="1" applyBorder="1"/>
    <xf numFmtId="165" fontId="0" fillId="5" borderId="20" xfId="0" applyNumberFormat="1" applyFill="1" applyBorder="1"/>
    <xf numFmtId="165" fontId="0" fillId="5" borderId="7" xfId="0" applyNumberFormat="1" applyFill="1" applyBorder="1"/>
    <xf numFmtId="2" fontId="0" fillId="5" borderId="19" xfId="0" applyNumberFormat="1" applyFill="1" applyBorder="1"/>
    <xf numFmtId="2" fontId="0" fillId="5" borderId="6"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1</xdr:row>
      <xdr:rowOff>6350</xdr:rowOff>
    </xdr:from>
    <xdr:to>
      <xdr:col>8</xdr:col>
      <xdr:colOff>292100</xdr:colOff>
      <xdr:row>18</xdr:row>
      <xdr:rowOff>162983</xdr:rowOff>
    </xdr:to>
    <xdr:pic>
      <xdr:nvPicPr>
        <xdr:cNvPr id="2" name="Picture 1">
          <a:extLst>
            <a:ext uri="{FF2B5EF4-FFF2-40B4-BE49-F238E27FC236}">
              <a16:creationId xmlns:a16="http://schemas.microsoft.com/office/drawing/2014/main" id="{FACAFABB-7AA1-4E87-AB66-1DA62C5EBD2B}"/>
            </a:ext>
          </a:extLst>
        </xdr:cNvPr>
        <xdr:cNvPicPr>
          <a:picLocks noChangeAspect="1"/>
        </xdr:cNvPicPr>
      </xdr:nvPicPr>
      <xdr:blipFill>
        <a:blip xmlns:r="http://schemas.openxmlformats.org/officeDocument/2006/relationships" r:embed="rId1"/>
        <a:stretch>
          <a:fillRect/>
        </a:stretch>
      </xdr:blipFill>
      <xdr:spPr>
        <a:xfrm>
          <a:off x="596900" y="190500"/>
          <a:ext cx="4572000" cy="342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431800</xdr:colOff>
      <xdr:row>1</xdr:row>
      <xdr:rowOff>12700</xdr:rowOff>
    </xdr:from>
    <xdr:ext cx="7087589" cy="4429743"/>
    <xdr:pic>
      <xdr:nvPicPr>
        <xdr:cNvPr id="2" name="Picture 1">
          <a:extLst>
            <a:ext uri="{FF2B5EF4-FFF2-40B4-BE49-F238E27FC236}">
              <a16:creationId xmlns:a16="http://schemas.microsoft.com/office/drawing/2014/main" id="{A9FCD01E-AFB0-4432-A09D-CD958FE68EF3}"/>
            </a:ext>
          </a:extLst>
        </xdr:cNvPr>
        <xdr:cNvPicPr>
          <a:picLocks noChangeAspect="1"/>
        </xdr:cNvPicPr>
      </xdr:nvPicPr>
      <xdr:blipFill>
        <a:blip xmlns:r="http://schemas.openxmlformats.org/officeDocument/2006/relationships" r:embed="rId1"/>
        <a:stretch>
          <a:fillRect/>
        </a:stretch>
      </xdr:blipFill>
      <xdr:spPr>
        <a:xfrm>
          <a:off x="12014200" y="196850"/>
          <a:ext cx="7087589" cy="442974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30BA-7D7A-4862-A2BB-AEAFD84E3053}">
  <dimension ref="B2:S31"/>
  <sheetViews>
    <sheetView topLeftCell="A16" zoomScaleNormal="100" workbookViewId="0">
      <selection activeCell="B31" sqref="B31"/>
    </sheetView>
  </sheetViews>
  <sheetFormatPr defaultRowHeight="14.5" x14ac:dyDescent="0.35"/>
  <sheetData>
    <row r="2" spans="10:19" ht="17" customHeight="1" x14ac:dyDescent="0.35">
      <c r="J2" s="88" t="s">
        <v>120</v>
      </c>
      <c r="K2" s="88"/>
      <c r="L2" s="88"/>
      <c r="M2" s="88"/>
      <c r="N2" s="88"/>
      <c r="O2" s="88"/>
      <c r="P2" s="88"/>
      <c r="Q2" s="88"/>
      <c r="R2" s="88"/>
      <c r="S2" s="88"/>
    </row>
    <row r="3" spans="10:19" ht="17" customHeight="1" x14ac:dyDescent="0.35">
      <c r="J3" s="88"/>
      <c r="K3" s="88"/>
      <c r="L3" s="88"/>
      <c r="M3" s="88"/>
      <c r="N3" s="88"/>
      <c r="O3" s="88"/>
      <c r="P3" s="88"/>
      <c r="Q3" s="88"/>
      <c r="R3" s="88"/>
      <c r="S3" s="88"/>
    </row>
    <row r="4" spans="10:19" ht="17" customHeight="1" x14ac:dyDescent="0.35">
      <c r="J4" s="88"/>
      <c r="K4" s="88"/>
      <c r="L4" s="88"/>
      <c r="M4" s="88"/>
      <c r="N4" s="88"/>
      <c r="O4" s="88"/>
      <c r="P4" s="88"/>
      <c r="Q4" s="88"/>
      <c r="R4" s="88"/>
      <c r="S4" s="88"/>
    </row>
    <row r="5" spans="10:19" ht="17" customHeight="1" x14ac:dyDescent="0.35">
      <c r="J5" s="88"/>
      <c r="K5" s="88"/>
      <c r="L5" s="88"/>
      <c r="M5" s="88"/>
      <c r="N5" s="88"/>
      <c r="O5" s="88"/>
      <c r="P5" s="88"/>
      <c r="Q5" s="88"/>
      <c r="R5" s="88"/>
      <c r="S5" s="88"/>
    </row>
    <row r="6" spans="10:19" ht="14.5" customHeight="1" x14ac:dyDescent="0.35">
      <c r="J6" s="88"/>
      <c r="K6" s="88"/>
      <c r="L6" s="88"/>
      <c r="M6" s="88"/>
      <c r="N6" s="88"/>
      <c r="O6" s="88"/>
      <c r="P6" s="88"/>
      <c r="Q6" s="88"/>
      <c r="R6" s="88"/>
      <c r="S6" s="88"/>
    </row>
    <row r="7" spans="10:19" ht="14.5" customHeight="1" x14ac:dyDescent="0.35">
      <c r="J7" s="88"/>
      <c r="K7" s="88"/>
      <c r="L7" s="88"/>
      <c r="M7" s="88"/>
      <c r="N7" s="88"/>
      <c r="O7" s="88"/>
      <c r="P7" s="88"/>
      <c r="Q7" s="88"/>
      <c r="R7" s="88"/>
      <c r="S7" s="88"/>
    </row>
    <row r="8" spans="10:19" ht="14.5" customHeight="1" x14ac:dyDescent="0.35">
      <c r="J8" s="88"/>
      <c r="K8" s="88"/>
      <c r="L8" s="88"/>
      <c r="M8" s="88"/>
      <c r="N8" s="88"/>
      <c r="O8" s="88"/>
      <c r="P8" s="88"/>
      <c r="Q8" s="88"/>
      <c r="R8" s="88"/>
      <c r="S8" s="88"/>
    </row>
    <row r="9" spans="10:19" ht="14.5" customHeight="1" x14ac:dyDescent="0.35">
      <c r="J9" s="88"/>
      <c r="K9" s="88"/>
      <c r="L9" s="88"/>
      <c r="M9" s="88"/>
      <c r="N9" s="88"/>
      <c r="O9" s="88"/>
      <c r="P9" s="88"/>
      <c r="Q9" s="88"/>
      <c r="R9" s="88"/>
      <c r="S9" s="88"/>
    </row>
    <row r="10" spans="10:19" ht="14.5" customHeight="1" x14ac:dyDescent="0.35">
      <c r="J10" s="88"/>
      <c r="K10" s="88"/>
      <c r="L10" s="88"/>
      <c r="M10" s="88"/>
      <c r="N10" s="88"/>
      <c r="O10" s="88"/>
      <c r="P10" s="88"/>
      <c r="Q10" s="88"/>
      <c r="R10" s="88"/>
      <c r="S10" s="88"/>
    </row>
    <row r="11" spans="10:19" ht="14.5" customHeight="1" x14ac:dyDescent="0.35">
      <c r="J11" s="88"/>
      <c r="K11" s="88"/>
      <c r="L11" s="88"/>
      <c r="M11" s="88"/>
      <c r="N11" s="88"/>
      <c r="O11" s="88"/>
      <c r="P11" s="88"/>
      <c r="Q11" s="88"/>
      <c r="R11" s="88"/>
      <c r="S11" s="88"/>
    </row>
    <row r="12" spans="10:19" ht="14.5" customHeight="1" x14ac:dyDescent="0.35">
      <c r="J12" s="88"/>
      <c r="K12" s="88"/>
      <c r="L12" s="88"/>
      <c r="M12" s="88"/>
      <c r="N12" s="88"/>
      <c r="O12" s="88"/>
      <c r="P12" s="88"/>
      <c r="Q12" s="88"/>
      <c r="R12" s="88"/>
      <c r="S12" s="88"/>
    </row>
    <row r="13" spans="10:19" ht="14.5" customHeight="1" x14ac:dyDescent="0.35">
      <c r="J13" s="88"/>
      <c r="K13" s="88"/>
      <c r="L13" s="88"/>
      <c r="M13" s="88"/>
      <c r="N13" s="88"/>
      <c r="O13" s="88"/>
      <c r="P13" s="88"/>
      <c r="Q13" s="88"/>
      <c r="R13" s="88"/>
      <c r="S13" s="88"/>
    </row>
    <row r="14" spans="10:19" ht="14.5" customHeight="1" x14ac:dyDescent="0.35">
      <c r="J14" s="88"/>
      <c r="K14" s="88"/>
      <c r="L14" s="88"/>
      <c r="M14" s="88"/>
      <c r="N14" s="88"/>
      <c r="O14" s="88"/>
      <c r="P14" s="88"/>
      <c r="Q14" s="88"/>
      <c r="R14" s="88"/>
      <c r="S14" s="88"/>
    </row>
    <row r="15" spans="10:19" ht="14.5" customHeight="1" x14ac:dyDescent="0.35">
      <c r="J15" s="34"/>
      <c r="K15" s="34"/>
      <c r="L15" s="34"/>
      <c r="M15" s="34"/>
      <c r="N15" s="34"/>
      <c r="O15" s="34"/>
      <c r="P15" s="34"/>
      <c r="Q15" s="34"/>
      <c r="R15" s="34"/>
      <c r="S15" s="34"/>
    </row>
    <row r="16" spans="10:19" ht="14.5" customHeight="1" x14ac:dyDescent="0.35">
      <c r="J16" s="89" t="s">
        <v>121</v>
      </c>
      <c r="K16" s="89"/>
      <c r="L16" s="89"/>
      <c r="M16" s="89"/>
      <c r="N16" s="89"/>
      <c r="O16" s="89"/>
      <c r="P16" s="89"/>
      <c r="Q16" s="87"/>
      <c r="R16" s="34"/>
      <c r="S16" s="34"/>
    </row>
    <row r="17" spans="2:17" ht="14.5" customHeight="1" x14ac:dyDescent="0.35">
      <c r="J17" s="90" t="s">
        <v>122</v>
      </c>
      <c r="K17" s="90"/>
      <c r="L17" s="90"/>
      <c r="M17" s="90"/>
      <c r="N17" s="90"/>
      <c r="O17" s="90"/>
      <c r="P17" s="90"/>
      <c r="Q17" s="79"/>
    </row>
    <row r="18" spans="2:17" ht="14.5" customHeight="1" x14ac:dyDescent="0.35">
      <c r="J18" s="57" t="s">
        <v>130</v>
      </c>
      <c r="K18" s="57"/>
      <c r="L18" s="57"/>
      <c r="M18" s="57"/>
      <c r="N18" s="57"/>
      <c r="O18" s="57"/>
      <c r="P18" s="57"/>
      <c r="Q18" s="57"/>
    </row>
    <row r="19" spans="2:17" ht="14.5" customHeight="1" x14ac:dyDescent="0.35"/>
    <row r="23" spans="2:17" ht="21" x14ac:dyDescent="0.5">
      <c r="B23" s="17" t="s">
        <v>123</v>
      </c>
    </row>
    <row r="24" spans="2:17" x14ac:dyDescent="0.35">
      <c r="B24" s="83" t="s">
        <v>124</v>
      </c>
    </row>
    <row r="25" spans="2:17" x14ac:dyDescent="0.35">
      <c r="B25" s="83" t="s">
        <v>131</v>
      </c>
    </row>
    <row r="26" spans="2:17" x14ac:dyDescent="0.35">
      <c r="B26" s="83" t="s">
        <v>125</v>
      </c>
    </row>
    <row r="27" spans="2:17" x14ac:dyDescent="0.35">
      <c r="B27" s="83" t="s">
        <v>132</v>
      </c>
    </row>
    <row r="28" spans="2:17" x14ac:dyDescent="0.35">
      <c r="B28" s="83" t="s">
        <v>126</v>
      </c>
    </row>
    <row r="29" spans="2:17" x14ac:dyDescent="0.35">
      <c r="B29" t="s">
        <v>133</v>
      </c>
    </row>
    <row r="30" spans="2:17" x14ac:dyDescent="0.35">
      <c r="B30" s="83" t="s">
        <v>129</v>
      </c>
    </row>
    <row r="31" spans="2:17" x14ac:dyDescent="0.35">
      <c r="B31" s="83"/>
    </row>
  </sheetData>
  <mergeCells count="3">
    <mergeCell ref="J2:S14"/>
    <mergeCell ref="J16:P16"/>
    <mergeCell ref="J17:P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E06D-ACA2-41D9-9102-3A645C98A22E}">
  <dimension ref="A1:AE30"/>
  <sheetViews>
    <sheetView tabSelected="1" topLeftCell="E1" zoomScale="80" zoomScaleNormal="80" workbookViewId="0">
      <selection activeCell="P18" sqref="P18"/>
    </sheetView>
  </sheetViews>
  <sheetFormatPr defaultRowHeight="14.5" x14ac:dyDescent="0.35"/>
  <cols>
    <col min="1" max="1" width="23.6328125" bestFit="1" customWidth="1"/>
    <col min="2" max="2" width="23.6328125" customWidth="1"/>
    <col min="3" max="3" width="16.7265625" bestFit="1" customWidth="1"/>
    <col min="4" max="4" width="14.08984375" bestFit="1" customWidth="1"/>
    <col min="5" max="5" width="17.6328125" bestFit="1" customWidth="1"/>
    <col min="6" max="6" width="17.26953125" customWidth="1"/>
    <col min="7" max="7" width="17.54296875" customWidth="1"/>
    <col min="8" max="8" width="17.36328125" customWidth="1"/>
    <col min="9" max="9" width="17.453125" customWidth="1"/>
    <col min="12" max="12" width="33.6328125" bestFit="1" customWidth="1"/>
    <col min="14" max="14" width="15.08984375" bestFit="1" customWidth="1"/>
    <col min="15" max="15" width="16.1796875" bestFit="1" customWidth="1"/>
    <col min="16" max="16" width="17" bestFit="1" customWidth="1"/>
    <col min="17" max="17" width="10.81640625" bestFit="1" customWidth="1"/>
  </cols>
  <sheetData>
    <row r="1" spans="1:31" ht="42.5" customHeight="1" thickBot="1" x14ac:dyDescent="0.55000000000000004">
      <c r="A1" s="84" t="s">
        <v>119</v>
      </c>
      <c r="B1" s="128" t="s">
        <v>118</v>
      </c>
      <c r="C1" s="128"/>
      <c r="D1" s="128"/>
      <c r="E1" s="128"/>
      <c r="F1" s="128"/>
      <c r="G1" s="128"/>
      <c r="H1" s="128"/>
      <c r="I1" s="128"/>
      <c r="J1" s="129"/>
      <c r="L1" s="130" t="s">
        <v>117</v>
      </c>
      <c r="M1" s="112" t="s">
        <v>116</v>
      </c>
      <c r="N1" s="112"/>
      <c r="O1" s="112"/>
      <c r="P1" s="112"/>
      <c r="Q1" s="113"/>
      <c r="R1" s="86"/>
      <c r="U1" s="157" t="s">
        <v>115</v>
      </c>
      <c r="V1" s="158"/>
      <c r="W1" s="158"/>
      <c r="X1" s="128" t="s">
        <v>114</v>
      </c>
      <c r="Y1" s="128"/>
      <c r="Z1" s="128"/>
      <c r="AA1" s="128"/>
      <c r="AB1" s="128"/>
      <c r="AC1" s="128"/>
      <c r="AD1" s="128"/>
      <c r="AE1" s="129"/>
    </row>
    <row r="2" spans="1:31" ht="15" thickBot="1" x14ac:dyDescent="0.4">
      <c r="A2" s="99" t="s">
        <v>112</v>
      </c>
      <c r="B2" s="101" t="s">
        <v>111</v>
      </c>
      <c r="C2" s="93" t="s">
        <v>110</v>
      </c>
      <c r="D2" s="95" t="s">
        <v>109</v>
      </c>
      <c r="E2" s="97" t="s">
        <v>108</v>
      </c>
      <c r="F2" s="125" t="s">
        <v>113</v>
      </c>
      <c r="G2" s="126"/>
      <c r="H2" s="126"/>
      <c r="I2" s="126"/>
      <c r="J2" s="127"/>
      <c r="L2" s="131"/>
      <c r="M2" s="114"/>
      <c r="N2" s="114"/>
      <c r="O2" s="114"/>
      <c r="P2" s="114"/>
      <c r="Q2" s="115"/>
      <c r="R2" s="86"/>
    </row>
    <row r="3" spans="1:31" ht="44" customHeight="1" x14ac:dyDescent="0.35">
      <c r="A3" s="100"/>
      <c r="B3" s="102"/>
      <c r="C3" s="94"/>
      <c r="D3" s="96"/>
      <c r="E3" s="98"/>
      <c r="F3" s="35" t="s">
        <v>107</v>
      </c>
      <c r="G3" s="36" t="s">
        <v>106</v>
      </c>
      <c r="H3" s="37" t="s">
        <v>105</v>
      </c>
      <c r="I3" s="38" t="s">
        <v>104</v>
      </c>
      <c r="J3" s="39" t="s">
        <v>1</v>
      </c>
      <c r="L3" s="159" t="s">
        <v>103</v>
      </c>
      <c r="M3" s="160" t="s">
        <v>102</v>
      </c>
      <c r="N3" s="160" t="s">
        <v>101</v>
      </c>
      <c r="O3" s="160" t="s">
        <v>100</v>
      </c>
      <c r="P3" s="160" t="s">
        <v>99</v>
      </c>
      <c r="Q3" s="161" t="s">
        <v>98</v>
      </c>
    </row>
    <row r="4" spans="1:31" x14ac:dyDescent="0.35">
      <c r="A4" s="14" t="s">
        <v>97</v>
      </c>
      <c r="B4" t="s">
        <v>96</v>
      </c>
      <c r="C4" s="6">
        <v>100</v>
      </c>
      <c r="D4">
        <v>41</v>
      </c>
      <c r="E4">
        <v>36</v>
      </c>
      <c r="F4" s="31">
        <v>23</v>
      </c>
      <c r="G4" s="22">
        <v>18.7</v>
      </c>
      <c r="H4">
        <v>53.8</v>
      </c>
      <c r="I4" s="12">
        <f t="shared" ref="I4:I19" si="0">1.08*H4+0.55*G4</f>
        <v>68.388999999999996</v>
      </c>
      <c r="J4" s="163">
        <f t="shared" ref="J4:J19" si="1">100-I4</f>
        <v>31.611000000000004</v>
      </c>
      <c r="L4" s="14" t="s">
        <v>95</v>
      </c>
      <c r="M4">
        <v>100</v>
      </c>
      <c r="N4">
        <v>30.2</v>
      </c>
      <c r="O4">
        <v>69.8</v>
      </c>
      <c r="P4">
        <v>2</v>
      </c>
      <c r="Q4" s="11">
        <v>68</v>
      </c>
    </row>
    <row r="5" spans="1:31" x14ac:dyDescent="0.35">
      <c r="A5" s="14" t="s">
        <v>94</v>
      </c>
      <c r="B5" t="s">
        <v>93</v>
      </c>
      <c r="C5" s="6">
        <v>100</v>
      </c>
      <c r="D5">
        <v>19.7</v>
      </c>
      <c r="E5">
        <v>67.2</v>
      </c>
      <c r="F5" s="31">
        <v>13.1</v>
      </c>
      <c r="G5" s="22">
        <v>2.68</v>
      </c>
      <c r="H5">
        <v>28.9</v>
      </c>
      <c r="I5" s="12">
        <f t="shared" si="0"/>
        <v>32.686</v>
      </c>
      <c r="J5" s="163">
        <f t="shared" si="1"/>
        <v>67.313999999999993</v>
      </c>
      <c r="L5" s="28" t="s">
        <v>92</v>
      </c>
      <c r="Q5" s="11"/>
    </row>
    <row r="6" spans="1:31" x14ac:dyDescent="0.35">
      <c r="A6" s="91" t="s">
        <v>91</v>
      </c>
      <c r="B6" s="132" t="s">
        <v>43</v>
      </c>
      <c r="C6" s="6">
        <v>100</v>
      </c>
      <c r="D6">
        <v>41.2</v>
      </c>
      <c r="E6">
        <f t="shared" ref="E6:E17" si="2">C6-D6-F6</f>
        <v>56.699999999999996</v>
      </c>
      <c r="F6" s="31">
        <v>2.1</v>
      </c>
      <c r="G6" s="22">
        <v>11.9</v>
      </c>
      <c r="H6">
        <v>49.3</v>
      </c>
      <c r="I6" s="12">
        <f t="shared" si="0"/>
        <v>59.789000000000001</v>
      </c>
      <c r="J6" s="163">
        <f t="shared" si="1"/>
        <v>40.210999999999999</v>
      </c>
      <c r="L6" s="14" t="s">
        <v>90</v>
      </c>
      <c r="M6">
        <v>1.07</v>
      </c>
      <c r="N6" s="27">
        <v>1.1399999999999999</v>
      </c>
      <c r="O6">
        <v>1.04</v>
      </c>
      <c r="P6">
        <v>12.8</v>
      </c>
      <c r="Q6" s="11">
        <v>0.69</v>
      </c>
    </row>
    <row r="7" spans="1:31" x14ac:dyDescent="0.35">
      <c r="A7" s="91"/>
      <c r="B7" s="132"/>
      <c r="C7" s="6">
        <v>100</v>
      </c>
      <c r="D7">
        <v>43.2</v>
      </c>
      <c r="E7">
        <f t="shared" si="2"/>
        <v>56</v>
      </c>
      <c r="F7" s="31">
        <v>0.8</v>
      </c>
      <c r="G7" s="22">
        <v>10.9</v>
      </c>
      <c r="H7">
        <v>57.4</v>
      </c>
      <c r="I7" s="12">
        <f t="shared" si="0"/>
        <v>67.987000000000009</v>
      </c>
      <c r="J7" s="163">
        <f t="shared" si="1"/>
        <v>32.012999999999991</v>
      </c>
      <c r="L7" s="14" t="s">
        <v>89</v>
      </c>
      <c r="M7">
        <v>2.8000000000000001E-2</v>
      </c>
      <c r="N7" s="27">
        <v>0.03</v>
      </c>
      <c r="O7">
        <v>0.03</v>
      </c>
      <c r="P7">
        <v>0.36</v>
      </c>
      <c r="Q7" s="11">
        <v>0.02</v>
      </c>
    </row>
    <row r="8" spans="1:31" x14ac:dyDescent="0.35">
      <c r="A8" s="91"/>
      <c r="B8" s="132"/>
      <c r="C8" s="6">
        <v>100</v>
      </c>
      <c r="D8">
        <v>44</v>
      </c>
      <c r="E8">
        <f t="shared" si="2"/>
        <v>54.3</v>
      </c>
      <c r="F8" s="31">
        <v>1.7</v>
      </c>
      <c r="G8" s="22">
        <v>13.2</v>
      </c>
      <c r="H8">
        <v>51.3</v>
      </c>
      <c r="I8" s="12">
        <f t="shared" si="0"/>
        <v>62.664000000000001</v>
      </c>
      <c r="J8" s="163">
        <f t="shared" si="1"/>
        <v>37.335999999999999</v>
      </c>
      <c r="L8" s="14" t="s">
        <v>88</v>
      </c>
      <c r="M8">
        <v>0.82199999999999995</v>
      </c>
      <c r="N8" s="27">
        <v>1.5</v>
      </c>
      <c r="O8">
        <v>0.53</v>
      </c>
      <c r="P8">
        <v>15.1</v>
      </c>
      <c r="Q8" s="11">
        <v>0.1</v>
      </c>
    </row>
    <row r="9" spans="1:31" x14ac:dyDescent="0.35">
      <c r="A9" s="91"/>
      <c r="B9" s="132"/>
      <c r="C9" s="6">
        <v>100</v>
      </c>
      <c r="D9">
        <v>46.8</v>
      </c>
      <c r="E9">
        <f t="shared" si="2"/>
        <v>52.400000000000006</v>
      </c>
      <c r="F9" s="31">
        <v>0.8</v>
      </c>
      <c r="G9" s="22">
        <v>10.8</v>
      </c>
      <c r="H9">
        <v>57.6</v>
      </c>
      <c r="I9" s="12">
        <f t="shared" si="0"/>
        <v>68.14800000000001</v>
      </c>
      <c r="J9" s="163">
        <f t="shared" si="1"/>
        <v>31.85199999999999</v>
      </c>
      <c r="L9" s="14" t="s">
        <v>87</v>
      </c>
      <c r="M9">
        <v>1.92</v>
      </c>
      <c r="N9" s="27">
        <v>2.66</v>
      </c>
      <c r="O9">
        <v>1.6</v>
      </c>
      <c r="P9">
        <v>28.3</v>
      </c>
      <c r="Q9" s="11">
        <v>0.81</v>
      </c>
    </row>
    <row r="10" spans="1:31" x14ac:dyDescent="0.35">
      <c r="A10" s="91"/>
      <c r="B10" s="132"/>
      <c r="C10" s="6">
        <v>100</v>
      </c>
      <c r="D10">
        <v>33.5</v>
      </c>
      <c r="E10">
        <f t="shared" si="2"/>
        <v>65</v>
      </c>
      <c r="F10" s="31">
        <v>1.5</v>
      </c>
      <c r="G10" s="22">
        <v>10.7</v>
      </c>
      <c r="H10">
        <v>43.5</v>
      </c>
      <c r="I10" s="12">
        <f t="shared" si="0"/>
        <v>52.865000000000002</v>
      </c>
      <c r="J10" s="163">
        <f t="shared" si="1"/>
        <v>47.134999999999998</v>
      </c>
      <c r="L10" s="14" t="s">
        <v>86</v>
      </c>
      <c r="M10">
        <v>49.1</v>
      </c>
      <c r="N10" s="27">
        <v>24.3</v>
      </c>
      <c r="O10">
        <v>59.8</v>
      </c>
      <c r="P10">
        <v>49.1</v>
      </c>
      <c r="Q10" s="11">
        <v>62.29</v>
      </c>
    </row>
    <row r="11" spans="1:31" ht="15" thickBot="1" x14ac:dyDescent="0.4">
      <c r="A11" s="91"/>
      <c r="B11" s="132"/>
      <c r="C11" s="6">
        <v>100</v>
      </c>
      <c r="D11">
        <v>20.6</v>
      </c>
      <c r="E11">
        <f t="shared" si="2"/>
        <v>78</v>
      </c>
      <c r="F11" s="31">
        <v>1.4</v>
      </c>
      <c r="G11" s="22">
        <v>9</v>
      </c>
      <c r="H11">
        <v>45.4</v>
      </c>
      <c r="I11" s="12">
        <f t="shared" si="0"/>
        <v>53.982000000000006</v>
      </c>
      <c r="J11" s="163">
        <f t="shared" si="1"/>
        <v>46.017999999999994</v>
      </c>
      <c r="L11" s="19" t="s">
        <v>85</v>
      </c>
      <c r="M11" s="8">
        <v>49</v>
      </c>
      <c r="N11" s="26">
        <v>73</v>
      </c>
      <c r="O11" s="8">
        <v>38.6</v>
      </c>
      <c r="P11" s="8">
        <v>22.6</v>
      </c>
      <c r="Q11" s="7">
        <v>36.9</v>
      </c>
    </row>
    <row r="12" spans="1:31" x14ac:dyDescent="0.35">
      <c r="A12" s="91"/>
      <c r="B12" s="132" t="s">
        <v>44</v>
      </c>
      <c r="C12" s="6">
        <v>100</v>
      </c>
      <c r="D12">
        <v>8.6999999999999993</v>
      </c>
      <c r="E12">
        <f t="shared" si="2"/>
        <v>85.1</v>
      </c>
      <c r="F12" s="31">
        <v>6.2</v>
      </c>
      <c r="G12" s="22">
        <v>5.4</v>
      </c>
      <c r="H12">
        <v>27.3</v>
      </c>
      <c r="I12" s="12">
        <f t="shared" si="0"/>
        <v>32.454000000000001</v>
      </c>
      <c r="J12" s="163">
        <f t="shared" si="1"/>
        <v>67.545999999999992</v>
      </c>
      <c r="L12" s="25" t="s">
        <v>62</v>
      </c>
      <c r="M12" s="174">
        <f>M6/M9</f>
        <v>0.55729166666666674</v>
      </c>
      <c r="N12" s="103" t="s">
        <v>134</v>
      </c>
      <c r="O12" s="104"/>
      <c r="P12" s="104"/>
      <c r="Q12" s="105"/>
    </row>
    <row r="13" spans="1:31" x14ac:dyDescent="0.35">
      <c r="A13" s="91"/>
      <c r="B13" s="132"/>
      <c r="C13" s="6">
        <v>100</v>
      </c>
      <c r="D13">
        <v>17.7</v>
      </c>
      <c r="E13">
        <f t="shared" si="2"/>
        <v>76.8</v>
      </c>
      <c r="F13" s="31">
        <v>5.5</v>
      </c>
      <c r="G13" s="22">
        <v>6.1</v>
      </c>
      <c r="H13">
        <v>26.6</v>
      </c>
      <c r="I13" s="12">
        <f t="shared" si="0"/>
        <v>32.083000000000006</v>
      </c>
      <c r="J13" s="163">
        <f t="shared" si="1"/>
        <v>67.917000000000002</v>
      </c>
      <c r="L13" s="24" t="s">
        <v>84</v>
      </c>
      <c r="M13" s="175">
        <f>P6/P9</f>
        <v>0.45229681978798586</v>
      </c>
      <c r="N13" s="106"/>
      <c r="O13" s="107"/>
      <c r="P13" s="107"/>
      <c r="Q13" s="108"/>
    </row>
    <row r="14" spans="1:31" ht="14.5" customHeight="1" thickBot="1" x14ac:dyDescent="0.4">
      <c r="A14" s="91"/>
      <c r="B14" s="132"/>
      <c r="C14" s="6">
        <v>100</v>
      </c>
      <c r="D14">
        <v>45.8</v>
      </c>
      <c r="E14">
        <f t="shared" si="2"/>
        <v>48.6</v>
      </c>
      <c r="F14" s="31">
        <v>5.6</v>
      </c>
      <c r="G14" s="22">
        <v>7.9</v>
      </c>
      <c r="H14">
        <v>47.1</v>
      </c>
      <c r="I14" s="12">
        <f t="shared" si="0"/>
        <v>55.213000000000001</v>
      </c>
      <c r="J14" s="163">
        <f t="shared" si="1"/>
        <v>44.786999999999999</v>
      </c>
      <c r="L14" s="23" t="s">
        <v>83</v>
      </c>
      <c r="M14" s="176">
        <f>M13/M12</f>
        <v>0.81159803176909606</v>
      </c>
      <c r="N14" s="109"/>
      <c r="O14" s="110"/>
      <c r="P14" s="110"/>
      <c r="Q14" s="111"/>
    </row>
    <row r="15" spans="1:31" x14ac:dyDescent="0.35">
      <c r="A15" s="91"/>
      <c r="B15" s="132"/>
      <c r="C15" s="6">
        <v>100</v>
      </c>
      <c r="D15">
        <v>43.1</v>
      </c>
      <c r="E15">
        <f t="shared" si="2"/>
        <v>51.9</v>
      </c>
      <c r="F15" s="31">
        <v>5</v>
      </c>
      <c r="G15" s="22">
        <v>6.6</v>
      </c>
      <c r="H15">
        <v>40</v>
      </c>
      <c r="I15" s="12">
        <f t="shared" si="0"/>
        <v>46.830000000000005</v>
      </c>
      <c r="J15" s="163">
        <f t="shared" si="1"/>
        <v>53.169999999999995</v>
      </c>
    </row>
    <row r="16" spans="1:31" ht="15" thickBot="1" x14ac:dyDescent="0.4">
      <c r="A16" s="91"/>
      <c r="B16" s="132"/>
      <c r="C16" s="6">
        <v>100</v>
      </c>
      <c r="D16">
        <v>35.200000000000003</v>
      </c>
      <c r="E16">
        <f t="shared" si="2"/>
        <v>61.9</v>
      </c>
      <c r="F16" s="31">
        <v>2.9</v>
      </c>
      <c r="G16" s="22">
        <v>8.1999999999999993</v>
      </c>
      <c r="H16">
        <v>34</v>
      </c>
      <c r="I16" s="12">
        <f t="shared" si="0"/>
        <v>41.23</v>
      </c>
      <c r="J16" s="163">
        <f t="shared" si="1"/>
        <v>58.77</v>
      </c>
    </row>
    <row r="17" spans="1:14" x14ac:dyDescent="0.35">
      <c r="A17" s="91"/>
      <c r="B17" s="132"/>
      <c r="C17" s="6">
        <v>100</v>
      </c>
      <c r="D17">
        <v>43.6</v>
      </c>
      <c r="E17">
        <f t="shared" si="2"/>
        <v>50.3</v>
      </c>
      <c r="F17" s="31">
        <v>6.1</v>
      </c>
      <c r="G17" s="22">
        <v>7.7</v>
      </c>
      <c r="H17">
        <v>39.4</v>
      </c>
      <c r="I17" s="12">
        <f t="shared" si="0"/>
        <v>46.786999999999999</v>
      </c>
      <c r="J17" s="163">
        <f t="shared" si="1"/>
        <v>53.213000000000001</v>
      </c>
      <c r="L17" s="130" t="s">
        <v>82</v>
      </c>
      <c r="M17" s="112" t="s">
        <v>81</v>
      </c>
      <c r="N17" s="113"/>
    </row>
    <row r="18" spans="1:14" x14ac:dyDescent="0.35">
      <c r="A18" s="91" t="s">
        <v>80</v>
      </c>
      <c r="B18" t="s">
        <v>43</v>
      </c>
      <c r="C18" s="6">
        <v>100</v>
      </c>
      <c r="D18">
        <v>30.2</v>
      </c>
      <c r="E18">
        <v>67.599999999999994</v>
      </c>
      <c r="F18" s="31">
        <v>2.2000000000000002</v>
      </c>
      <c r="G18" s="22">
        <v>17.600000000000001</v>
      </c>
      <c r="H18">
        <v>60</v>
      </c>
      <c r="I18" s="12">
        <f t="shared" si="0"/>
        <v>74.480000000000018</v>
      </c>
      <c r="J18" s="163">
        <f t="shared" si="1"/>
        <v>25.519999999999982</v>
      </c>
      <c r="L18" s="145"/>
      <c r="M18" s="150"/>
      <c r="N18" s="146"/>
    </row>
    <row r="19" spans="1:14" ht="15" thickBot="1" x14ac:dyDescent="0.4">
      <c r="A19" s="92"/>
      <c r="B19" s="8" t="s">
        <v>44</v>
      </c>
      <c r="C19" s="9">
        <v>100</v>
      </c>
      <c r="D19" s="8">
        <v>26</v>
      </c>
      <c r="E19" s="8">
        <v>63</v>
      </c>
      <c r="F19" s="33">
        <v>11</v>
      </c>
      <c r="G19" s="21">
        <v>10.7</v>
      </c>
      <c r="H19" s="8">
        <v>36</v>
      </c>
      <c r="I19" s="162">
        <f t="shared" si="0"/>
        <v>44.765000000000001</v>
      </c>
      <c r="J19" s="164">
        <f t="shared" si="1"/>
        <v>55.234999999999999</v>
      </c>
      <c r="L19" s="147"/>
      <c r="M19" s="114"/>
      <c r="N19" s="115"/>
    </row>
    <row r="20" spans="1:14" ht="14.5" customHeight="1" x14ac:dyDescent="0.35">
      <c r="C20" s="144" t="s">
        <v>79</v>
      </c>
      <c r="D20" s="113"/>
      <c r="E20" s="16" t="s">
        <v>78</v>
      </c>
      <c r="F20" s="168">
        <f>AVERAGE(F4:F19)</f>
        <v>5.5562500000000004</v>
      </c>
      <c r="G20" s="168">
        <f>AVERAGE(G4:G19)</f>
        <v>9.879999999999999</v>
      </c>
      <c r="H20" s="168">
        <f>AVERAGE(H4:H19)</f>
        <v>43.6</v>
      </c>
      <c r="I20" s="15" t="s">
        <v>78</v>
      </c>
      <c r="J20" s="165">
        <f>AVERAGE(J4:J19)</f>
        <v>47.477999999999994</v>
      </c>
      <c r="L20" s="16"/>
      <c r="M20" s="30" t="s">
        <v>44</v>
      </c>
      <c r="N20" s="29" t="s">
        <v>43</v>
      </c>
    </row>
    <row r="21" spans="1:14" x14ac:dyDescent="0.35">
      <c r="C21" s="145"/>
      <c r="D21" s="146"/>
      <c r="E21" s="14" t="s">
        <v>77</v>
      </c>
      <c r="F21" s="169">
        <f>MAX(F4:F19)</f>
        <v>23</v>
      </c>
      <c r="G21" s="169">
        <f>MAX(G4:G19)</f>
        <v>18.7</v>
      </c>
      <c r="H21" s="169">
        <f>MAX(H4:H19)</f>
        <v>60</v>
      </c>
      <c r="I21" s="85" t="s">
        <v>76</v>
      </c>
      <c r="J21" s="166">
        <f>MAX(J4:J19)</f>
        <v>67.917000000000002</v>
      </c>
      <c r="L21" s="14" t="s">
        <v>75</v>
      </c>
      <c r="M21" s="148" t="s">
        <v>74</v>
      </c>
      <c r="N21" s="149"/>
    </row>
    <row r="22" spans="1:14" ht="15" thickBot="1" x14ac:dyDescent="0.4">
      <c r="C22" s="147"/>
      <c r="D22" s="115"/>
      <c r="E22" s="19" t="s">
        <v>73</v>
      </c>
      <c r="F22" s="170">
        <f>MIN(F4:F19)</f>
        <v>0.8</v>
      </c>
      <c r="G22" s="170">
        <f>MIN(G4:G19)</f>
        <v>2.68</v>
      </c>
      <c r="H22" s="170">
        <f>MIN(H4:H19)</f>
        <v>26.6</v>
      </c>
      <c r="I22" s="8" t="s">
        <v>73</v>
      </c>
      <c r="J22" s="167">
        <f>MIN(J4:J19)</f>
        <v>25.519999999999982</v>
      </c>
      <c r="L22" s="14" t="s">
        <v>72</v>
      </c>
      <c r="M22">
        <v>2.58</v>
      </c>
      <c r="N22" s="11">
        <v>0.98</v>
      </c>
    </row>
    <row r="23" spans="1:14" ht="15" thickBot="1" x14ac:dyDescent="0.4">
      <c r="C23" s="86"/>
      <c r="D23" s="86"/>
      <c r="L23" s="14" t="s">
        <v>71</v>
      </c>
      <c r="M23">
        <v>1.44</v>
      </c>
      <c r="N23" s="11">
        <v>0.5</v>
      </c>
    </row>
    <row r="24" spans="1:14" ht="14.5" customHeight="1" x14ac:dyDescent="0.35">
      <c r="F24" s="135" t="s">
        <v>69</v>
      </c>
      <c r="G24" s="136"/>
      <c r="H24" s="136"/>
      <c r="I24" s="136"/>
      <c r="J24" s="137"/>
      <c r="L24" s="14" t="s">
        <v>68</v>
      </c>
      <c r="M24">
        <v>0.16</v>
      </c>
      <c r="N24" s="11">
        <v>0.56000000000000005</v>
      </c>
    </row>
    <row r="25" spans="1:14" ht="15" customHeight="1" thickBot="1" x14ac:dyDescent="0.5">
      <c r="C25" s="133" t="s">
        <v>70</v>
      </c>
      <c r="D25" s="134"/>
      <c r="F25" s="138"/>
      <c r="G25" s="139"/>
      <c r="H25" s="139"/>
      <c r="I25" s="139"/>
      <c r="J25" s="140"/>
      <c r="L25" s="19" t="s">
        <v>0</v>
      </c>
      <c r="M25" s="8">
        <v>4.18</v>
      </c>
      <c r="N25" s="7">
        <v>2.04</v>
      </c>
    </row>
    <row r="26" spans="1:14" ht="15" customHeight="1" thickBot="1" x14ac:dyDescent="0.4">
      <c r="C26" s="20" t="s">
        <v>67</v>
      </c>
      <c r="D26" s="171">
        <f>C28+D28*2</f>
        <v>119.97499999999999</v>
      </c>
      <c r="F26" s="141"/>
      <c r="G26" s="142"/>
      <c r="H26" s="142"/>
      <c r="I26" s="142"/>
      <c r="J26" s="143"/>
      <c r="L26" s="81" t="s">
        <v>62</v>
      </c>
      <c r="M26" s="177">
        <f>M22/M25</f>
        <v>0.61722488038277523</v>
      </c>
      <c r="N26" s="179">
        <f>N22/N25</f>
        <v>0.48039215686274506</v>
      </c>
    </row>
    <row r="27" spans="1:14" ht="15" thickBot="1" x14ac:dyDescent="0.4">
      <c r="C27" s="6" t="s">
        <v>66</v>
      </c>
      <c r="D27" s="5" t="s">
        <v>65</v>
      </c>
      <c r="F27" s="78" t="s">
        <v>64</v>
      </c>
      <c r="G27" s="79">
        <f>G22</f>
        <v>2.68</v>
      </c>
      <c r="H27" s="116" t="s">
        <v>63</v>
      </c>
      <c r="I27" s="117"/>
      <c r="J27" s="118"/>
      <c r="L27" s="82" t="s">
        <v>60</v>
      </c>
      <c r="M27" s="178">
        <f>M26*M14</f>
        <v>0.50093849807757618</v>
      </c>
      <c r="N27" s="180">
        <f>N26*M14</f>
        <v>0.38988532898711475</v>
      </c>
    </row>
    <row r="28" spans="1:14" x14ac:dyDescent="0.35">
      <c r="C28" s="172">
        <v>55.844999999999999</v>
      </c>
      <c r="D28" s="171">
        <v>32.064999999999998</v>
      </c>
      <c r="F28" s="78" t="s">
        <v>61</v>
      </c>
      <c r="G28" s="173">
        <f>G27*D26/D28/2*M13</f>
        <v>2.2677117317463038</v>
      </c>
      <c r="H28" s="119"/>
      <c r="I28" s="120"/>
      <c r="J28" s="121"/>
    </row>
    <row r="29" spans="1:14" ht="14.5" customHeight="1" x14ac:dyDescent="0.35">
      <c r="C29" s="3"/>
      <c r="D29" s="1"/>
      <c r="F29" s="78" t="s">
        <v>59</v>
      </c>
      <c r="G29" s="79">
        <f>G4</f>
        <v>18.7</v>
      </c>
      <c r="H29" s="119"/>
      <c r="I29" s="120"/>
      <c r="J29" s="121"/>
    </row>
    <row r="30" spans="1:14" ht="15" thickBot="1" x14ac:dyDescent="0.4">
      <c r="C30" s="18"/>
      <c r="D30" s="18"/>
      <c r="F30" s="80" t="s">
        <v>58</v>
      </c>
      <c r="G30" s="170">
        <f>G29*D26/D28/2*M13</f>
        <v>15.823212456588015</v>
      </c>
      <c r="H30" s="122"/>
      <c r="I30" s="123"/>
      <c r="J30" s="124"/>
    </row>
  </sheetData>
  <mergeCells count="23">
    <mergeCell ref="U1:W1"/>
    <mergeCell ref="X1:AE1"/>
    <mergeCell ref="N12:Q14"/>
    <mergeCell ref="M1:Q2"/>
    <mergeCell ref="H27:J30"/>
    <mergeCell ref="F2:J2"/>
    <mergeCell ref="B1:J1"/>
    <mergeCell ref="L1:L2"/>
    <mergeCell ref="B6:B11"/>
    <mergeCell ref="B12:B17"/>
    <mergeCell ref="C25:D25"/>
    <mergeCell ref="F24:J26"/>
    <mergeCell ref="C20:D22"/>
    <mergeCell ref="M21:N21"/>
    <mergeCell ref="L17:L19"/>
    <mergeCell ref="M17:N19"/>
    <mergeCell ref="A6:A17"/>
    <mergeCell ref="A18:A19"/>
    <mergeCell ref="C2:C3"/>
    <mergeCell ref="D2:D3"/>
    <mergeCell ref="E2:E3"/>
    <mergeCell ref="A2:A3"/>
    <mergeCell ref="B2:B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B66E0-C40B-4954-96AF-DA331C146E31}">
  <dimension ref="B2:Z24"/>
  <sheetViews>
    <sheetView zoomScale="70" zoomScaleNormal="70" workbookViewId="0">
      <selection activeCell="E20" sqref="E20"/>
    </sheetView>
  </sheetViews>
  <sheetFormatPr defaultRowHeight="14.5" x14ac:dyDescent="0.35"/>
  <cols>
    <col min="2" max="2" width="15.54296875" customWidth="1"/>
    <col min="3" max="3" width="17.36328125" customWidth="1"/>
  </cols>
  <sheetData>
    <row r="2" spans="2:26" ht="15" thickBot="1" x14ac:dyDescent="0.4"/>
    <row r="3" spans="2:26" ht="21.5" thickBot="1" x14ac:dyDescent="0.55000000000000004">
      <c r="B3" s="154" t="s">
        <v>57</v>
      </c>
      <c r="C3" s="155"/>
      <c r="D3" s="155"/>
      <c r="E3" s="155"/>
      <c r="F3" s="155"/>
      <c r="G3" s="155"/>
      <c r="H3" s="156"/>
      <c r="I3" s="151" t="s">
        <v>56</v>
      </c>
      <c r="J3" s="152"/>
      <c r="K3" s="152"/>
      <c r="L3" s="152"/>
      <c r="M3" s="152"/>
      <c r="N3" s="152"/>
      <c r="O3" s="152"/>
      <c r="P3" s="152"/>
      <c r="Q3" s="152"/>
      <c r="R3" s="152"/>
      <c r="S3" s="152"/>
      <c r="T3" s="152"/>
      <c r="U3" s="152"/>
      <c r="V3" s="152"/>
      <c r="W3" s="152"/>
      <c r="X3" s="152"/>
      <c r="Y3" s="152"/>
      <c r="Z3" s="153"/>
    </row>
    <row r="4" spans="2:26" x14ac:dyDescent="0.35">
      <c r="B4" s="16" t="s">
        <v>55</v>
      </c>
      <c r="C4" s="15"/>
      <c r="D4" s="15"/>
      <c r="E4" s="15"/>
      <c r="F4" s="15"/>
      <c r="G4" s="15"/>
      <c r="H4" s="41" t="s">
        <v>54</v>
      </c>
      <c r="I4" s="30"/>
      <c r="J4" s="42" t="s">
        <v>53</v>
      </c>
      <c r="K4" s="50" t="s">
        <v>52</v>
      </c>
      <c r="L4" s="51"/>
      <c r="M4" s="51"/>
      <c r="N4" s="51"/>
      <c r="O4" s="52"/>
      <c r="P4" s="41" t="s">
        <v>52</v>
      </c>
      <c r="Q4" s="30"/>
      <c r="R4" s="30"/>
      <c r="S4" s="30"/>
      <c r="T4" s="30"/>
      <c r="U4" s="41" t="s">
        <v>51</v>
      </c>
      <c r="V4" s="30"/>
      <c r="W4" s="30"/>
      <c r="X4" s="30"/>
      <c r="Y4" s="30"/>
      <c r="Z4" s="29"/>
    </row>
    <row r="5" spans="2:26" x14ac:dyDescent="0.35">
      <c r="B5" s="28" t="s">
        <v>50</v>
      </c>
      <c r="C5" s="40" t="s">
        <v>49</v>
      </c>
      <c r="D5" s="40" t="s">
        <v>48</v>
      </c>
      <c r="E5" s="40" t="s">
        <v>47</v>
      </c>
      <c r="F5" s="40" t="s">
        <v>46</v>
      </c>
      <c r="G5" s="40" t="s">
        <v>45</v>
      </c>
      <c r="H5" s="43" t="s">
        <v>44</v>
      </c>
      <c r="I5" s="38" t="s">
        <v>43</v>
      </c>
      <c r="J5" s="44"/>
      <c r="K5" s="53">
        <v>-75</v>
      </c>
      <c r="L5" s="54" t="s">
        <v>42</v>
      </c>
      <c r="M5" s="54" t="s">
        <v>41</v>
      </c>
      <c r="N5" s="54" t="s">
        <v>40</v>
      </c>
      <c r="O5" s="55" t="s">
        <v>39</v>
      </c>
      <c r="P5" s="45">
        <v>-75</v>
      </c>
      <c r="Q5" s="46" t="s">
        <v>42</v>
      </c>
      <c r="R5" s="46" t="s">
        <v>41</v>
      </c>
      <c r="S5" s="46" t="s">
        <v>40</v>
      </c>
      <c r="T5" s="46" t="s">
        <v>39</v>
      </c>
      <c r="U5" s="47" t="s">
        <v>38</v>
      </c>
      <c r="V5" s="48" t="s">
        <v>37</v>
      </c>
      <c r="W5" s="48" t="s">
        <v>36</v>
      </c>
      <c r="X5" s="48" t="s">
        <v>38</v>
      </c>
      <c r="Y5" s="48" t="s">
        <v>37</v>
      </c>
      <c r="Z5" s="49" t="s">
        <v>36</v>
      </c>
    </row>
    <row r="6" spans="2:26" ht="16.5" x14ac:dyDescent="0.35">
      <c r="B6" s="13" t="s">
        <v>35</v>
      </c>
      <c r="C6" s="4" t="s">
        <v>34</v>
      </c>
      <c r="D6" s="12">
        <f t="shared" ref="D6:D20" si="0">AVERAGE(H6:J6,P6:Z6)</f>
        <v>47.115936943022497</v>
      </c>
      <c r="E6" s="12">
        <f t="shared" ref="E6:E20" si="1">MAX(H6:J6,P6:Z6)</f>
        <v>76.599999999999994</v>
      </c>
      <c r="F6" s="12">
        <f t="shared" ref="F6:F20" si="2">MIN(H6:J6,P6:Z6)</f>
        <v>30.3</v>
      </c>
      <c r="G6">
        <f t="shared" ref="G6:G19" si="3">_xlfn.STDEV.P(H6:J6,P6:Z6)</f>
        <v>14.639363544880945</v>
      </c>
      <c r="H6" s="65">
        <v>46</v>
      </c>
      <c r="I6" s="66">
        <v>38</v>
      </c>
      <c r="J6" s="67">
        <v>59.16</v>
      </c>
      <c r="K6" s="56">
        <v>21.6</v>
      </c>
      <c r="L6" s="57">
        <v>19.8</v>
      </c>
      <c r="M6" s="57">
        <v>22.5</v>
      </c>
      <c r="N6" s="57">
        <v>24.9</v>
      </c>
      <c r="O6" s="58">
        <v>22.6</v>
      </c>
      <c r="P6" s="71">
        <f t="shared" ref="P6:T8" si="4">K6/(K$24-K$23)*100</f>
        <v>34.782608695652172</v>
      </c>
      <c r="Q6" s="72">
        <f t="shared" si="4"/>
        <v>32.352941176470587</v>
      </c>
      <c r="R6" s="72">
        <f t="shared" si="4"/>
        <v>33.382789317507417</v>
      </c>
      <c r="S6" s="72">
        <f t="shared" si="4"/>
        <v>38.604651162790695</v>
      </c>
      <c r="T6" s="72">
        <f t="shared" si="4"/>
        <v>47.780126849894287</v>
      </c>
      <c r="U6" s="31">
        <v>39.56</v>
      </c>
      <c r="V6" s="22">
        <v>76.599999999999994</v>
      </c>
      <c r="W6" s="22">
        <v>74.67</v>
      </c>
      <c r="X6" s="22">
        <v>30.3</v>
      </c>
      <c r="Y6" s="22">
        <v>60.14</v>
      </c>
      <c r="Z6" s="73">
        <v>48.29</v>
      </c>
    </row>
    <row r="7" spans="2:26" ht="16.5" x14ac:dyDescent="0.35">
      <c r="B7" s="13" t="s">
        <v>33</v>
      </c>
      <c r="C7" s="4" t="s">
        <v>32</v>
      </c>
      <c r="D7" s="12">
        <f t="shared" si="0"/>
        <v>32.448471355726262</v>
      </c>
      <c r="E7" s="12">
        <f t="shared" si="1"/>
        <v>41</v>
      </c>
      <c r="F7" s="12">
        <f t="shared" si="2"/>
        <v>6.87</v>
      </c>
      <c r="G7">
        <f t="shared" si="3"/>
        <v>10.092944563016474</v>
      </c>
      <c r="H7" s="31">
        <v>41</v>
      </c>
      <c r="I7" s="68">
        <v>41</v>
      </c>
      <c r="J7" s="67">
        <v>29.4</v>
      </c>
      <c r="K7" s="56">
        <v>23.9</v>
      </c>
      <c r="L7" s="57">
        <v>20.2</v>
      </c>
      <c r="M7" s="57">
        <v>27.4</v>
      </c>
      <c r="N7" s="57">
        <v>24.2</v>
      </c>
      <c r="O7" s="58">
        <v>17.899999999999999</v>
      </c>
      <c r="P7" s="71">
        <f t="shared" si="4"/>
        <v>38.486312399355874</v>
      </c>
      <c r="Q7" s="72">
        <f t="shared" si="4"/>
        <v>33.006535947712415</v>
      </c>
      <c r="R7" s="72">
        <f t="shared" si="4"/>
        <v>40.652818991097917</v>
      </c>
      <c r="S7" s="72">
        <f t="shared" si="4"/>
        <v>37.519379844961236</v>
      </c>
      <c r="T7" s="72">
        <f t="shared" si="4"/>
        <v>37.843551797040163</v>
      </c>
      <c r="U7" s="31">
        <v>38.5</v>
      </c>
      <c r="V7" s="22">
        <v>6.87</v>
      </c>
      <c r="W7" s="22">
        <v>22.18</v>
      </c>
      <c r="X7" s="22">
        <v>32.369999999999997</v>
      </c>
      <c r="Y7" s="22">
        <v>16.09</v>
      </c>
      <c r="Z7" s="73">
        <v>39.36</v>
      </c>
    </row>
    <row r="8" spans="2:26" ht="16.5" x14ac:dyDescent="0.35">
      <c r="B8" s="13" t="s">
        <v>31</v>
      </c>
      <c r="C8" s="4" t="s">
        <v>30</v>
      </c>
      <c r="D8" s="12">
        <f t="shared" si="0"/>
        <v>4.3542466728167426</v>
      </c>
      <c r="E8" s="12">
        <f t="shared" si="1"/>
        <v>11.272141706924316</v>
      </c>
      <c r="F8" s="12">
        <f t="shared" si="2"/>
        <v>0</v>
      </c>
      <c r="G8">
        <f t="shared" si="3"/>
        <v>4.0817669050105883</v>
      </c>
      <c r="H8" s="31" t="s">
        <v>5</v>
      </c>
      <c r="I8" s="68">
        <v>4</v>
      </c>
      <c r="J8" s="67">
        <v>2.9</v>
      </c>
      <c r="K8" s="56">
        <v>7</v>
      </c>
      <c r="L8" s="57">
        <v>6.3</v>
      </c>
      <c r="M8" s="57">
        <v>6.7</v>
      </c>
      <c r="N8" s="57">
        <v>5.5</v>
      </c>
      <c r="O8" s="58">
        <v>2.2000000000000002</v>
      </c>
      <c r="P8" s="71">
        <f t="shared" si="4"/>
        <v>11.272141706924316</v>
      </c>
      <c r="Q8" s="72">
        <f t="shared" si="4"/>
        <v>10.294117647058824</v>
      </c>
      <c r="R8" s="72">
        <f t="shared" si="4"/>
        <v>9.9406528189910972</v>
      </c>
      <c r="S8" s="72">
        <f t="shared" si="4"/>
        <v>8.5271317829457356</v>
      </c>
      <c r="T8" s="72">
        <f t="shared" si="4"/>
        <v>4.6511627906976747</v>
      </c>
      <c r="U8" s="31">
        <v>2.57</v>
      </c>
      <c r="V8" s="22">
        <v>0.01</v>
      </c>
      <c r="W8" s="22">
        <v>0</v>
      </c>
      <c r="X8" s="22">
        <v>2.42</v>
      </c>
      <c r="Y8" s="22">
        <v>0.02</v>
      </c>
      <c r="Z8" s="73">
        <v>0</v>
      </c>
    </row>
    <row r="9" spans="2:26" ht="16.5" x14ac:dyDescent="0.35">
      <c r="B9" s="13" t="s">
        <v>29</v>
      </c>
      <c r="C9" s="4" t="s">
        <v>28</v>
      </c>
      <c r="D9" s="12">
        <f t="shared" si="0"/>
        <v>1.9744444444444449</v>
      </c>
      <c r="E9" s="12">
        <f t="shared" si="1"/>
        <v>5</v>
      </c>
      <c r="F9" s="12">
        <f t="shared" si="2"/>
        <v>0</v>
      </c>
      <c r="G9">
        <f t="shared" si="3"/>
        <v>2.0143160466526768</v>
      </c>
      <c r="H9" s="31">
        <v>5</v>
      </c>
      <c r="I9" s="68">
        <v>5</v>
      </c>
      <c r="J9" s="67">
        <v>4.03</v>
      </c>
      <c r="K9" s="56" t="s">
        <v>3</v>
      </c>
      <c r="L9" s="57" t="s">
        <v>3</v>
      </c>
      <c r="M9" s="57" t="s">
        <v>3</v>
      </c>
      <c r="N9" s="57" t="s">
        <v>3</v>
      </c>
      <c r="O9" s="58" t="s">
        <v>3</v>
      </c>
      <c r="P9" s="31" t="s">
        <v>3</v>
      </c>
      <c r="Q9" s="22" t="s">
        <v>3</v>
      </c>
      <c r="R9" s="22" t="s">
        <v>3</v>
      </c>
      <c r="S9" s="22" t="s">
        <v>3</v>
      </c>
      <c r="T9" s="22" t="s">
        <v>3</v>
      </c>
      <c r="U9" s="31">
        <v>0.39</v>
      </c>
      <c r="V9" s="22">
        <v>0.17</v>
      </c>
      <c r="W9" s="22">
        <v>0</v>
      </c>
      <c r="X9" s="22">
        <v>1.34</v>
      </c>
      <c r="Y9" s="22">
        <v>1.84</v>
      </c>
      <c r="Z9" s="73">
        <v>0</v>
      </c>
    </row>
    <row r="10" spans="2:26" ht="16.5" x14ac:dyDescent="0.35">
      <c r="B10" s="13" t="s">
        <v>27</v>
      </c>
      <c r="C10" s="4" t="s">
        <v>26</v>
      </c>
      <c r="D10" s="12">
        <f t="shared" si="0"/>
        <v>1.7304400744830726</v>
      </c>
      <c r="E10" s="12">
        <f t="shared" si="1"/>
        <v>8</v>
      </c>
      <c r="F10" s="12">
        <f t="shared" si="2"/>
        <v>0</v>
      </c>
      <c r="G10">
        <f t="shared" si="3"/>
        <v>2.5637363452123769</v>
      </c>
      <c r="H10" s="31" t="s">
        <v>23</v>
      </c>
      <c r="I10" s="68">
        <v>8</v>
      </c>
      <c r="J10" s="67">
        <v>0.33</v>
      </c>
      <c r="K10" s="56">
        <v>1.2</v>
      </c>
      <c r="L10" s="57">
        <v>1.1000000000000001</v>
      </c>
      <c r="M10" s="57">
        <v>0.7</v>
      </c>
      <c r="N10" s="57">
        <v>0.8</v>
      </c>
      <c r="O10" s="58">
        <v>0.5</v>
      </c>
      <c r="P10" s="71">
        <f t="shared" ref="P10:T11" si="5">K10/(K$24-K$23)*100</f>
        <v>1.932367149758454</v>
      </c>
      <c r="Q10" s="72">
        <f t="shared" si="5"/>
        <v>1.797385620915033</v>
      </c>
      <c r="R10" s="72">
        <f t="shared" si="5"/>
        <v>1.038575667655786</v>
      </c>
      <c r="S10" s="72">
        <f t="shared" si="5"/>
        <v>1.2403100775193798</v>
      </c>
      <c r="T10" s="72">
        <f t="shared" si="5"/>
        <v>1.0570824524312894</v>
      </c>
      <c r="U10" s="31">
        <v>0</v>
      </c>
      <c r="V10" s="22">
        <v>0</v>
      </c>
      <c r="W10" s="22">
        <v>0</v>
      </c>
      <c r="X10" s="22">
        <v>7.04</v>
      </c>
      <c r="Y10" s="22">
        <v>0.06</v>
      </c>
      <c r="Z10" s="73">
        <v>0</v>
      </c>
    </row>
    <row r="11" spans="2:26" ht="16.5" x14ac:dyDescent="0.35">
      <c r="B11" s="13" t="s">
        <v>25</v>
      </c>
      <c r="C11" s="4" t="s">
        <v>24</v>
      </c>
      <c r="D11" s="12">
        <f t="shared" si="0"/>
        <v>1.715189943049954</v>
      </c>
      <c r="E11" s="12">
        <f t="shared" si="1"/>
        <v>8.0065359477124183</v>
      </c>
      <c r="F11" s="12">
        <f t="shared" si="2"/>
        <v>0</v>
      </c>
      <c r="G11">
        <f t="shared" si="3"/>
        <v>2.3229400080934335</v>
      </c>
      <c r="H11" s="31" t="s">
        <v>23</v>
      </c>
      <c r="I11" s="68" t="s">
        <v>5</v>
      </c>
      <c r="J11" s="67">
        <v>0.55000000000000004</v>
      </c>
      <c r="K11" s="56">
        <v>2.4</v>
      </c>
      <c r="L11" s="57">
        <v>4.9000000000000004</v>
      </c>
      <c r="M11" s="57">
        <v>1.5</v>
      </c>
      <c r="N11" s="57">
        <v>1.7</v>
      </c>
      <c r="O11" s="58">
        <v>1.4</v>
      </c>
      <c r="P11" s="71">
        <f t="shared" si="5"/>
        <v>3.8647342995169081</v>
      </c>
      <c r="Q11" s="72">
        <f t="shared" si="5"/>
        <v>8.0065359477124183</v>
      </c>
      <c r="R11" s="72">
        <f t="shared" si="5"/>
        <v>2.2255192878338277</v>
      </c>
      <c r="S11" s="72">
        <f t="shared" si="5"/>
        <v>2.635658914728682</v>
      </c>
      <c r="T11" s="72">
        <f t="shared" si="5"/>
        <v>2.9598308668076103</v>
      </c>
      <c r="U11" s="31">
        <v>0.1</v>
      </c>
      <c r="V11" s="22">
        <v>0.04</v>
      </c>
      <c r="W11" s="22">
        <v>0</v>
      </c>
      <c r="X11" s="22">
        <v>0.2</v>
      </c>
      <c r="Y11" s="22">
        <v>0</v>
      </c>
      <c r="Z11" s="73">
        <v>0</v>
      </c>
    </row>
    <row r="12" spans="2:26" ht="29" x14ac:dyDescent="0.35">
      <c r="B12" s="13" t="s">
        <v>22</v>
      </c>
      <c r="C12" s="4" t="s">
        <v>21</v>
      </c>
      <c r="D12" s="12">
        <f t="shared" si="0"/>
        <v>1.5516666666666665</v>
      </c>
      <c r="E12" s="12">
        <f t="shared" si="1"/>
        <v>3.08</v>
      </c>
      <c r="F12" s="12">
        <f t="shared" si="2"/>
        <v>0.28000000000000003</v>
      </c>
      <c r="G12">
        <f t="shared" si="3"/>
        <v>0.97760620338093662</v>
      </c>
      <c r="H12" s="31" t="s">
        <v>3</v>
      </c>
      <c r="I12" s="68" t="s">
        <v>3</v>
      </c>
      <c r="J12" s="67" t="s">
        <v>3</v>
      </c>
      <c r="K12" s="56" t="s">
        <v>3</v>
      </c>
      <c r="L12" s="57" t="s">
        <v>3</v>
      </c>
      <c r="M12" s="57" t="s">
        <v>3</v>
      </c>
      <c r="N12" s="57" t="s">
        <v>3</v>
      </c>
      <c r="O12" s="58" t="s">
        <v>3</v>
      </c>
      <c r="P12" s="31" t="s">
        <v>3</v>
      </c>
      <c r="Q12" s="22" t="s">
        <v>3</v>
      </c>
      <c r="R12" s="22" t="s">
        <v>3</v>
      </c>
      <c r="S12" s="22" t="s">
        <v>3</v>
      </c>
      <c r="T12" s="22" t="s">
        <v>3</v>
      </c>
      <c r="U12" s="31">
        <v>2.59</v>
      </c>
      <c r="V12" s="22">
        <v>0.81</v>
      </c>
      <c r="W12" s="22">
        <v>0.28000000000000003</v>
      </c>
      <c r="X12" s="22">
        <v>3.08</v>
      </c>
      <c r="Y12" s="22">
        <v>1.27</v>
      </c>
      <c r="Z12" s="73">
        <v>1.28</v>
      </c>
    </row>
    <row r="13" spans="2:26" ht="16.5" x14ac:dyDescent="0.35">
      <c r="B13" s="13" t="s">
        <v>20</v>
      </c>
      <c r="C13" s="4" t="s">
        <v>19</v>
      </c>
      <c r="D13" s="12">
        <f t="shared" si="0"/>
        <v>1.3966666666666667</v>
      </c>
      <c r="E13" s="12">
        <f t="shared" si="1"/>
        <v>2.4900000000000002</v>
      </c>
      <c r="F13" s="12">
        <f t="shared" si="2"/>
        <v>0</v>
      </c>
      <c r="G13">
        <f t="shared" si="3"/>
        <v>1.0653585729175359</v>
      </c>
      <c r="H13" s="31" t="s">
        <v>3</v>
      </c>
      <c r="I13" s="68" t="s">
        <v>3</v>
      </c>
      <c r="J13" s="67" t="s">
        <v>3</v>
      </c>
      <c r="K13" s="56" t="s">
        <v>3</v>
      </c>
      <c r="L13" s="57" t="s">
        <v>3</v>
      </c>
      <c r="M13" s="57" t="s">
        <v>3</v>
      </c>
      <c r="N13" s="57" t="s">
        <v>3</v>
      </c>
      <c r="O13" s="58" t="s">
        <v>3</v>
      </c>
      <c r="P13" s="31" t="s">
        <v>3</v>
      </c>
      <c r="Q13" s="22" t="s">
        <v>3</v>
      </c>
      <c r="R13" s="22" t="s">
        <v>3</v>
      </c>
      <c r="S13" s="22" t="s">
        <v>3</v>
      </c>
      <c r="T13" s="22" t="s">
        <v>3</v>
      </c>
      <c r="U13" s="31">
        <v>2.4900000000000002</v>
      </c>
      <c r="V13" s="22">
        <v>1.27</v>
      </c>
      <c r="W13" s="22">
        <v>2.4300000000000002</v>
      </c>
      <c r="X13" s="22">
        <v>0</v>
      </c>
      <c r="Y13" s="22">
        <v>0</v>
      </c>
      <c r="Z13" s="73">
        <v>2.19</v>
      </c>
    </row>
    <row r="14" spans="2:26" ht="17.5" x14ac:dyDescent="0.35">
      <c r="B14" s="13" t="s">
        <v>18</v>
      </c>
      <c r="C14" s="4" t="s">
        <v>17</v>
      </c>
      <c r="D14" s="12">
        <f t="shared" si="0"/>
        <v>0.94714285714285729</v>
      </c>
      <c r="E14" s="12">
        <f t="shared" si="1"/>
        <v>4.7300000000000004</v>
      </c>
      <c r="F14" s="12">
        <f t="shared" si="2"/>
        <v>0</v>
      </c>
      <c r="G14">
        <f t="shared" si="3"/>
        <v>1.6012469630680628</v>
      </c>
      <c r="H14" s="31" t="s">
        <v>5</v>
      </c>
      <c r="I14" s="68" t="s">
        <v>5</v>
      </c>
      <c r="J14" s="67">
        <v>0.76</v>
      </c>
      <c r="K14" s="56" t="s">
        <v>3</v>
      </c>
      <c r="L14" s="57" t="s">
        <v>3</v>
      </c>
      <c r="M14" s="57" t="s">
        <v>3</v>
      </c>
      <c r="N14" s="57" t="s">
        <v>3</v>
      </c>
      <c r="O14" s="58" t="s">
        <v>3</v>
      </c>
      <c r="P14" s="31" t="s">
        <v>3</v>
      </c>
      <c r="Q14" s="22" t="s">
        <v>3</v>
      </c>
      <c r="R14" s="22" t="s">
        <v>3</v>
      </c>
      <c r="S14" s="22" t="s">
        <v>3</v>
      </c>
      <c r="T14" s="22" t="s">
        <v>3</v>
      </c>
      <c r="U14" s="31">
        <v>0.01</v>
      </c>
      <c r="V14" s="22">
        <v>0</v>
      </c>
      <c r="W14" s="22">
        <v>0</v>
      </c>
      <c r="X14" s="22">
        <v>1.1299999999999999</v>
      </c>
      <c r="Y14" s="22">
        <v>4.7300000000000004</v>
      </c>
      <c r="Z14" s="73">
        <v>0</v>
      </c>
    </row>
    <row r="15" spans="2:26" ht="16.5" x14ac:dyDescent="0.35">
      <c r="B15" s="13" t="s">
        <v>16</v>
      </c>
      <c r="C15" s="4" t="s">
        <v>15</v>
      </c>
      <c r="D15" s="12">
        <f t="shared" si="0"/>
        <v>0.875</v>
      </c>
      <c r="E15" s="12">
        <f t="shared" si="1"/>
        <v>1.95</v>
      </c>
      <c r="F15" s="12">
        <f t="shared" si="2"/>
        <v>0</v>
      </c>
      <c r="G15">
        <f t="shared" si="3"/>
        <v>0.79544012973950473</v>
      </c>
      <c r="H15" s="31" t="s">
        <v>3</v>
      </c>
      <c r="I15" s="68" t="s">
        <v>3</v>
      </c>
      <c r="J15" s="67" t="s">
        <v>3</v>
      </c>
      <c r="K15" s="56" t="s">
        <v>3</v>
      </c>
      <c r="L15" s="57" t="s">
        <v>3</v>
      </c>
      <c r="M15" s="57" t="s">
        <v>3</v>
      </c>
      <c r="N15" s="57" t="s">
        <v>3</v>
      </c>
      <c r="O15" s="58" t="s">
        <v>3</v>
      </c>
      <c r="P15" s="31" t="s">
        <v>3</v>
      </c>
      <c r="Q15" s="22" t="s">
        <v>3</v>
      </c>
      <c r="R15" s="22" t="s">
        <v>3</v>
      </c>
      <c r="S15" s="22" t="s">
        <v>3</v>
      </c>
      <c r="T15" s="22" t="s">
        <v>3</v>
      </c>
      <c r="U15" s="31">
        <v>0.32</v>
      </c>
      <c r="V15" s="22">
        <v>1.34</v>
      </c>
      <c r="W15" s="22">
        <v>1.95</v>
      </c>
      <c r="X15" s="22">
        <v>0</v>
      </c>
      <c r="Y15" s="22">
        <v>0</v>
      </c>
      <c r="Z15" s="73">
        <v>1.64</v>
      </c>
    </row>
    <row r="16" spans="2:26" ht="16.5" x14ac:dyDescent="0.35">
      <c r="B16" s="13" t="s">
        <v>14</v>
      </c>
      <c r="C16" s="4" t="s">
        <v>13</v>
      </c>
      <c r="D16" s="12">
        <f t="shared" si="0"/>
        <v>0.54166666666666663</v>
      </c>
      <c r="E16" s="12">
        <f t="shared" si="1"/>
        <v>1.0900000000000001</v>
      </c>
      <c r="F16" s="12">
        <f t="shared" si="2"/>
        <v>0</v>
      </c>
      <c r="G16">
        <f t="shared" si="3"/>
        <v>0.42076979718394975</v>
      </c>
      <c r="H16" s="31" t="s">
        <v>3</v>
      </c>
      <c r="I16" s="68" t="s">
        <v>3</v>
      </c>
      <c r="J16" s="67" t="s">
        <v>3</v>
      </c>
      <c r="K16" s="56" t="s">
        <v>3</v>
      </c>
      <c r="L16" s="57" t="s">
        <v>3</v>
      </c>
      <c r="M16" s="57" t="s">
        <v>3</v>
      </c>
      <c r="N16" s="57" t="s">
        <v>3</v>
      </c>
      <c r="O16" s="58" t="s">
        <v>3</v>
      </c>
      <c r="P16" s="31" t="s">
        <v>3</v>
      </c>
      <c r="Q16" s="22" t="s">
        <v>3</v>
      </c>
      <c r="R16" s="22" t="s">
        <v>3</v>
      </c>
      <c r="S16" s="22" t="s">
        <v>3</v>
      </c>
      <c r="T16" s="22" t="s">
        <v>3</v>
      </c>
      <c r="U16" s="31">
        <v>0.95</v>
      </c>
      <c r="V16" s="22">
        <v>0.61</v>
      </c>
      <c r="W16" s="22">
        <v>0.6</v>
      </c>
      <c r="X16" s="22">
        <v>0</v>
      </c>
      <c r="Y16" s="22">
        <v>0</v>
      </c>
      <c r="Z16" s="73">
        <v>1.0900000000000001</v>
      </c>
    </row>
    <row r="17" spans="2:26" ht="16.5" x14ac:dyDescent="0.35">
      <c r="B17" s="13" t="s">
        <v>12</v>
      </c>
      <c r="C17" s="4" t="s">
        <v>11</v>
      </c>
      <c r="D17" s="12">
        <f t="shared" si="0"/>
        <v>0.50142857142857145</v>
      </c>
      <c r="E17" s="12">
        <f t="shared" si="1"/>
        <v>1.86</v>
      </c>
      <c r="F17" s="12">
        <f t="shared" si="2"/>
        <v>0</v>
      </c>
      <c r="G17">
        <f t="shared" si="3"/>
        <v>0.79481226123673065</v>
      </c>
      <c r="H17" s="31" t="s">
        <v>5</v>
      </c>
      <c r="I17" s="68" t="s">
        <v>5</v>
      </c>
      <c r="J17" s="67">
        <v>1.65</v>
      </c>
      <c r="K17" s="56" t="s">
        <v>3</v>
      </c>
      <c r="L17" s="57" t="s">
        <v>3</v>
      </c>
      <c r="M17" s="57" t="s">
        <v>3</v>
      </c>
      <c r="N17" s="57" t="s">
        <v>3</v>
      </c>
      <c r="O17" s="58" t="s">
        <v>3</v>
      </c>
      <c r="P17" s="31" t="s">
        <v>3</v>
      </c>
      <c r="Q17" s="22" t="s">
        <v>3</v>
      </c>
      <c r="R17" s="22" t="s">
        <v>3</v>
      </c>
      <c r="S17" s="22" t="s">
        <v>3</v>
      </c>
      <c r="T17" s="22" t="s">
        <v>3</v>
      </c>
      <c r="U17" s="31">
        <v>0</v>
      </c>
      <c r="V17" s="22">
        <v>0</v>
      </c>
      <c r="W17" s="22">
        <v>0</v>
      </c>
      <c r="X17" s="22">
        <v>0</v>
      </c>
      <c r="Y17" s="22">
        <v>1.86</v>
      </c>
      <c r="Z17" s="73">
        <v>0</v>
      </c>
    </row>
    <row r="18" spans="2:26" ht="33" x14ac:dyDescent="0.35">
      <c r="B18" s="13" t="s">
        <v>10</v>
      </c>
      <c r="C18" s="4" t="s">
        <v>9</v>
      </c>
      <c r="D18" s="12">
        <f t="shared" si="0"/>
        <v>0.47333333333333338</v>
      </c>
      <c r="E18" s="12">
        <f t="shared" si="1"/>
        <v>1.35</v>
      </c>
      <c r="F18" s="12">
        <f t="shared" si="2"/>
        <v>0.01</v>
      </c>
      <c r="G18">
        <f t="shared" si="3"/>
        <v>0.62023293115481137</v>
      </c>
      <c r="H18" s="31" t="s">
        <v>3</v>
      </c>
      <c r="I18" s="68" t="s">
        <v>3</v>
      </c>
      <c r="J18" s="67" t="s">
        <v>3</v>
      </c>
      <c r="K18" s="56" t="s">
        <v>3</v>
      </c>
      <c r="L18" s="57" t="s">
        <v>3</v>
      </c>
      <c r="M18" s="57" t="s">
        <v>3</v>
      </c>
      <c r="N18" s="57" t="s">
        <v>3</v>
      </c>
      <c r="O18" s="58" t="s">
        <v>3</v>
      </c>
      <c r="P18" s="31" t="s">
        <v>3</v>
      </c>
      <c r="Q18" s="22" t="s">
        <v>3</v>
      </c>
      <c r="R18" s="22" t="s">
        <v>3</v>
      </c>
      <c r="S18" s="22" t="s">
        <v>3</v>
      </c>
      <c r="T18" s="22" t="s">
        <v>3</v>
      </c>
      <c r="U18" s="31">
        <v>1.35</v>
      </c>
      <c r="V18" s="22">
        <v>0.06</v>
      </c>
      <c r="W18" s="22">
        <v>0.01</v>
      </c>
      <c r="X18" s="22" t="s">
        <v>3</v>
      </c>
      <c r="Y18" s="22" t="s">
        <v>3</v>
      </c>
      <c r="Z18" s="73" t="s">
        <v>3</v>
      </c>
    </row>
    <row r="19" spans="2:26" ht="16.5" x14ac:dyDescent="0.35">
      <c r="B19" s="13" t="s">
        <v>8</v>
      </c>
      <c r="C19" s="4" t="s">
        <v>7</v>
      </c>
      <c r="D19" s="12">
        <f t="shared" si="0"/>
        <v>0.18666666666666668</v>
      </c>
      <c r="E19" s="12">
        <f t="shared" si="1"/>
        <v>0.47</v>
      </c>
      <c r="F19" s="12">
        <f t="shared" si="2"/>
        <v>0.04</v>
      </c>
      <c r="G19">
        <f t="shared" si="3"/>
        <v>0.20038851153585513</v>
      </c>
      <c r="H19" s="31" t="s">
        <v>3</v>
      </c>
      <c r="I19" s="68" t="s">
        <v>3</v>
      </c>
      <c r="J19" s="67" t="s">
        <v>3</v>
      </c>
      <c r="K19" s="56" t="s">
        <v>3</v>
      </c>
      <c r="L19" s="57" t="s">
        <v>3</v>
      </c>
      <c r="M19" s="57" t="s">
        <v>3</v>
      </c>
      <c r="N19" s="57" t="s">
        <v>3</v>
      </c>
      <c r="O19" s="58" t="s">
        <v>3</v>
      </c>
      <c r="P19" s="31" t="s">
        <v>3</v>
      </c>
      <c r="Q19" s="22" t="s">
        <v>3</v>
      </c>
      <c r="R19" s="22" t="s">
        <v>3</v>
      </c>
      <c r="S19" s="22" t="s">
        <v>3</v>
      </c>
      <c r="T19" s="22" t="s">
        <v>3</v>
      </c>
      <c r="U19" s="31">
        <v>0.04</v>
      </c>
      <c r="V19" s="22">
        <v>0.47</v>
      </c>
      <c r="W19" s="22">
        <v>0.05</v>
      </c>
      <c r="X19" s="22" t="s">
        <v>3</v>
      </c>
      <c r="Y19" s="22" t="s">
        <v>3</v>
      </c>
      <c r="Z19" s="73" t="s">
        <v>3</v>
      </c>
    </row>
    <row r="20" spans="2:26" ht="16.5" x14ac:dyDescent="0.35">
      <c r="B20" s="13" t="s">
        <v>6</v>
      </c>
      <c r="C20" s="4" t="s">
        <v>128</v>
      </c>
      <c r="D20" s="12">
        <f t="shared" si="0"/>
        <v>5.3101560574921258</v>
      </c>
      <c r="E20" s="12">
        <f t="shared" si="1"/>
        <v>11.72106824925816</v>
      </c>
      <c r="F20" s="12">
        <f t="shared" si="2"/>
        <v>0.5</v>
      </c>
      <c r="H20" s="32">
        <v>5</v>
      </c>
      <c r="I20" s="69" t="s">
        <v>5</v>
      </c>
      <c r="J20" s="70">
        <v>1.1299999999999999</v>
      </c>
      <c r="K20" s="59">
        <v>4.4000000000000004</v>
      </c>
      <c r="L20" s="60">
        <v>6.8</v>
      </c>
      <c r="M20" s="60">
        <v>7.9</v>
      </c>
      <c r="N20" s="60">
        <v>6.9</v>
      </c>
      <c r="O20" s="61">
        <v>2.6</v>
      </c>
      <c r="P20" s="74">
        <f>K20/(K$24-K$23)*100</f>
        <v>7.0853462157809997</v>
      </c>
      <c r="Q20" s="75">
        <f>L20/(L$24-L$23)*100</f>
        <v>11.111111111111112</v>
      </c>
      <c r="R20" s="75">
        <f>M20/(M$24-M$23)*100</f>
        <v>11.72106824925816</v>
      </c>
      <c r="S20" s="75">
        <f>N20/(N$24-N$23)*100</f>
        <v>10.697674418604652</v>
      </c>
      <c r="T20" s="75">
        <f>O20/(O$24-O$23)*100</f>
        <v>5.4968287526427062</v>
      </c>
      <c r="U20" s="31">
        <v>4.7</v>
      </c>
      <c r="V20" s="22">
        <v>4.01</v>
      </c>
      <c r="W20" s="22">
        <v>3.93</v>
      </c>
      <c r="X20" s="22">
        <v>0.88</v>
      </c>
      <c r="Y20" s="22">
        <v>0.5</v>
      </c>
      <c r="Z20" s="73">
        <v>2.77</v>
      </c>
    </row>
    <row r="21" spans="2:26" ht="17" thickBot="1" x14ac:dyDescent="0.5">
      <c r="B21" s="10" t="s">
        <v>4</v>
      </c>
      <c r="C21" s="8" t="s">
        <v>127</v>
      </c>
      <c r="D21" s="8"/>
      <c r="E21" s="8"/>
      <c r="F21" s="8"/>
      <c r="G21" s="8"/>
      <c r="H21" s="21"/>
      <c r="I21" s="21"/>
      <c r="J21" s="21"/>
      <c r="K21" s="62"/>
      <c r="L21" s="63"/>
      <c r="M21" s="63"/>
      <c r="N21" s="63"/>
      <c r="O21" s="64"/>
      <c r="P21" s="76"/>
      <c r="Q21" s="76"/>
      <c r="R21" s="76"/>
      <c r="S21" s="76"/>
      <c r="T21" s="76"/>
      <c r="U21" s="33">
        <v>0.28000000000000003</v>
      </c>
      <c r="V21" s="21">
        <v>0</v>
      </c>
      <c r="W21" s="21">
        <v>0.76</v>
      </c>
      <c r="X21" s="21" t="s">
        <v>3</v>
      </c>
      <c r="Y21" s="21" t="s">
        <v>3</v>
      </c>
      <c r="Z21" s="77" t="s">
        <v>3</v>
      </c>
    </row>
    <row r="22" spans="2:26" ht="58" x14ac:dyDescent="0.35">
      <c r="B22" s="4" t="s">
        <v>2</v>
      </c>
      <c r="K22" s="6">
        <v>1.6</v>
      </c>
      <c r="L22">
        <v>2.1</v>
      </c>
      <c r="M22">
        <v>0.7</v>
      </c>
      <c r="N22">
        <v>0.5</v>
      </c>
      <c r="O22" s="5">
        <v>0.1</v>
      </c>
    </row>
    <row r="23" spans="2:26" x14ac:dyDescent="0.35">
      <c r="B23" s="4" t="s">
        <v>1</v>
      </c>
      <c r="K23" s="6">
        <v>37.9</v>
      </c>
      <c r="L23">
        <v>38.4</v>
      </c>
      <c r="M23">
        <v>32.4</v>
      </c>
      <c r="N23">
        <v>35.5</v>
      </c>
      <c r="O23" s="5">
        <v>52.6</v>
      </c>
    </row>
    <row r="24" spans="2:26" x14ac:dyDescent="0.35">
      <c r="B24" s="4" t="s">
        <v>0</v>
      </c>
      <c r="K24" s="3">
        <f>SUM(K6:K23)</f>
        <v>100</v>
      </c>
      <c r="L24" s="2">
        <f>SUM(L6:L23)</f>
        <v>99.6</v>
      </c>
      <c r="M24" s="2">
        <f>SUM(M6:M23)</f>
        <v>99.800000000000011</v>
      </c>
      <c r="N24" s="2">
        <f>SUM(N6:N23)</f>
        <v>100</v>
      </c>
      <c r="O24" s="1">
        <f>SUM(O6:O23)</f>
        <v>99.9</v>
      </c>
    </row>
  </sheetData>
  <mergeCells count="2">
    <mergeCell ref="I3:Z3"/>
    <mergeCell ref="B3:H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D17CAA950EE4D924D1965124D0307" ma:contentTypeVersion="12" ma:contentTypeDescription="Create a new document." ma:contentTypeScope="" ma:versionID="aa86fb85562cc322bf30dc6ba7280b76">
  <xsd:schema xmlns:xsd="http://www.w3.org/2001/XMLSchema" xmlns:xs="http://www.w3.org/2001/XMLSchema" xmlns:p="http://schemas.microsoft.com/office/2006/metadata/properties" xmlns:ns2="342d088f-befc-4512-a35e-849730f478ef" xmlns:ns3="1d74b71d-250a-4272-b26b-d6d60bb5357a" targetNamespace="http://schemas.microsoft.com/office/2006/metadata/properties" ma:root="true" ma:fieldsID="5b0ec5c26990940b698fff333ec66bab" ns2:_="" ns3:_="">
    <xsd:import namespace="342d088f-befc-4512-a35e-849730f478ef"/>
    <xsd:import namespace="1d74b71d-250a-4272-b26b-d6d60bb535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d088f-befc-4512-a35e-849730f47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74b71d-250a-4272-b26b-d6d60bb5357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B2E3E-03C8-48FF-92E4-5B48C5D47C08}">
  <ds:schemaRefs>
    <ds:schemaRef ds:uri="http://schemas.microsoft.com/sharepoint/v3/contenttype/forms"/>
  </ds:schemaRefs>
</ds:datastoreItem>
</file>

<file path=customXml/itemProps2.xml><?xml version="1.0" encoding="utf-8"?>
<ds:datastoreItem xmlns:ds="http://schemas.openxmlformats.org/officeDocument/2006/customXml" ds:itemID="{E8D35D10-F255-4A0B-B3AC-A9AB13786C04}">
  <ds:schemaRefs>
    <ds:schemaRef ds:uri="http://purl.org/dc/elements/1.1/"/>
    <ds:schemaRef ds:uri="http://schemas.microsoft.com/office/2006/metadata/properties"/>
    <ds:schemaRef ds:uri="http://purl.org/dc/terms/"/>
    <ds:schemaRef ds:uri="1d74b71d-250a-4272-b26b-d6d60bb5357a"/>
    <ds:schemaRef ds:uri="342d088f-befc-4512-a35e-849730f478ef"/>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DE28F4-C370-43A9-A0E5-0D442902C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d088f-befc-4512-a35e-849730f478ef"/>
    <ds:schemaRef ds:uri="1d74b71d-250a-4272-b26b-d6d60bb5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Two-stage flotation process</vt:lpstr>
      <vt:lpstr>Flotation test results</vt:lpstr>
      <vt:lpstr>Major mineral content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Helene-Marie</dc:creator>
  <cp:lastModifiedBy>Helene-Marie</cp:lastModifiedBy>
  <dcterms:created xsi:type="dcterms:W3CDTF">2021-07-07T14:33:14Z</dcterms:created>
  <dcterms:modified xsi:type="dcterms:W3CDTF">2022-01-07T08:55:31Z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0x010100897D17CAA950EE4D924D1965124D0307</vt:lpwstr>
  </property>
</Properties>
</file>